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12429\Desktop\"/>
    </mc:Choice>
  </mc:AlternateContent>
  <xr:revisionPtr revIDLastSave="0" documentId="13_ncr:1_{ECA08358-1AEB-4127-BA5B-57E6C0837605}" xr6:coauthVersionLast="47" xr6:coauthVersionMax="47" xr10:uidLastSave="{00000000-0000-0000-0000-000000000000}"/>
  <bookViews>
    <workbookView xWindow="-98" yWindow="-98" windowWidth="20715" windowHeight="13155" firstSheet="13" activeTab="14" xr2:uid="{00000000-000D-0000-FFFF-FFFF00000000}"/>
  </bookViews>
  <sheets>
    <sheet name="CF RATIO ANALYSIS" sheetId="21" r:id="rId1"/>
    <sheet name="Business Model" sheetId="1" r:id="rId2"/>
    <sheet name="NVDA dupont analyis" sheetId="20" r:id="rId3"/>
    <sheet name="TSMC dupont analysis" sheetId="31" r:id="rId4"/>
    <sheet name="ASML dupont analysis" sheetId="32" r:id="rId5"/>
    <sheet name="BS NVDA" sheetId="2" r:id="rId6"/>
    <sheet name="CF NVDA" sheetId="15" r:id="rId7"/>
    <sheet name="IS NVDA" sheetId="10" r:id="rId8"/>
    <sheet name="TSMC BALANCE SHEET" sheetId="24" r:id="rId9"/>
    <sheet name="TSMC CASH FLOW" sheetId="25" r:id="rId10"/>
    <sheet name="TSMC INCOME STATEMENT" sheetId="26" r:id="rId11"/>
    <sheet name="ASML BS" sheetId="28" r:id="rId12"/>
    <sheet name="ASML CF" sheetId="29" r:id="rId13"/>
    <sheet name="ASML IS" sheetId="30" r:id="rId14"/>
    <sheet name="ConclusionIf you’re looking for" sheetId="34"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 i="21" l="1"/>
  <c r="K31" i="21"/>
  <c r="L31" i="21"/>
  <c r="I31" i="21"/>
  <c r="J20" i="21"/>
  <c r="K20" i="21"/>
  <c r="L20" i="21"/>
  <c r="J19" i="21"/>
  <c r="K19" i="21"/>
  <c r="L19" i="21"/>
  <c r="J21" i="21"/>
  <c r="K21" i="21"/>
  <c r="L21" i="21"/>
  <c r="J22" i="21"/>
  <c r="K22" i="21"/>
  <c r="L22" i="21"/>
  <c r="J23" i="21"/>
  <c r="K23" i="21"/>
  <c r="L23" i="21"/>
  <c r="J25" i="21"/>
  <c r="K25" i="21"/>
  <c r="L25" i="21"/>
  <c r="I25" i="21"/>
  <c r="J26" i="21"/>
  <c r="K26" i="21"/>
  <c r="L26" i="21"/>
  <c r="J29" i="21"/>
  <c r="K29" i="21"/>
  <c r="L29" i="21"/>
  <c r="I29" i="21"/>
  <c r="I26" i="21"/>
  <c r="I23" i="21"/>
  <c r="I22" i="21"/>
  <c r="I21" i="21"/>
  <c r="I20" i="21"/>
  <c r="I19" i="21"/>
  <c r="J13" i="21"/>
  <c r="K13" i="21"/>
  <c r="L13" i="21"/>
  <c r="I13" i="21"/>
  <c r="I15" i="21"/>
  <c r="J10" i="21"/>
  <c r="K10" i="21"/>
  <c r="L10" i="21"/>
  <c r="E10" i="21"/>
  <c r="F10" i="21"/>
  <c r="D10" i="21"/>
  <c r="C10" i="21"/>
  <c r="I10" i="21"/>
  <c r="I9" i="21"/>
  <c r="J15" i="21"/>
  <c r="K15" i="21"/>
  <c r="L15" i="21"/>
  <c r="J9" i="21"/>
  <c r="K9" i="21"/>
  <c r="L9" i="21"/>
  <c r="J7" i="21"/>
  <c r="K7" i="21"/>
  <c r="L7" i="21"/>
  <c r="J6" i="21"/>
  <c r="K6" i="21"/>
  <c r="L6" i="21"/>
  <c r="J5" i="21"/>
  <c r="K5" i="21"/>
  <c r="L5" i="21"/>
  <c r="J4" i="21"/>
  <c r="K4" i="21"/>
  <c r="L4" i="21"/>
  <c r="J3" i="21"/>
  <c r="K3" i="21"/>
  <c r="L3" i="21"/>
  <c r="I7" i="21"/>
  <c r="I6" i="21"/>
  <c r="I5" i="21"/>
  <c r="I4" i="21"/>
  <c r="I3" i="21"/>
  <c r="C12" i="32"/>
  <c r="D12" i="32"/>
  <c r="D26" i="32" s="1"/>
  <c r="E12" i="32"/>
  <c r="C11" i="32"/>
  <c r="D11" i="32"/>
  <c r="E11" i="32"/>
  <c r="C9" i="32"/>
  <c r="D9" i="32"/>
  <c r="E9" i="32"/>
  <c r="C8" i="32"/>
  <c r="D8" i="32"/>
  <c r="E8" i="32"/>
  <c r="C6" i="32"/>
  <c r="C14" i="32" s="1"/>
  <c r="D6" i="32"/>
  <c r="E6" i="32"/>
  <c r="C5" i="32"/>
  <c r="D5" i="32"/>
  <c r="E5" i="32"/>
  <c r="C4" i="32"/>
  <c r="D4" i="32"/>
  <c r="E4" i="32"/>
  <c r="C3" i="32"/>
  <c r="D3" i="32"/>
  <c r="E3" i="32"/>
  <c r="B12" i="32"/>
  <c r="B11" i="32"/>
  <c r="B9" i="32"/>
  <c r="B8" i="32"/>
  <c r="B6" i="32"/>
  <c r="B5" i="32"/>
  <c r="B4" i="32"/>
  <c r="B3" i="32"/>
  <c r="C26" i="32"/>
  <c r="B26" i="32"/>
  <c r="D24" i="32"/>
  <c r="D14" i="32"/>
  <c r="B14" i="32"/>
  <c r="E14" i="32"/>
  <c r="D18" i="32"/>
  <c r="B18" i="32"/>
  <c r="D25" i="32"/>
  <c r="C19" i="32"/>
  <c r="B19" i="32"/>
  <c r="C12" i="31"/>
  <c r="D12" i="31"/>
  <c r="E12" i="31"/>
  <c r="C11" i="31"/>
  <c r="D11" i="31"/>
  <c r="E11" i="31"/>
  <c r="B12" i="31"/>
  <c r="B11" i="31"/>
  <c r="C9" i="31"/>
  <c r="D9" i="31"/>
  <c r="E9" i="31"/>
  <c r="C8" i="31"/>
  <c r="D8" i="31"/>
  <c r="E8" i="31"/>
  <c r="B9" i="31"/>
  <c r="B8" i="31"/>
  <c r="C6" i="31"/>
  <c r="C18" i="31" s="1"/>
  <c r="D6" i="31"/>
  <c r="E6" i="31"/>
  <c r="B6" i="31"/>
  <c r="C5" i="31"/>
  <c r="D5" i="31"/>
  <c r="E5" i="31"/>
  <c r="B5" i="31"/>
  <c r="C4" i="31"/>
  <c r="D4" i="31"/>
  <c r="E4" i="31"/>
  <c r="B4" i="31"/>
  <c r="C3" i="31"/>
  <c r="D3" i="31"/>
  <c r="D18" i="31" s="1"/>
  <c r="E3" i="31"/>
  <c r="B3" i="31"/>
  <c r="D25" i="31"/>
  <c r="C15" i="30"/>
  <c r="D15" i="30"/>
  <c r="E15" i="30"/>
  <c r="F15" i="30"/>
  <c r="B15" i="30"/>
  <c r="C28" i="25"/>
  <c r="D28" i="25"/>
  <c r="E28" i="25"/>
  <c r="F28" i="25"/>
  <c r="B28" i="25"/>
  <c r="C28" i="29"/>
  <c r="D28" i="29"/>
  <c r="E28" i="29"/>
  <c r="F28" i="29"/>
  <c r="B28" i="29"/>
  <c r="S4" i="28"/>
  <c r="S5" i="28"/>
  <c r="S6" i="28"/>
  <c r="S7" i="28"/>
  <c r="S8" i="28"/>
  <c r="S9" i="28"/>
  <c r="S10" i="28"/>
  <c r="S11" i="28"/>
  <c r="S12" i="28"/>
  <c r="S13" i="28"/>
  <c r="S14" i="28"/>
  <c r="S15" i="28"/>
  <c r="S16" i="28"/>
  <c r="S17" i="28"/>
  <c r="S18" i="28"/>
  <c r="S19" i="28"/>
  <c r="S20" i="28"/>
  <c r="S21" i="28"/>
  <c r="S22" i="28"/>
  <c r="S23" i="28"/>
  <c r="S24" i="28"/>
  <c r="S25" i="28"/>
  <c r="S26" i="28"/>
  <c r="S27" i="28"/>
  <c r="S28" i="28"/>
  <c r="S29" i="28"/>
  <c r="S30" i="28"/>
  <c r="R4" i="28"/>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Q4" i="28"/>
  <c r="Q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O4" i="28"/>
  <c r="O5" i="28"/>
  <c r="O6" i="28"/>
  <c r="O7" i="28"/>
  <c r="O8" i="28"/>
  <c r="O9" i="28"/>
  <c r="O10" i="28"/>
  <c r="O11" i="28"/>
  <c r="O12" i="28"/>
  <c r="O13" i="28"/>
  <c r="O14" i="28"/>
  <c r="O15" i="28"/>
  <c r="O16" i="28"/>
  <c r="O17" i="28"/>
  <c r="O18" i="28"/>
  <c r="O19" i="28"/>
  <c r="O20" i="28"/>
  <c r="O21" i="28"/>
  <c r="O22" i="28"/>
  <c r="O23" i="28"/>
  <c r="O24" i="28"/>
  <c r="O25" i="28"/>
  <c r="O26" i="28"/>
  <c r="O27" i="28"/>
  <c r="O28" i="28"/>
  <c r="O29" i="28"/>
  <c r="O30" i="28"/>
  <c r="P3" i="28"/>
  <c r="Q3" i="28"/>
  <c r="R3" i="28"/>
  <c r="S3" i="28"/>
  <c r="O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M3" i="28"/>
  <c r="L3" i="28"/>
  <c r="K3" i="28"/>
  <c r="J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 i="28"/>
  <c r="S9" i="24"/>
  <c r="S10" i="24"/>
  <c r="S11" i="24"/>
  <c r="S12" i="24"/>
  <c r="S13" i="24"/>
  <c r="S14" i="24"/>
  <c r="S15" i="24"/>
  <c r="S16" i="24"/>
  <c r="S17" i="24"/>
  <c r="S18" i="24"/>
  <c r="S19" i="24"/>
  <c r="S20" i="24"/>
  <c r="S21" i="24"/>
  <c r="S22" i="24"/>
  <c r="S23" i="24"/>
  <c r="S24" i="24"/>
  <c r="S25" i="24"/>
  <c r="S29" i="24"/>
  <c r="S30" i="24"/>
  <c r="S32" i="24"/>
  <c r="S33" i="24"/>
  <c r="S34" i="24"/>
  <c r="S35" i="24"/>
  <c r="R9" i="24"/>
  <c r="R10" i="24"/>
  <c r="R11" i="24"/>
  <c r="R12" i="24"/>
  <c r="R13" i="24"/>
  <c r="R14" i="24"/>
  <c r="R15" i="24"/>
  <c r="R16" i="24"/>
  <c r="R17" i="24"/>
  <c r="R18" i="24"/>
  <c r="R19" i="24"/>
  <c r="R20" i="24"/>
  <c r="R21" i="24"/>
  <c r="R22" i="24"/>
  <c r="R23" i="24"/>
  <c r="R24" i="24"/>
  <c r="R25" i="24"/>
  <c r="R29" i="24"/>
  <c r="R30" i="24"/>
  <c r="R32" i="24"/>
  <c r="R33" i="24"/>
  <c r="R34" i="24"/>
  <c r="R35" i="24"/>
  <c r="Q9" i="24"/>
  <c r="Q10" i="24"/>
  <c r="Q11" i="24"/>
  <c r="Q12" i="24"/>
  <c r="Q13" i="24"/>
  <c r="Q14" i="24"/>
  <c r="Q15" i="24"/>
  <c r="Q16" i="24"/>
  <c r="Q17" i="24"/>
  <c r="Q18" i="24"/>
  <c r="Q19" i="24"/>
  <c r="Q20" i="24"/>
  <c r="Q21" i="24"/>
  <c r="Q22" i="24"/>
  <c r="Q23" i="24"/>
  <c r="Q24" i="24"/>
  <c r="Q25" i="24"/>
  <c r="Q29" i="24"/>
  <c r="Q30" i="24"/>
  <c r="Q32" i="24"/>
  <c r="Q33" i="24"/>
  <c r="Q34" i="24"/>
  <c r="Q35" i="24"/>
  <c r="Q8" i="24"/>
  <c r="R8" i="24"/>
  <c r="S8" i="24"/>
  <c r="P9" i="24"/>
  <c r="P10" i="24"/>
  <c r="P11" i="24"/>
  <c r="P12" i="24"/>
  <c r="P13" i="24"/>
  <c r="P14" i="24"/>
  <c r="P15" i="24"/>
  <c r="P16" i="24"/>
  <c r="P17" i="24"/>
  <c r="P18" i="24"/>
  <c r="P19" i="24"/>
  <c r="P20" i="24"/>
  <c r="P21" i="24"/>
  <c r="P22" i="24"/>
  <c r="P23" i="24"/>
  <c r="P24" i="24"/>
  <c r="P25" i="24"/>
  <c r="P29" i="24"/>
  <c r="P30" i="24"/>
  <c r="P32" i="24"/>
  <c r="P33" i="24"/>
  <c r="P34" i="24"/>
  <c r="P35" i="24"/>
  <c r="O18" i="24"/>
  <c r="O19" i="24"/>
  <c r="O20" i="24"/>
  <c r="O21" i="24"/>
  <c r="O22" i="24"/>
  <c r="O23" i="24"/>
  <c r="O24" i="24"/>
  <c r="O25" i="24"/>
  <c r="O29" i="24"/>
  <c r="O30" i="24"/>
  <c r="O32" i="24"/>
  <c r="O33" i="24"/>
  <c r="O34" i="24"/>
  <c r="O35" i="24"/>
  <c r="P7" i="24"/>
  <c r="P8" i="24"/>
  <c r="P6" i="24"/>
  <c r="Q6" i="24"/>
  <c r="R6" i="24"/>
  <c r="S6" i="24"/>
  <c r="P5" i="24"/>
  <c r="Q5" i="24"/>
  <c r="R5" i="24"/>
  <c r="S5" i="24"/>
  <c r="O5" i="24"/>
  <c r="O6" i="24"/>
  <c r="O7" i="24"/>
  <c r="O8" i="24"/>
  <c r="O9" i="24"/>
  <c r="O10" i="24"/>
  <c r="O11" i="24"/>
  <c r="O12" i="24"/>
  <c r="O13" i="24"/>
  <c r="O14" i="24"/>
  <c r="O15" i="24"/>
  <c r="O16" i="24"/>
  <c r="O17" i="24"/>
  <c r="O4" i="24"/>
  <c r="P4" i="24"/>
  <c r="Q4" i="24"/>
  <c r="R4" i="24"/>
  <c r="S4" i="24"/>
  <c r="M5" i="24"/>
  <c r="M6" i="24"/>
  <c r="M7" i="24"/>
  <c r="M8" i="24"/>
  <c r="M9" i="24"/>
  <c r="M10" i="24"/>
  <c r="M11" i="24"/>
  <c r="M12" i="24"/>
  <c r="M13" i="24"/>
  <c r="M14" i="24"/>
  <c r="M15" i="24"/>
  <c r="M16" i="24"/>
  <c r="M17" i="24"/>
  <c r="M19" i="24"/>
  <c r="M20" i="24"/>
  <c r="M21" i="24"/>
  <c r="M22" i="24"/>
  <c r="M23" i="24"/>
  <c r="M24" i="24"/>
  <c r="M25" i="24"/>
  <c r="M26" i="24"/>
  <c r="M29" i="24"/>
  <c r="M30" i="24"/>
  <c r="M31" i="24"/>
  <c r="M32" i="24"/>
  <c r="M33" i="24"/>
  <c r="M34" i="24"/>
  <c r="M35" i="24"/>
  <c r="L5" i="24"/>
  <c r="L6" i="24"/>
  <c r="L7" i="24"/>
  <c r="L8" i="24"/>
  <c r="L9" i="24"/>
  <c r="L10" i="24"/>
  <c r="L11" i="24"/>
  <c r="L12" i="24"/>
  <c r="L13" i="24"/>
  <c r="L14" i="24"/>
  <c r="L15" i="24"/>
  <c r="L16" i="24"/>
  <c r="L17" i="24"/>
  <c r="L19" i="24"/>
  <c r="L20" i="24"/>
  <c r="L21" i="24"/>
  <c r="L22" i="24"/>
  <c r="L23" i="24"/>
  <c r="L24" i="24"/>
  <c r="L25" i="24"/>
  <c r="L29" i="24"/>
  <c r="L30" i="24"/>
  <c r="L31" i="24"/>
  <c r="L32" i="24"/>
  <c r="L33" i="24"/>
  <c r="L34" i="24"/>
  <c r="L35" i="24"/>
  <c r="K5" i="24"/>
  <c r="K6" i="24"/>
  <c r="K7" i="24"/>
  <c r="K8" i="24"/>
  <c r="K9" i="24"/>
  <c r="K10" i="24"/>
  <c r="K11" i="24"/>
  <c r="K12" i="24"/>
  <c r="K13" i="24"/>
  <c r="K14" i="24"/>
  <c r="K15" i="24"/>
  <c r="K16" i="24"/>
  <c r="K17" i="24"/>
  <c r="K19" i="24"/>
  <c r="K20" i="24"/>
  <c r="K21" i="24"/>
  <c r="K22" i="24"/>
  <c r="K23" i="24"/>
  <c r="K24" i="24"/>
  <c r="K25" i="24"/>
  <c r="K29" i="24"/>
  <c r="K30" i="24"/>
  <c r="K31" i="24"/>
  <c r="K32" i="24"/>
  <c r="K33" i="24"/>
  <c r="K34" i="24"/>
  <c r="K35" i="24"/>
  <c r="J5" i="24"/>
  <c r="J6" i="24"/>
  <c r="J7" i="24"/>
  <c r="J8" i="24"/>
  <c r="J9" i="24"/>
  <c r="J10" i="24"/>
  <c r="J11" i="24"/>
  <c r="J12" i="24"/>
  <c r="J13" i="24"/>
  <c r="J14" i="24"/>
  <c r="J15" i="24"/>
  <c r="J16" i="24"/>
  <c r="J17" i="24"/>
  <c r="J19" i="24"/>
  <c r="J20" i="24"/>
  <c r="J21" i="24"/>
  <c r="J22" i="24"/>
  <c r="J23" i="24"/>
  <c r="J24" i="24"/>
  <c r="J25" i="24"/>
  <c r="J29" i="24"/>
  <c r="J30" i="24"/>
  <c r="J31" i="24"/>
  <c r="J32" i="24"/>
  <c r="J33" i="24"/>
  <c r="J34" i="24"/>
  <c r="J35" i="24"/>
  <c r="M4" i="24"/>
  <c r="L4" i="24"/>
  <c r="K4" i="24"/>
  <c r="J4" i="24"/>
  <c r="I19" i="24"/>
  <c r="I20" i="24"/>
  <c r="I21" i="24"/>
  <c r="I22" i="24"/>
  <c r="I23" i="24"/>
  <c r="I24" i="24"/>
  <c r="I25" i="24"/>
  <c r="I29" i="24"/>
  <c r="I30" i="24"/>
  <c r="I32" i="24"/>
  <c r="I33" i="24"/>
  <c r="I34" i="24"/>
  <c r="I35" i="24"/>
  <c r="D22" i="28"/>
  <c r="D23" i="28" s="1"/>
  <c r="B22" i="28"/>
  <c r="B23" i="28" s="1"/>
  <c r="F21" i="28"/>
  <c r="F22" i="28" s="1"/>
  <c r="F23" i="28" s="1"/>
  <c r="E21" i="28"/>
  <c r="E22" i="28" s="1"/>
  <c r="E23" i="28" s="1"/>
  <c r="D21" i="28"/>
  <c r="C21" i="28"/>
  <c r="C22" i="28" s="1"/>
  <c r="C23" i="28" s="1"/>
  <c r="B21" i="28"/>
  <c r="D27" i="24"/>
  <c r="K27" i="24" s="1"/>
  <c r="B26" i="24"/>
  <c r="I26" i="24" s="1"/>
  <c r="F26" i="24"/>
  <c r="S26" i="24" s="1"/>
  <c r="E26" i="24"/>
  <c r="R26" i="24" s="1"/>
  <c r="D26" i="24"/>
  <c r="Q26" i="24" s="1"/>
  <c r="B31" i="24"/>
  <c r="I31" i="24" s="1"/>
  <c r="C26" i="24"/>
  <c r="P26" i="24" s="1"/>
  <c r="I5" i="24"/>
  <c r="I6" i="24"/>
  <c r="I7" i="24"/>
  <c r="I8" i="24"/>
  <c r="I9" i="24"/>
  <c r="I10" i="24"/>
  <c r="I11" i="24"/>
  <c r="I12" i="24"/>
  <c r="I13" i="24"/>
  <c r="I14" i="24"/>
  <c r="I15" i="24"/>
  <c r="I16" i="24"/>
  <c r="I17" i="24"/>
  <c r="I4" i="24"/>
  <c r="D13" i="21"/>
  <c r="E13" i="21"/>
  <c r="F13" i="21"/>
  <c r="C13" i="21"/>
  <c r="D11" i="21"/>
  <c r="E11" i="21"/>
  <c r="F11" i="21"/>
  <c r="C11" i="21"/>
  <c r="D15" i="21"/>
  <c r="E15" i="21"/>
  <c r="F15" i="21"/>
  <c r="C15" i="21"/>
  <c r="D7" i="21"/>
  <c r="E7" i="21"/>
  <c r="F7" i="21"/>
  <c r="C7" i="21"/>
  <c r="D6" i="21"/>
  <c r="E6" i="21"/>
  <c r="F6" i="21"/>
  <c r="C6" i="21"/>
  <c r="F5" i="21"/>
  <c r="D5" i="21"/>
  <c r="E5" i="21"/>
  <c r="C5" i="21"/>
  <c r="D4" i="21"/>
  <c r="E4" i="21"/>
  <c r="F4" i="21"/>
  <c r="C4" i="21"/>
  <c r="D3" i="21"/>
  <c r="E3" i="21"/>
  <c r="F3" i="21"/>
  <c r="C3" i="21"/>
  <c r="E18" i="31" l="1"/>
  <c r="C24" i="31"/>
  <c r="E14" i="31"/>
  <c r="E19" i="32"/>
  <c r="E26" i="32"/>
  <c r="C18" i="32"/>
  <c r="D27" i="32"/>
  <c r="B20" i="32"/>
  <c r="C20" i="32"/>
  <c r="B24" i="32"/>
  <c r="C24" i="32"/>
  <c r="E24" i="32"/>
  <c r="B25" i="32"/>
  <c r="C25" i="32"/>
  <c r="E18" i="32"/>
  <c r="E20" i="32" s="1"/>
  <c r="E25" i="32"/>
  <c r="D19" i="32"/>
  <c r="D20" i="32" s="1"/>
  <c r="E25" i="31"/>
  <c r="B14" i="31"/>
  <c r="C14" i="31"/>
  <c r="C19" i="31"/>
  <c r="C20" i="31"/>
  <c r="C26" i="31"/>
  <c r="D14" i="31"/>
  <c r="D19" i="31"/>
  <c r="D20" i="31" s="1"/>
  <c r="B26" i="31"/>
  <c r="D26" i="31"/>
  <c r="E26" i="31"/>
  <c r="E19" i="31"/>
  <c r="E20" i="31" s="1"/>
  <c r="E24" i="31"/>
  <c r="C25" i="31"/>
  <c r="C27" i="31" s="1"/>
  <c r="D24" i="31"/>
  <c r="D27" i="31" s="1"/>
  <c r="K26" i="24"/>
  <c r="E27" i="24"/>
  <c r="L27" i="24" s="1"/>
  <c r="J26" i="24"/>
  <c r="L26" i="24"/>
  <c r="O26" i="24"/>
  <c r="S31" i="24"/>
  <c r="O31" i="24"/>
  <c r="Q31" i="24"/>
  <c r="P31" i="24"/>
  <c r="R31" i="24"/>
  <c r="C27" i="24"/>
  <c r="B27" i="24"/>
  <c r="R27" i="24" s="1"/>
  <c r="E28" i="24"/>
  <c r="D28" i="24"/>
  <c r="C28" i="24"/>
  <c r="F27" i="24"/>
  <c r="E14" i="20"/>
  <c r="E27" i="20" s="1"/>
  <c r="C26" i="20"/>
  <c r="D26" i="20"/>
  <c r="E26" i="20"/>
  <c r="C13" i="20"/>
  <c r="D13" i="20"/>
  <c r="E13" i="20"/>
  <c r="B13" i="20"/>
  <c r="C10" i="20"/>
  <c r="D10" i="20"/>
  <c r="E10" i="20"/>
  <c r="E11" i="20" s="1"/>
  <c r="B10" i="20"/>
  <c r="C8" i="20"/>
  <c r="D8" i="20"/>
  <c r="E8" i="20"/>
  <c r="B8" i="20"/>
  <c r="C7" i="20"/>
  <c r="D7" i="20"/>
  <c r="E7" i="20"/>
  <c r="B7" i="20"/>
  <c r="C6" i="20"/>
  <c r="D6" i="20"/>
  <c r="E6" i="20"/>
  <c r="B6" i="20"/>
  <c r="C5" i="20"/>
  <c r="D5" i="20"/>
  <c r="E5" i="20"/>
  <c r="B5" i="20"/>
  <c r="C11" i="10"/>
  <c r="D11" i="10"/>
  <c r="E11" i="10"/>
  <c r="F11" i="10"/>
  <c r="B11" i="10"/>
  <c r="E20" i="20"/>
  <c r="E16" i="20" l="1"/>
  <c r="E21" i="20"/>
  <c r="E22" i="20" s="1"/>
  <c r="C11" i="20"/>
  <c r="C21" i="20" s="1"/>
  <c r="D11" i="20"/>
  <c r="D21" i="20" s="1"/>
  <c r="D14" i="20"/>
  <c r="B14" i="20"/>
  <c r="E27" i="32"/>
  <c r="C27" i="32"/>
  <c r="B27" i="32"/>
  <c r="E27" i="31"/>
  <c r="J28" i="24"/>
  <c r="L28" i="24"/>
  <c r="J27" i="24"/>
  <c r="P27" i="24"/>
  <c r="K28" i="24"/>
  <c r="Q28" i="24"/>
  <c r="I27" i="24"/>
  <c r="O27" i="24"/>
  <c r="S27" i="24"/>
  <c r="M27" i="24"/>
  <c r="Q27" i="24"/>
  <c r="B28" i="24"/>
  <c r="F28" i="24"/>
  <c r="E28" i="20"/>
  <c r="E29" i="20" s="1"/>
  <c r="B11" i="20"/>
  <c r="B21" i="20" s="1"/>
  <c r="C14" i="20"/>
  <c r="B20" i="20"/>
  <c r="C20" i="20"/>
  <c r="D20" i="20"/>
  <c r="B26" i="20"/>
  <c r="D16" i="20" l="1"/>
  <c r="C16" i="20"/>
  <c r="B28" i="20"/>
  <c r="C27" i="20"/>
  <c r="C28" i="20"/>
  <c r="D27" i="20"/>
  <c r="D28" i="20"/>
  <c r="B27" i="20"/>
  <c r="B29" i="20" s="1"/>
  <c r="M28" i="24"/>
  <c r="S28" i="24"/>
  <c r="I28" i="24"/>
  <c r="O28" i="24"/>
  <c r="R28" i="24"/>
  <c r="P28" i="24"/>
  <c r="C22" i="20"/>
  <c r="B16" i="20"/>
  <c r="D22" i="20"/>
  <c r="B22" i="20"/>
  <c r="D29" i="20" l="1"/>
  <c r="C29" i="20"/>
  <c r="P4" i="2"/>
  <c r="P5" i="2"/>
  <c r="P6" i="2"/>
  <c r="P7" i="2"/>
  <c r="P8" i="2"/>
  <c r="P9" i="2"/>
  <c r="P11" i="2"/>
  <c r="P12" i="2"/>
  <c r="P13" i="2"/>
  <c r="P14" i="2"/>
  <c r="P15" i="2"/>
  <c r="P16" i="2"/>
  <c r="P17" i="2"/>
  <c r="P18" i="2"/>
  <c r="P19" i="2"/>
  <c r="P20" i="2"/>
  <c r="P21" i="2"/>
  <c r="P22" i="2"/>
  <c r="P24" i="2"/>
  <c r="P25" i="2"/>
  <c r="P26" i="2"/>
  <c r="P27" i="2"/>
  <c r="P28" i="2"/>
  <c r="P29" i="2"/>
  <c r="P30" i="2"/>
  <c r="P31" i="2"/>
  <c r="P32" i="2"/>
  <c r="P33" i="2"/>
  <c r="P34" i="2"/>
  <c r="P35" i="2"/>
  <c r="P36" i="2"/>
  <c r="P37" i="2"/>
  <c r="O4" i="2"/>
  <c r="O5" i="2"/>
  <c r="O6" i="2"/>
  <c r="O7" i="2"/>
  <c r="O8" i="2"/>
  <c r="O9" i="2"/>
  <c r="O11" i="2"/>
  <c r="O12" i="2"/>
  <c r="O13" i="2"/>
  <c r="O14" i="2"/>
  <c r="O15" i="2"/>
  <c r="O16" i="2"/>
  <c r="O17" i="2"/>
  <c r="O18" i="2"/>
  <c r="O19" i="2"/>
  <c r="O20" i="2"/>
  <c r="O21" i="2"/>
  <c r="O22" i="2"/>
  <c r="O24" i="2"/>
  <c r="O25" i="2"/>
  <c r="O26" i="2"/>
  <c r="O27" i="2"/>
  <c r="O28" i="2"/>
  <c r="O29" i="2"/>
  <c r="O30" i="2"/>
  <c r="O31" i="2"/>
  <c r="O32" i="2"/>
  <c r="O33" i="2"/>
  <c r="O34" i="2"/>
  <c r="O35" i="2"/>
  <c r="O36" i="2"/>
  <c r="O37" i="2"/>
  <c r="N4" i="2"/>
  <c r="N5" i="2"/>
  <c r="N6" i="2"/>
  <c r="N7" i="2"/>
  <c r="N8" i="2"/>
  <c r="N9" i="2"/>
  <c r="N11" i="2"/>
  <c r="N12" i="2"/>
  <c r="N13" i="2"/>
  <c r="N14" i="2"/>
  <c r="N15" i="2"/>
  <c r="N16" i="2"/>
  <c r="N17" i="2"/>
  <c r="N18" i="2"/>
  <c r="N19" i="2"/>
  <c r="N20" i="2"/>
  <c r="N21" i="2"/>
  <c r="N22" i="2"/>
  <c r="N24" i="2"/>
  <c r="N25" i="2"/>
  <c r="N26" i="2"/>
  <c r="N27" i="2"/>
  <c r="N28" i="2"/>
  <c r="N29" i="2"/>
  <c r="N30" i="2"/>
  <c r="N31" i="2"/>
  <c r="N32" i="2"/>
  <c r="N33" i="2"/>
  <c r="N34" i="2"/>
  <c r="N35" i="2"/>
  <c r="N36" i="2"/>
  <c r="N37" i="2"/>
  <c r="O3" i="2"/>
  <c r="P3" i="2"/>
  <c r="N3" i="2"/>
  <c r="L4" i="2"/>
  <c r="L5" i="2"/>
  <c r="L6" i="2"/>
  <c r="L7" i="2"/>
  <c r="L8" i="2"/>
  <c r="L9" i="2"/>
  <c r="L11" i="2"/>
  <c r="L12" i="2"/>
  <c r="L13" i="2"/>
  <c r="L14" i="2"/>
  <c r="L15" i="2"/>
  <c r="L16" i="2"/>
  <c r="L18" i="2"/>
  <c r="L19" i="2"/>
  <c r="L20" i="2"/>
  <c r="L21" i="2"/>
  <c r="L22" i="2"/>
  <c r="L24" i="2"/>
  <c r="L25" i="2"/>
  <c r="L26" i="2"/>
  <c r="L29" i="2"/>
  <c r="L30" i="2"/>
  <c r="L31" i="2"/>
  <c r="L32" i="2"/>
  <c r="L33" i="2"/>
  <c r="L34" i="2"/>
  <c r="L35" i="2"/>
  <c r="L37" i="2"/>
  <c r="K4" i="2"/>
  <c r="K5" i="2"/>
  <c r="K6" i="2"/>
  <c r="K7" i="2"/>
  <c r="K8" i="2"/>
  <c r="K9" i="2"/>
  <c r="K11" i="2"/>
  <c r="K12" i="2"/>
  <c r="K13" i="2"/>
  <c r="K14" i="2"/>
  <c r="K15" i="2"/>
  <c r="K16" i="2"/>
  <c r="K18" i="2"/>
  <c r="K19" i="2"/>
  <c r="K20" i="2"/>
  <c r="K21" i="2"/>
  <c r="K22" i="2"/>
  <c r="K24" i="2"/>
  <c r="K25" i="2"/>
  <c r="K26" i="2"/>
  <c r="K29" i="2"/>
  <c r="K30" i="2"/>
  <c r="K31" i="2"/>
  <c r="K32" i="2"/>
  <c r="K33" i="2"/>
  <c r="K34" i="2"/>
  <c r="K35" i="2"/>
  <c r="K37" i="2"/>
  <c r="K3" i="2"/>
  <c r="L3" i="2"/>
  <c r="J30" i="2"/>
  <c r="J31" i="2"/>
  <c r="J32" i="2"/>
  <c r="J34" i="2"/>
  <c r="J35" i="2"/>
  <c r="J37" i="2"/>
  <c r="I30" i="2"/>
  <c r="I31" i="2"/>
  <c r="I32" i="2"/>
  <c r="I34" i="2"/>
  <c r="I35" i="2"/>
  <c r="I37" i="2"/>
  <c r="I29" i="2"/>
  <c r="J29" i="2"/>
  <c r="H29" i="2"/>
  <c r="H30" i="2"/>
  <c r="H31" i="2"/>
  <c r="H32" i="2"/>
  <c r="H34" i="2"/>
  <c r="H35" i="2"/>
  <c r="H37" i="2"/>
  <c r="J4" i="2"/>
  <c r="J5" i="2"/>
  <c r="J6" i="2"/>
  <c r="J7" i="2"/>
  <c r="J8" i="2"/>
  <c r="J9" i="2"/>
  <c r="J11" i="2"/>
  <c r="J12" i="2"/>
  <c r="J13" i="2"/>
  <c r="J14" i="2"/>
  <c r="J15" i="2"/>
  <c r="J16" i="2"/>
  <c r="J18" i="2"/>
  <c r="J19" i="2"/>
  <c r="J20" i="2"/>
  <c r="J21" i="2"/>
  <c r="J22" i="2"/>
  <c r="J24" i="2"/>
  <c r="J25" i="2"/>
  <c r="J26" i="2"/>
  <c r="I4" i="2"/>
  <c r="I5" i="2"/>
  <c r="I6" i="2"/>
  <c r="I7" i="2"/>
  <c r="I8" i="2"/>
  <c r="I9" i="2"/>
  <c r="I11" i="2"/>
  <c r="I12" i="2"/>
  <c r="I13" i="2"/>
  <c r="I14" i="2"/>
  <c r="I15" i="2"/>
  <c r="I16" i="2"/>
  <c r="I18" i="2"/>
  <c r="I19" i="2"/>
  <c r="I20" i="2"/>
  <c r="I21" i="2"/>
  <c r="I22" i="2"/>
  <c r="I24" i="2"/>
  <c r="I25" i="2"/>
  <c r="I26" i="2"/>
  <c r="I3" i="2"/>
  <c r="J3" i="2"/>
  <c r="H4" i="2"/>
  <c r="H5" i="2"/>
  <c r="H6" i="2"/>
  <c r="H7" i="2"/>
  <c r="H8" i="2"/>
  <c r="H9" i="2"/>
  <c r="H11" i="2"/>
  <c r="H12" i="2"/>
  <c r="H13" i="2"/>
  <c r="H14" i="2"/>
  <c r="H15" i="2"/>
  <c r="H16" i="2"/>
  <c r="H18" i="2"/>
  <c r="H19" i="2"/>
  <c r="H20" i="2"/>
  <c r="H21" i="2"/>
  <c r="H22" i="2"/>
  <c r="H24" i="2"/>
  <c r="H25" i="2"/>
  <c r="H26" i="2"/>
  <c r="H3" i="2"/>
  <c r="C23" i="2" l="1"/>
  <c r="D9" i="21" s="1"/>
  <c r="D23" i="2"/>
  <c r="E9" i="21" s="1"/>
  <c r="E23" i="2"/>
  <c r="F23" i="2"/>
  <c r="L23" i="2" s="1"/>
  <c r="B23" i="2"/>
  <c r="C9" i="21" s="1"/>
  <c r="C10" i="2"/>
  <c r="D10" i="2"/>
  <c r="E10" i="2"/>
  <c r="K10" i="2" s="1"/>
  <c r="F10" i="2"/>
  <c r="L10" i="2" s="1"/>
  <c r="B10" i="2"/>
  <c r="K23" i="2" l="1"/>
  <c r="F9" i="21"/>
  <c r="I10" i="2"/>
  <c r="O10" i="2"/>
  <c r="J10" i="2"/>
  <c r="P10" i="2"/>
  <c r="H23" i="2"/>
  <c r="N23" i="2"/>
  <c r="H10" i="2"/>
  <c r="N10" i="2"/>
  <c r="J23" i="2"/>
  <c r="P23" i="2"/>
  <c r="I23" i="2"/>
  <c r="O23" i="2"/>
  <c r="B18" i="31" l="1"/>
  <c r="B19" i="31"/>
  <c r="B24" i="31"/>
  <c r="B25" i="31"/>
  <c r="B20" i="31" l="1"/>
  <c r="B27" i="31"/>
</calcChain>
</file>

<file path=xl/sharedStrings.xml><?xml version="1.0" encoding="utf-8"?>
<sst xmlns="http://schemas.openxmlformats.org/spreadsheetml/2006/main" count="716" uniqueCount="407">
  <si>
    <t>Total liabilities and shareholders' equity</t>
  </si>
  <si>
    <t>Total shareholders' equity</t>
  </si>
  <si>
    <t>Retained earnings</t>
  </si>
  <si>
    <t>Accumulated other comprehensive income (loss)</t>
  </si>
  <si>
    <t>Additional paid-in capital</t>
  </si>
  <si>
    <t>Preferred stock, $0.001 par value; 2 shares authorized; none issued</t>
  </si>
  <si>
    <t> </t>
  </si>
  <si>
    <t xml:space="preserve"> </t>
  </si>
  <si>
    <t>Commitments and contingencies - see Note 13</t>
  </si>
  <si>
    <t>Total liabilities</t>
  </si>
  <si>
    <t>Other long-term liabilities</t>
  </si>
  <si>
    <t>Long-term operating lease liabilities</t>
  </si>
  <si>
    <t>Long-term debt</t>
  </si>
  <si>
    <t>Total current liabilities</t>
  </si>
  <si>
    <t>Short-term debt</t>
  </si>
  <si>
    <t>Accrued and other current liabilities</t>
  </si>
  <si>
    <t>Accounts payable</t>
  </si>
  <si>
    <t>Deferred income tax assets</t>
  </si>
  <si>
    <t>Intangible assets, net</t>
  </si>
  <si>
    <t>Goodwill</t>
  </si>
  <si>
    <t>Operating lease assets</t>
  </si>
  <si>
    <t>Property and equipment, net</t>
  </si>
  <si>
    <t>Prepaid expenses and other current assets</t>
  </si>
  <si>
    <t>Inventories</t>
  </si>
  <si>
    <t>Accounts receivable, net</t>
  </si>
  <si>
    <t>Marketable securities</t>
  </si>
  <si>
    <t>Cash and cash equivalents</t>
  </si>
  <si>
    <t>Jan. 29, 2023</t>
  </si>
  <si>
    <t>Jan. 28, 2024</t>
  </si>
  <si>
    <t>Jan. 30, 2022</t>
  </si>
  <si>
    <t>Jan. 31, 2021</t>
  </si>
  <si>
    <t>Treasury stock, at cost (345 shares in 2021 and 342 shares in 2020)</t>
  </si>
  <si>
    <t>Jan. 26, 2020</t>
  </si>
  <si>
    <t>Common stock, $0.001 par value</t>
    <phoneticPr fontId="1" type="noConversion"/>
  </si>
  <si>
    <t>Diluted (in shares)</t>
  </si>
  <si>
    <t>Basic (in shares)</t>
  </si>
  <si>
    <t>Weighted average shares used in per share computation:</t>
  </si>
  <si>
    <t>Diluted (in USD per share)</t>
  </si>
  <si>
    <t>Basic (in USD per share)</t>
  </si>
  <si>
    <t>Net income per share:</t>
  </si>
  <si>
    <t>Net income</t>
  </si>
  <si>
    <t>Income tax expense (benefit)</t>
  </si>
  <si>
    <t>Other income (expense), net</t>
  </si>
  <si>
    <t>Other, net</t>
  </si>
  <si>
    <t>Interest expense</t>
  </si>
  <si>
    <t>Interest income</t>
  </si>
  <si>
    <t>Total operating expenses</t>
  </si>
  <si>
    <t>Acquisition termination cost</t>
  </si>
  <si>
    <t>Sales, general and administrative</t>
  </si>
  <si>
    <t>Research and development</t>
  </si>
  <si>
    <t>Gross profit</t>
  </si>
  <si>
    <t>Cost of revenue</t>
  </si>
  <si>
    <t>Revenue</t>
  </si>
  <si>
    <t>Income Statement [Abstract]</t>
  </si>
  <si>
    <t>12 Months Ended</t>
  </si>
  <si>
    <t>Cash paid for interest</t>
  </si>
  <si>
    <t>Cash paid for income taxes, net</t>
  </si>
  <si>
    <t>Supplemental disclosures of cash flow information:</t>
  </si>
  <si>
    <t>Cash and cash equivalents at end of period</t>
  </si>
  <si>
    <t>Cash and cash equivalents at beginning of period</t>
  </si>
  <si>
    <t>Change in cash and cash equivalents</t>
  </si>
  <si>
    <t>Net cash provided by (used in) financing activities</t>
  </si>
  <si>
    <t>Other</t>
  </si>
  <si>
    <t>Dividends paid</t>
  </si>
  <si>
    <t>Repayment of debt</t>
  </si>
  <si>
    <t>Payments related to tax on restricted stock units</t>
  </si>
  <si>
    <t>Issuance of debt, net of issuance costs</t>
  </si>
  <si>
    <t>Cash flows from financing activities:</t>
  </si>
  <si>
    <t>Net cash provided by (used in) investing activities</t>
  </si>
  <si>
    <t>Acquisitions, net of cash acquired</t>
  </si>
  <si>
    <t>Purchases related to property and equipment and intangible assets</t>
  </si>
  <si>
    <t>Purchases of marketable securities</t>
  </si>
  <si>
    <t>Proceeds from sales of marketable securities</t>
  </si>
  <si>
    <t>Proceeds from maturities of marketable securities</t>
  </si>
  <si>
    <t>Cash flows from investing activities:</t>
  </si>
  <si>
    <t>Net cash provided by operating activities</t>
  </si>
  <si>
    <t>Prepaid expenses and other assets</t>
  </si>
  <si>
    <t>Accounts receivable</t>
  </si>
  <si>
    <t>Changes in operating assets and liabilities, net of acquisitions:</t>
  </si>
  <si>
    <t>Deferred income taxes</t>
  </si>
  <si>
    <t>Depreciation and amortization</t>
  </si>
  <si>
    <t>Stock-based compensation expense</t>
  </si>
  <si>
    <t>Adjustments to reconcile net income to net cash provided by operating activities:</t>
  </si>
  <si>
    <t>Cash flows from operating activities:</t>
  </si>
  <si>
    <t>Principal payments on property and equipment and intangible assets</t>
  </si>
  <si>
    <t>Payments related to repurchases of common stock</t>
  </si>
  <si>
    <t>Investments in non-affiliated entities and other, net</t>
  </si>
  <si>
    <t>(Gains) losses on investments in non-affiliated entities, net</t>
  </si>
  <si>
    <t>NVDA_balance-sheet_Annual</t>
    <phoneticPr fontId="1" type="noConversion"/>
  </si>
  <si>
    <t>Total Assets:</t>
    <phoneticPr fontId="1" type="noConversion"/>
  </si>
  <si>
    <t>Total current assets</t>
    <phoneticPr fontId="1" type="noConversion"/>
  </si>
  <si>
    <t>Other non-current assets</t>
    <phoneticPr fontId="1" type="noConversion"/>
  </si>
  <si>
    <t>Total Non-current assets</t>
    <phoneticPr fontId="1" type="noConversion"/>
  </si>
  <si>
    <t>Total non-current liabilities</t>
    <phoneticPr fontId="1" type="noConversion"/>
  </si>
  <si>
    <t>Vertical common size</t>
  </si>
  <si>
    <t>HORIZONAL COMMON SIZE</t>
  </si>
  <si>
    <t>NVDA Income Statement</t>
    <phoneticPr fontId="1" type="noConversion"/>
  </si>
  <si>
    <t>NVDA Cash Flow</t>
    <phoneticPr fontId="1" type="noConversion"/>
  </si>
  <si>
    <t>Statement of Comprehensive Income [Abstract]</t>
  </si>
  <si>
    <t>Available-for-sale securities:</t>
  </si>
  <si>
    <t>Net change in unrealized gain (loss)</t>
  </si>
  <si>
    <t>Reclassification adjustments for net realized gain included in net income</t>
  </si>
  <si>
    <t>Cash flow hedges:</t>
  </si>
  <si>
    <t>Reclassification adjustments for net realized gain (loss) included in net income</t>
  </si>
  <si>
    <t>Net change in unrealized loss</t>
  </si>
  <si>
    <t>Other comprehensive income (loss), net of tax</t>
  </si>
  <si>
    <t>Total comprehensive income</t>
  </si>
  <si>
    <t>revenue</t>
  </si>
  <si>
    <t>EBIT</t>
  </si>
  <si>
    <t>EBT</t>
  </si>
  <si>
    <t>net income</t>
  </si>
  <si>
    <t>equity</t>
  </si>
  <si>
    <t>average equity</t>
  </si>
  <si>
    <t>total assets</t>
  </si>
  <si>
    <t>average total assets</t>
  </si>
  <si>
    <t>ROE</t>
  </si>
  <si>
    <t>net profit margin</t>
  </si>
  <si>
    <t>equity turnover</t>
  </si>
  <si>
    <t>asset turnover</t>
  </si>
  <si>
    <t>leverage ratio</t>
  </si>
  <si>
    <t>EBT</t>
    <phoneticPr fontId="1" type="noConversion"/>
  </si>
  <si>
    <t>EBITDA</t>
    <phoneticPr fontId="1" type="noConversion"/>
  </si>
  <si>
    <t>EBIT(Operating Income)</t>
    <phoneticPr fontId="1" type="noConversion"/>
  </si>
  <si>
    <t>NVIDIA</t>
    <phoneticPr fontId="1" type="noConversion"/>
  </si>
  <si>
    <t>12 months ended:</t>
  </si>
  <si>
    <t>cash flow-to-revenue</t>
  </si>
  <si>
    <t>cash flow-to-net income</t>
  </si>
  <si>
    <t>cash-to-income</t>
  </si>
  <si>
    <t>cash return-on-assets</t>
  </si>
  <si>
    <t>cash return-on-equity</t>
  </si>
  <si>
    <t>debt coverage</t>
  </si>
  <si>
    <t>interest coverage</t>
  </si>
  <si>
    <t>debt payment</t>
  </si>
  <si>
    <t>reinvestment</t>
  </si>
  <si>
    <t>dividend payment</t>
  </si>
  <si>
    <t> </t>
    <phoneticPr fontId="1" type="noConversion"/>
  </si>
  <si>
    <t>Long-term investing activities</t>
    <phoneticPr fontId="1" type="noConversion"/>
  </si>
  <si>
    <t>Short-term investing activities</t>
    <phoneticPr fontId="1" type="noConversion"/>
  </si>
  <si>
    <t>Proceeds related to employee stock plans</t>
    <phoneticPr fontId="1" type="noConversion"/>
  </si>
  <si>
    <t>Short-term financing activities:</t>
    <phoneticPr fontId="1" type="noConversion"/>
  </si>
  <si>
    <t>Long-term financing activities:</t>
    <phoneticPr fontId="1" type="noConversion"/>
  </si>
  <si>
    <t>Operating Cash Flow</t>
  </si>
  <si>
    <t>Investing Cash Flow</t>
  </si>
  <si>
    <t>Financing Cash Flow</t>
  </si>
  <si>
    <t>Total Assets</t>
  </si>
  <si>
    <t>Other Operating Expenses</t>
  </si>
  <si>
    <t>Net Income</t>
  </si>
  <si>
    <t>Minority Interests</t>
  </si>
  <si>
    <t>Inventory</t>
  </si>
  <si>
    <t>Other Current Assets</t>
  </si>
  <si>
    <t>Accounts Payable</t>
  </si>
  <si>
    <t>Current Debt</t>
  </si>
  <si>
    <t>Long Term Debt</t>
  </si>
  <si>
    <t>Capital Expenditure</t>
  </si>
  <si>
    <t>Free Cash Flow</t>
  </si>
  <si>
    <t>Balance Sheet</t>
  </si>
  <si>
    <t>Assets</t>
  </si>
  <si>
    <t>Total cash, cash equivalents, and short-term investments</t>
  </si>
  <si>
    <t>Total current assets</t>
  </si>
  <si>
    <t>Not property, plant and equipment</t>
  </si>
  <si>
    <t>Equity and other investments</t>
  </si>
  <si>
    <t>-</t>
  </si>
  <si>
    <t>Intangibles</t>
  </si>
  <si>
    <t>Deferred Income Taxes</t>
  </si>
  <si>
    <t>Other Long-Term Assets</t>
  </si>
  <si>
    <t>Total non-current assets</t>
  </si>
  <si>
    <t>Liabilities and stockholders' equity</t>
  </si>
  <si>
    <t>Taxes Payable</t>
  </si>
  <si>
    <t>Other current liabilities</t>
  </si>
  <si>
    <t>Deferred taxes liabilities</t>
  </si>
  <si>
    <t>Total non-current liabilities</t>
  </si>
  <si>
    <t>Total Liabilities</t>
  </si>
  <si>
    <t>Common stock</t>
  </si>
  <si>
    <t>Other reserves</t>
  </si>
  <si>
    <t>Total stockholders' equity</t>
  </si>
  <si>
    <t>Total liabilities and stockholders' equity</t>
  </si>
  <si>
    <t>Income Statement</t>
  </si>
  <si>
    <t>Cost of Revenue</t>
  </si>
  <si>
    <t>Gross Operating Profit</t>
  </si>
  <si>
    <t>Operating expenses</t>
  </si>
  <si>
    <t>Staff cost</t>
  </si>
  <si>
    <t>Total Operating Expenses</t>
  </si>
  <si>
    <t>Non-operating income</t>
  </si>
  <si>
    <t>Provision for income taxes</t>
  </si>
  <si>
    <t>Net income available for common shareholders</t>
  </si>
  <si>
    <t>Earnings per share</t>
  </si>
  <si>
    <t>Basic</t>
  </si>
  <si>
    <t>Diluted</t>
  </si>
  <si>
    <t>Figures in millions. Currency is EUR.</t>
  </si>
  <si>
    <t>Cash Flow</t>
  </si>
  <si>
    <t>Cash Flows From Operating Activities</t>
  </si>
  <si>
    <t>Account payable</t>
  </si>
  <si>
    <t>Other working capital</t>
  </si>
  <si>
    <t>Other non-cash items</t>
  </si>
  <si>
    <t>Cash Flows From Investing Activities</t>
  </si>
  <si>
    <t>Investment in property, plant and equipment</t>
  </si>
  <si>
    <t>Acquisitions Net</t>
  </si>
  <si>
    <t>Purchases of investments</t>
  </si>
  <si>
    <t>Sales/Maturities of investments</t>
  </si>
  <si>
    <t>Purchases of intangibles</t>
  </si>
  <si>
    <t>Other investing activities</t>
  </si>
  <si>
    <t>Net cash used for investing activities</t>
  </si>
  <si>
    <t>Cash Flows From Financing Activities</t>
  </si>
  <si>
    <t>Common stock issued</t>
  </si>
  <si>
    <t>Dividends</t>
  </si>
  <si>
    <t>Other financing activities</t>
  </si>
  <si>
    <t>Net cash provided by (used for) financing activities</t>
  </si>
  <si>
    <t>Net Change in Cash</t>
  </si>
  <si>
    <t>Cash at beginning of period</t>
  </si>
  <si>
    <t>Cash at end of period</t>
  </si>
  <si>
    <t>Free cash in flow</t>
  </si>
  <si>
    <t>Income Statement in Eur</t>
    <phoneticPr fontId="1" type="noConversion"/>
  </si>
  <si>
    <t>Figures in millions. Currency is TWD.</t>
  </si>
  <si>
    <t>Short-term investments</t>
  </si>
  <si>
    <t>Deferred taxes liabilities</t>
    <phoneticPr fontId="1" type="noConversion"/>
  </si>
  <si>
    <t>Vertical Common Size</t>
    <phoneticPr fontId="1" type="noConversion"/>
  </si>
  <si>
    <t xml:space="preserve">Treasury Stock&amp; other </t>
    <phoneticPr fontId="1" type="noConversion"/>
  </si>
  <si>
    <t>Other liabilities</t>
    <phoneticPr fontId="1" type="noConversion"/>
  </si>
  <si>
    <t>Net property, plant and equipment</t>
    <phoneticPr fontId="1" type="noConversion"/>
  </si>
  <si>
    <t>Other  liabilities</t>
    <phoneticPr fontId="1" type="noConversion"/>
  </si>
  <si>
    <t>Horizontal Common Size</t>
    <phoneticPr fontId="1" type="noConversion"/>
  </si>
  <si>
    <t>ASML MILLIONS IN EUR</t>
    <phoneticPr fontId="1" type="noConversion"/>
  </si>
  <si>
    <t>Income before income taxes(EBT)</t>
    <phoneticPr fontId="1" type="noConversion"/>
  </si>
  <si>
    <t>Operating income before interest and taxes(EBIT)</t>
    <phoneticPr fontId="1" type="noConversion"/>
  </si>
  <si>
    <t>Gain (Loss) On Sale Of Assets</t>
  </si>
  <si>
    <t>TSM</t>
    <phoneticPr fontId="1" type="noConversion"/>
  </si>
  <si>
    <t>ASML</t>
    <phoneticPr fontId="1" type="noConversion"/>
  </si>
  <si>
    <t>NVIDIA</t>
  </si>
  <si>
    <t>TSMC</t>
  </si>
  <si>
    <t>ASML</t>
  </si>
  <si>
    <t>TSMC (IN NT$)</t>
    <phoneticPr fontId="1" type="noConversion"/>
  </si>
  <si>
    <t>ASML IN EUR</t>
    <phoneticPr fontId="1" type="noConversion"/>
  </si>
  <si>
    <t>NVIDIA IN USD</t>
    <phoneticPr fontId="1" type="noConversion"/>
  </si>
  <si>
    <t>1. NVIDIA (in USD)</t>
  </si>
  <si>
    <r>
      <t>Operating Cash Flow</t>
    </r>
    <r>
      <rPr>
        <sz val="11"/>
        <color theme="1"/>
        <rFont val="等线"/>
        <family val="2"/>
        <scheme val="minor"/>
      </rPr>
      <t xml:space="preserve">: Steadily increased from </t>
    </r>
    <r>
      <rPr>
        <b/>
        <sz val="11"/>
        <color theme="1"/>
        <rFont val="等线"/>
        <family val="3"/>
        <charset val="134"/>
        <scheme val="minor"/>
      </rPr>
      <t>$1.17B</t>
    </r>
    <r>
      <rPr>
        <sz val="11"/>
        <color theme="1"/>
        <rFont val="等线"/>
        <family val="2"/>
        <scheme val="minor"/>
      </rPr>
      <t xml:space="preserve"> in 2013 to a peak of </t>
    </r>
    <r>
      <rPr>
        <b/>
        <sz val="11"/>
        <color theme="1"/>
        <rFont val="等线"/>
        <family val="3"/>
        <charset val="134"/>
        <scheme val="minor"/>
      </rPr>
      <t>$9.11B</t>
    </r>
    <r>
      <rPr>
        <sz val="11"/>
        <color theme="1"/>
        <rFont val="等线"/>
        <family val="2"/>
        <scheme val="minor"/>
      </rPr>
      <t xml:space="preserve"> in 2022 but dropped to </t>
    </r>
    <r>
      <rPr>
        <b/>
        <sz val="11"/>
        <color theme="1"/>
        <rFont val="等线"/>
        <family val="3"/>
        <charset val="134"/>
        <scheme val="minor"/>
      </rPr>
      <t>$5.64B</t>
    </r>
    <r>
      <rPr>
        <sz val="11"/>
        <color theme="1"/>
        <rFont val="等线"/>
        <family val="2"/>
        <scheme val="minor"/>
      </rPr>
      <t xml:space="preserve"> in 2023, demonstrating strong but slightly fluctuating operating performance.</t>
    </r>
  </si>
  <si>
    <r>
      <t>Investing Cash Flow</t>
    </r>
    <r>
      <rPr>
        <sz val="11"/>
        <color theme="1"/>
        <rFont val="等线"/>
        <family val="2"/>
        <scheme val="minor"/>
      </rPr>
      <t xml:space="preserve">: Mostly negative, reflecting significant investments in R&amp;D, technology, and expansion, with the lowest point in 2021 at </t>
    </r>
    <r>
      <rPr>
        <b/>
        <sz val="11"/>
        <color theme="1"/>
        <rFont val="等线"/>
        <family val="3"/>
        <charset val="134"/>
        <scheme val="minor"/>
      </rPr>
      <t>-$19.68B</t>
    </r>
    <r>
      <rPr>
        <sz val="11"/>
        <color theme="1"/>
        <rFont val="等线"/>
        <family val="2"/>
        <scheme val="minor"/>
      </rPr>
      <t xml:space="preserve">. It turned positive in 2023 at </t>
    </r>
    <r>
      <rPr>
        <b/>
        <sz val="11"/>
        <color theme="1"/>
        <rFont val="等线"/>
        <family val="3"/>
        <charset val="134"/>
        <scheme val="minor"/>
      </rPr>
      <t>$7.38B</t>
    </r>
    <r>
      <rPr>
        <sz val="11"/>
        <color theme="1"/>
        <rFont val="等线"/>
        <family val="2"/>
        <scheme val="minor"/>
      </rPr>
      <t>, showing a potential shift in investment strategy.</t>
    </r>
  </si>
  <si>
    <r>
      <t>Financing Cash Flow</t>
    </r>
    <r>
      <rPr>
        <sz val="11"/>
        <color theme="1"/>
        <rFont val="等线"/>
        <family val="2"/>
        <scheme val="minor"/>
      </rPr>
      <t xml:space="preserve">: Volatile over the years, with </t>
    </r>
    <r>
      <rPr>
        <b/>
        <sz val="11"/>
        <color theme="1"/>
        <rFont val="等线"/>
        <family val="3"/>
        <charset val="134"/>
        <scheme val="minor"/>
      </rPr>
      <t>$3.8B</t>
    </r>
    <r>
      <rPr>
        <sz val="11"/>
        <color theme="1"/>
        <rFont val="等线"/>
        <family val="2"/>
        <scheme val="minor"/>
      </rPr>
      <t xml:space="preserve"> in 2021 but dropping to </t>
    </r>
    <r>
      <rPr>
        <b/>
        <sz val="11"/>
        <color theme="1"/>
        <rFont val="等线"/>
        <family val="3"/>
        <charset val="134"/>
        <scheme val="minor"/>
      </rPr>
      <t>-$11.62B</t>
    </r>
    <r>
      <rPr>
        <sz val="11"/>
        <color theme="1"/>
        <rFont val="等线"/>
        <family val="2"/>
        <scheme val="minor"/>
      </rPr>
      <t xml:space="preserve"> in 2023, indicating a reduced reliance on external financing.</t>
    </r>
  </si>
  <si>
    <t>2. TSMC (in New Taiwan Dollar)</t>
  </si>
  <si>
    <r>
      <t>Operating Cash Flow</t>
    </r>
    <r>
      <rPr>
        <sz val="11"/>
        <color theme="1"/>
        <rFont val="等线"/>
        <family val="2"/>
        <scheme val="minor"/>
      </rPr>
      <t xml:space="preserve">: Grew substantially from </t>
    </r>
    <r>
      <rPr>
        <b/>
        <sz val="11"/>
        <color theme="1"/>
        <rFont val="等线"/>
        <family val="3"/>
        <charset val="134"/>
        <scheme val="minor"/>
      </rPr>
      <t>NT$243.6B</t>
    </r>
    <r>
      <rPr>
        <sz val="11"/>
        <color theme="1"/>
        <rFont val="等线"/>
        <family val="2"/>
        <scheme val="minor"/>
      </rPr>
      <t xml:space="preserve"> in 2013 to </t>
    </r>
    <r>
      <rPr>
        <b/>
        <sz val="11"/>
        <color theme="1"/>
        <rFont val="等线"/>
        <family val="3"/>
        <charset val="134"/>
        <scheme val="minor"/>
      </rPr>
      <t>NT$1,404B</t>
    </r>
    <r>
      <rPr>
        <sz val="11"/>
        <color theme="1"/>
        <rFont val="等线"/>
        <family val="2"/>
        <scheme val="minor"/>
      </rPr>
      <t xml:space="preserve"> in 2023, reflecting a nearly sixfold increase and strong cash-generating capacity.</t>
    </r>
  </si>
  <si>
    <r>
      <t>Investing Cash Flow</t>
    </r>
    <r>
      <rPr>
        <sz val="11"/>
        <color theme="1"/>
        <rFont val="等线"/>
        <family val="2"/>
        <scheme val="minor"/>
      </rPr>
      <t xml:space="preserve">: Consistently negative, reaching its lowest point at </t>
    </r>
    <r>
      <rPr>
        <b/>
        <sz val="11"/>
        <color theme="1"/>
        <rFont val="等线"/>
        <family val="3"/>
        <charset val="134"/>
        <scheme val="minor"/>
      </rPr>
      <t>-NT$1,287B</t>
    </r>
    <r>
      <rPr>
        <sz val="11"/>
        <color theme="1"/>
        <rFont val="等线"/>
        <family val="2"/>
        <scheme val="minor"/>
      </rPr>
      <t xml:space="preserve"> in 2021, highlighting TSMC’s massive capital expenditures for capacity expansion.</t>
    </r>
  </si>
  <si>
    <r>
      <t>Financing Cash Flow</t>
    </r>
    <r>
      <rPr>
        <sz val="11"/>
        <color theme="1"/>
        <rFont val="等线"/>
        <family val="2"/>
        <scheme val="minor"/>
      </rPr>
      <t xml:space="preserve">: Mostly negative, with a temporary positive value of </t>
    </r>
    <r>
      <rPr>
        <b/>
        <sz val="11"/>
        <color theme="1"/>
        <rFont val="等线"/>
        <family val="3"/>
        <charset val="134"/>
        <scheme val="minor"/>
      </rPr>
      <t>NT$144B</t>
    </r>
    <r>
      <rPr>
        <sz val="11"/>
        <color theme="1"/>
        <rFont val="等线"/>
        <family val="2"/>
        <scheme val="minor"/>
      </rPr>
      <t xml:space="preserve"> in 2020, followed by a decline to </t>
    </r>
    <r>
      <rPr>
        <b/>
        <sz val="11"/>
        <color theme="1"/>
        <rFont val="等线"/>
        <family val="3"/>
        <charset val="134"/>
        <scheme val="minor"/>
      </rPr>
      <t>-NT$300B</t>
    </r>
    <r>
      <rPr>
        <sz val="11"/>
        <color theme="1"/>
        <rFont val="等线"/>
        <family val="2"/>
        <scheme val="minor"/>
      </rPr>
      <t xml:space="preserve"> in 2023, indicating reduced external financing.</t>
    </r>
  </si>
  <si>
    <t>3. ASML (in EUR)</t>
  </si>
  <si>
    <r>
      <t>Operating Cash Flow</t>
    </r>
    <r>
      <rPr>
        <sz val="11"/>
        <color theme="1"/>
        <rFont val="等线"/>
        <family val="2"/>
        <scheme val="minor"/>
      </rPr>
      <t xml:space="preserve">: Showed a general upward trend, peaking at </t>
    </r>
    <r>
      <rPr>
        <b/>
        <sz val="11"/>
        <color theme="1"/>
        <rFont val="等线"/>
        <family val="3"/>
        <charset val="134"/>
        <scheme val="minor"/>
      </rPr>
      <t>€11.77B</t>
    </r>
    <r>
      <rPr>
        <sz val="11"/>
        <color theme="1"/>
        <rFont val="等线"/>
        <family val="2"/>
        <scheme val="minor"/>
      </rPr>
      <t xml:space="preserve"> in 2021 before declining to </t>
    </r>
    <r>
      <rPr>
        <b/>
        <sz val="11"/>
        <color theme="1"/>
        <rFont val="等线"/>
        <family val="3"/>
        <charset val="134"/>
        <scheme val="minor"/>
      </rPr>
      <t>€7.59B</t>
    </r>
    <r>
      <rPr>
        <sz val="11"/>
        <color theme="1"/>
        <rFont val="等线"/>
        <family val="2"/>
        <scheme val="minor"/>
      </rPr>
      <t xml:space="preserve"> in 2022 and </t>
    </r>
    <r>
      <rPr>
        <b/>
        <sz val="11"/>
        <color theme="1"/>
        <rFont val="等线"/>
        <family val="3"/>
        <charset val="134"/>
        <scheme val="minor"/>
      </rPr>
      <t>€3.56B</t>
    </r>
    <r>
      <rPr>
        <sz val="11"/>
        <color theme="1"/>
        <rFont val="等线"/>
        <family val="2"/>
        <scheme val="minor"/>
      </rPr>
      <t xml:space="preserve"> in 2023.</t>
    </r>
  </si>
  <si>
    <r>
      <t>Investing Cash Flow</t>
    </r>
    <r>
      <rPr>
        <sz val="11"/>
        <color theme="1"/>
        <rFont val="等线"/>
        <family val="2"/>
        <scheme val="minor"/>
      </rPr>
      <t xml:space="preserve">: Persistently negative, reflecting long-term investments in technology and capacity, reaching </t>
    </r>
    <r>
      <rPr>
        <b/>
        <sz val="11"/>
        <color theme="1"/>
        <rFont val="等线"/>
        <family val="3"/>
        <charset val="134"/>
        <scheme val="minor"/>
      </rPr>
      <t>-€3B</t>
    </r>
    <r>
      <rPr>
        <sz val="11"/>
        <color theme="1"/>
        <rFont val="等线"/>
        <family val="2"/>
        <scheme val="minor"/>
      </rPr>
      <t xml:space="preserve"> in 2023.</t>
    </r>
  </si>
  <si>
    <r>
      <t>Financing Cash Flow</t>
    </r>
    <r>
      <rPr>
        <sz val="11"/>
        <color theme="1"/>
        <rFont val="等线"/>
        <family val="2"/>
        <scheme val="minor"/>
      </rPr>
      <t xml:space="preserve">: Relatively stable and consistently negative, with </t>
    </r>
    <r>
      <rPr>
        <b/>
        <sz val="11"/>
        <color theme="1"/>
        <rFont val="等线"/>
        <family val="3"/>
        <charset val="134"/>
        <scheme val="minor"/>
      </rPr>
      <t>-€3B</t>
    </r>
    <r>
      <rPr>
        <sz val="11"/>
        <color theme="1"/>
        <rFont val="等线"/>
        <family val="2"/>
        <scheme val="minor"/>
      </rPr>
      <t xml:space="preserve"> in 2023, reflecting ASML's low reliance on external financing.</t>
    </r>
  </si>
  <si>
    <t>Overall Analysis</t>
  </si>
  <si>
    <r>
      <t>1. Growth Trends</t>
    </r>
    <r>
      <rPr>
        <sz val="14"/>
        <color theme="1"/>
        <rFont val="等线"/>
        <family val="3"/>
        <charset val="134"/>
        <scheme val="minor"/>
      </rPr>
      <t>:</t>
    </r>
  </si>
  <si>
    <r>
      <t>Operating Cash Flow</t>
    </r>
    <r>
      <rPr>
        <sz val="14"/>
        <color theme="1"/>
        <rFont val="等线"/>
        <family val="3"/>
        <charset val="134"/>
        <scheme val="minor"/>
      </rPr>
      <t>: All three companies showed significant growth, but NVIDIA and ASML experienced declines in 2023, likely due to market fluctuations or cost pressures.</t>
    </r>
  </si>
  <si>
    <r>
      <t>Investing Cash Flow</t>
    </r>
    <r>
      <rPr>
        <sz val="14"/>
        <color theme="1"/>
        <rFont val="等线"/>
        <family val="3"/>
        <charset val="134"/>
        <scheme val="minor"/>
      </rPr>
      <t>: All companies consistently reported negative figures, signaling heavy investments, especially for TSMC and ASML.</t>
    </r>
  </si>
  <si>
    <r>
      <t>Financing Cash Flow</t>
    </r>
    <r>
      <rPr>
        <sz val="14"/>
        <color theme="1"/>
        <rFont val="等线"/>
        <family val="3"/>
        <charset val="134"/>
        <scheme val="minor"/>
      </rPr>
      <t>: Predominantly negative across all three companies, indicating reduced dependency on external financing and a focus on internal funding.</t>
    </r>
  </si>
  <si>
    <r>
      <t>2. Key Differences</t>
    </r>
    <r>
      <rPr>
        <sz val="14"/>
        <color theme="1"/>
        <rFont val="等线"/>
        <family val="3"/>
        <charset val="134"/>
        <scheme val="minor"/>
      </rPr>
      <t>:</t>
    </r>
  </si>
  <si>
    <r>
      <t>TSMC</t>
    </r>
    <r>
      <rPr>
        <sz val="14"/>
        <color theme="1"/>
        <rFont val="等线"/>
        <family val="3"/>
        <charset val="134"/>
        <scheme val="minor"/>
      </rPr>
      <t xml:space="preserve"> has the largest cash flow scale, especially in operating and investing activities.</t>
    </r>
  </si>
  <si>
    <r>
      <t>ASML</t>
    </r>
    <r>
      <rPr>
        <sz val="14"/>
        <color theme="1"/>
        <rFont val="等线"/>
        <family val="3"/>
        <charset val="134"/>
        <scheme val="minor"/>
      </rPr>
      <t xml:space="preserve"> experienced a peak in operating cash flow in 2021 but saw a decline afterward, potentially reflecting demand fluctuations.</t>
    </r>
  </si>
  <si>
    <r>
      <t>NVIDIA</t>
    </r>
    <r>
      <rPr>
        <sz val="14"/>
        <color theme="1"/>
        <rFont val="等线"/>
        <family val="3"/>
        <charset val="134"/>
        <scheme val="minor"/>
      </rPr>
      <t>'s investment cash flow saw significant shifts, with a substantial outflow in 2021 turning positive in 2023, indicating adjustments in its investment strategy.</t>
    </r>
  </si>
  <si>
    <r>
      <t>1. Cash Flow-to-Revenue</t>
    </r>
    <r>
      <rPr>
        <sz val="11"/>
        <color theme="1"/>
        <rFont val="等线"/>
        <family val="2"/>
        <scheme val="minor"/>
      </rPr>
      <t>:</t>
    </r>
  </si>
  <si>
    <t>Significant improvement from 2022 (20.9%) to 2023 (46.1%), indicating better operational efficiency in generating cash relative to revenue.</t>
  </si>
  <si>
    <t>A major leap from previous years suggests a focus on optimizing cash flow generation.</t>
  </si>
  <si>
    <r>
      <t>2. Cash Flow-to-Net Income</t>
    </r>
    <r>
      <rPr>
        <sz val="11"/>
        <color theme="1"/>
        <rFont val="等线"/>
        <family val="2"/>
        <scheme val="minor"/>
      </rPr>
      <t>:</t>
    </r>
  </si>
  <si>
    <t>Remains strong at 0.94 in 2023, showing stable cash conversion efficiency from net income.</t>
  </si>
  <si>
    <t>A drop from 1.29 in 2022 suggests that some earnings are not translating directly into cash.</t>
  </si>
  <si>
    <r>
      <t>3. Cash-to-Income</t>
    </r>
    <r>
      <rPr>
        <sz val="11"/>
        <color theme="1"/>
        <rFont val="等线"/>
        <family val="2"/>
        <scheme val="minor"/>
      </rPr>
      <t>:</t>
    </r>
  </si>
  <si>
    <t>Decreased to 0.85 in 2023 from 1.34 in 2022, indicating that a smaller portion of income is reflected in cash, which could be due to reinvestment or non-cash expenses.</t>
  </si>
  <si>
    <r>
      <t>4. Cash Return on Assets and Equity</t>
    </r>
    <r>
      <rPr>
        <sz val="11"/>
        <color theme="1"/>
        <rFont val="等线"/>
        <family val="2"/>
        <scheme val="minor"/>
      </rPr>
      <t>:</t>
    </r>
  </si>
  <si>
    <t>Cash return on assets improved dramatically to 52.5% in 2023, reflecting efficient asset utilization for generating cash.</t>
  </si>
  <si>
    <t>Similarly, cash return on equity surged to 86.3%, highlighting robust returns for shareholders.</t>
  </si>
  <si>
    <r>
      <t>5. Debt and Interest Coverage</t>
    </r>
    <r>
      <rPr>
        <sz val="11"/>
        <color theme="1"/>
        <rFont val="等线"/>
        <family val="2"/>
        <scheme val="minor"/>
      </rPr>
      <t>:</t>
    </r>
  </si>
  <si>
    <t>Debt coverage increased significantly to 123.5% in 2023, showcasing stronger cash flow generation to cover debt obligations.</t>
  </si>
  <si>
    <t>Interest coverage remains healthy at 39, though a reduction from 125.84 in 2022 signals increased financial costs or reduced cash.</t>
  </si>
  <si>
    <r>
      <t>6. Reinvestment and Dividend Payment</t>
    </r>
    <r>
      <rPr>
        <sz val="11"/>
        <color theme="1"/>
        <rFont val="等线"/>
        <family val="2"/>
        <scheme val="minor"/>
      </rPr>
      <t>:</t>
    </r>
  </si>
  <si>
    <t>Reinvestment increased to 13.14 in 2023, reflecting a focus on growth and expansion.</t>
  </si>
  <si>
    <t>Dividend payments grew significantly, indicating commitment to shareholder returns.</t>
  </si>
  <si>
    <t>Declined to 57.5% in 2023 from 71.1% in 2022, suggesting slightly reduced efficiency in converting revenue into cash.</t>
  </si>
  <si>
    <t>Stable at a high level (145.9% in 2023), indicating TSMC generates more cash than reported net income, a strong operational signal.</t>
  </si>
  <si>
    <t>Dropped significantly from 247.8% in 2022 to 110.8% in 2023, indicating reduced cash conversion from income, potentially due to reinvestments or higher expenses.</t>
  </si>
  <si>
    <t>Cash return on assets declined to 34.9% in 2023, though still demonstrating good asset utilization.</t>
  </si>
  <si>
    <t>Cash return on equity dropped to 38.5%, indicating slightly lower returns to shareholders.</t>
  </si>
  <si>
    <t>Debt coverage decreased to 60.6% in 2023 from 80.4% in 2022, showing a slight decline in the ability to manage debt.</t>
  </si>
  <si>
    <t>Interest coverage also declined to 61.96, suggesting an increase in financial obligations or reduced cash flow efficiency.</t>
  </si>
  <si>
    <t>Reinvestment remained steady at 1.31 in 2023, indicating ongoing investments in infrastructure or technology.</t>
  </si>
  <si>
    <t>Dividend payment slightly decreased to 4.26, reflecting a cautious approach to shareholder returns.</t>
  </si>
  <si>
    <t>Declined significantly to 19.8% in 2023 from 40.1% in 2022, indicating reduced efficiency in converting revenue to cash.</t>
  </si>
  <si>
    <t>Dropped to 0.69 in 2023 from 1.51 in 2022, reflecting lower cash generation relative to net income.</t>
  </si>
  <si>
    <t>Reduced to 0.60 in 2023 from 1.31 in 2022, suggesting cash generation relative to income has declined, potentially due to higher expenses or investments.</t>
  </si>
  <si>
    <t>Significant declines in 2023:</t>
  </si>
  <si>
    <t>Cash return on assets dropped to 14.3% from 25.5% in 2022.</t>
  </si>
  <si>
    <t>Cash return on equity dropped to 48.9% from 89.6%, suggesting lower returns for shareholders.</t>
  </si>
  <si>
    <t>Debt coverage decreased to 20.5% in 2023 from 30.9% in 2022, indicating reduced capacity to cover debt obligations.</t>
  </si>
  <si>
    <t>Interest coverage also dropped significantly to 30.59, signaling increased financial costs or reduced cash efficiency.</t>
  </si>
  <si>
    <t>Reinvestment reduced to 2.53 in 2023, suggesting less allocation to growth initiatives.</t>
  </si>
  <si>
    <t>Dividend payment decreased to 2.32, reflecting a conservative approach to distributing shareholder returns.</t>
  </si>
  <si>
    <t>Overall Insights</t>
  </si>
  <si>
    <t>NVIDIA showed the most improvement in operational efficiency and shareholder returns in 2023, but cash-to-income metrics suggest challenges in cash conversion.</t>
  </si>
  <si>
    <t>TSMC remains strong, with stable metrics, but signs of slight declines in cash flow efficiency are visible.</t>
  </si>
  <si>
    <t>ASML saw the largest declines in efficiency and returns, indicating challenges in maintaining prior growth rates and cash flow management.</t>
  </si>
  <si>
    <t>NVIDIA has shown significant improvement in debt and interest coverage, while TSMC and ASML showed declines, signaling differing approaches to financial management.</t>
  </si>
  <si>
    <t>NVIDIA stands out with a significant increase in dividend payments, while TSMC and ASML took a more cautious approach in 2023.</t>
  </si>
  <si>
    <t>Efficiency and Growth:</t>
  </si>
  <si>
    <t>Debt Management:</t>
  </si>
  <si>
    <t>Shareholder Returns:</t>
  </si>
  <si>
    <r>
      <t>1. Revenue and Net Income</t>
    </r>
    <r>
      <rPr>
        <sz val="11"/>
        <color theme="1"/>
        <rFont val="等线"/>
        <family val="2"/>
        <scheme val="minor"/>
      </rPr>
      <t>:</t>
    </r>
  </si>
  <si>
    <t>Revenue increased significantly from $26,974 million in 2022 to $60,922 million in 2023, nearly doubling.</t>
  </si>
  <si>
    <t>Net income also grew from $4,368 million in 2022 to $29,760 million in 2023, reflecting exceptional profitability.</t>
  </si>
  <si>
    <r>
      <t>2. Return on Equity (ROE)</t>
    </r>
    <r>
      <rPr>
        <sz val="11"/>
        <color theme="1"/>
        <rFont val="等线"/>
        <family val="2"/>
        <scheme val="minor"/>
      </rPr>
      <t>:</t>
    </r>
  </si>
  <si>
    <t>ROE rose dramatically from 18% in 2022 to 91% in 2023, indicating NVIDIA delivered significant returns to shareholders. This jump is primarily driven by higher net profit margins and improved equity turnover.</t>
  </si>
  <si>
    <r>
      <t>3. Net Profit Margin</t>
    </r>
    <r>
      <rPr>
        <sz val="11"/>
        <color theme="1"/>
        <rFont val="等线"/>
        <family val="2"/>
        <scheme val="minor"/>
      </rPr>
      <t>:</t>
    </r>
  </si>
  <si>
    <r>
      <t xml:space="preserve">Net profit margin surged to </t>
    </r>
    <r>
      <rPr>
        <b/>
        <sz val="11"/>
        <color theme="1"/>
        <rFont val="等线"/>
        <family val="3"/>
        <charset val="134"/>
        <scheme val="minor"/>
      </rPr>
      <t>48.85%</t>
    </r>
    <r>
      <rPr>
        <sz val="11"/>
        <color theme="1"/>
        <rFont val="等线"/>
        <family val="2"/>
        <scheme val="minor"/>
      </rPr>
      <t xml:space="preserve"> in 2023 from 16.19% in 2022, showcasing impressive cost efficiency and profitability improvements.</t>
    </r>
  </si>
  <si>
    <r>
      <t>4. Asset Turnover and Leverage</t>
    </r>
    <r>
      <rPr>
        <sz val="11"/>
        <color theme="1"/>
        <rFont val="等线"/>
        <family val="2"/>
        <scheme val="minor"/>
      </rPr>
      <t>:</t>
    </r>
  </si>
  <si>
    <r>
      <t xml:space="preserve">Asset turnover improved to </t>
    </r>
    <r>
      <rPr>
        <b/>
        <sz val="11"/>
        <color theme="1"/>
        <rFont val="等线"/>
        <family val="3"/>
        <charset val="134"/>
        <scheme val="minor"/>
      </rPr>
      <t>1.14</t>
    </r>
    <r>
      <rPr>
        <sz val="11"/>
        <color theme="1"/>
        <rFont val="等线"/>
        <family val="2"/>
        <scheme val="minor"/>
      </rPr>
      <t xml:space="preserve"> in 2023, reflecting better utilization of assets to generate revenue.</t>
    </r>
  </si>
  <si>
    <r>
      <t xml:space="preserve">Leverage ratio slightly decreased to </t>
    </r>
    <r>
      <rPr>
        <b/>
        <sz val="11"/>
        <color theme="1"/>
        <rFont val="等线"/>
        <family val="3"/>
        <charset val="134"/>
        <scheme val="minor"/>
      </rPr>
      <t>1.64</t>
    </r>
    <r>
      <rPr>
        <sz val="11"/>
        <color theme="1"/>
        <rFont val="等线"/>
        <family val="2"/>
        <scheme val="minor"/>
      </rPr>
      <t>, suggesting a modest reduction in financial risk.</t>
    </r>
  </si>
  <si>
    <t>TSMC
Revenue and Net Income:
Revenue remained stable at around NT$2,161,736 million in 2023, with net income at NT$851,028 million, reflecting healthy operational performance despite global semiconductor challenges.
Return on Equity (ROE):
ROE declined from 39% in 2022 to 26% in 2023, driven by slight reductions in profitability and efficiency metrics.
Net Profit Margin:
Net profit margin slightly decreased to 39.37% in 2023 from 43.88% in 2022, indicating a slight increase in operational costs or pricing pressure.
Asset Turnover and Leverage:
Asset turnover decreased to 0.41 in 2023, reflecting lower efficiency in utilizing assets to generate revenue.
Leverage ratio remained relatively stable at 1.63, indicating consistent financial management.</t>
    <phoneticPr fontId="1" type="noConversion"/>
  </si>
  <si>
    <t>Revenue increased from €21,173 million in 2022 to €27,559 million in 2023, showing strong growth in the lithography equipment market.</t>
  </si>
  <si>
    <t>Net income slightly decreased to €5,624 million in 2023 from €5,883 million in 2022, possibly reflecting higher costs or reduced margins.</t>
  </si>
  <si>
    <t>ROE declined from a peak of 62% in 2022 to 51% in 2023, driven by slight reductions in profitability metrics.</t>
  </si>
  <si>
    <r>
      <t xml:space="preserve">Net profit margin dropped to </t>
    </r>
    <r>
      <rPr>
        <b/>
        <sz val="11"/>
        <color theme="1"/>
        <rFont val="等线"/>
        <family val="3"/>
        <charset val="134"/>
        <scheme val="minor"/>
      </rPr>
      <t>20.41%</t>
    </r>
    <r>
      <rPr>
        <sz val="11"/>
        <color theme="1"/>
        <rFont val="等线"/>
        <family val="2"/>
        <scheme val="minor"/>
      </rPr>
      <t xml:space="preserve"> in 2023 from </t>
    </r>
    <r>
      <rPr>
        <b/>
        <sz val="11"/>
        <color theme="1"/>
        <rFont val="等线"/>
        <family val="3"/>
        <charset val="134"/>
        <scheme val="minor"/>
      </rPr>
      <t>27.79%</t>
    </r>
    <r>
      <rPr>
        <sz val="11"/>
        <color theme="1"/>
        <rFont val="等线"/>
        <family val="2"/>
        <scheme val="minor"/>
      </rPr>
      <t xml:space="preserve"> in 2022, suggesting challenges in maintaining cost efficiency.</t>
    </r>
  </si>
  <si>
    <r>
      <t xml:space="preserve">Asset turnover improved slightly to </t>
    </r>
    <r>
      <rPr>
        <b/>
        <sz val="11"/>
        <color theme="1"/>
        <rFont val="等线"/>
        <family val="3"/>
        <charset val="134"/>
        <scheme val="minor"/>
      </rPr>
      <t>0.72</t>
    </r>
    <r>
      <rPr>
        <sz val="11"/>
        <color theme="1"/>
        <rFont val="等线"/>
        <family val="2"/>
        <scheme val="minor"/>
      </rPr>
      <t xml:space="preserve"> in 2023, indicating better utilization of assets.</t>
    </r>
  </si>
  <si>
    <r>
      <t xml:space="preserve">Leverage ratio slightly declined to </t>
    </r>
    <r>
      <rPr>
        <b/>
        <sz val="11"/>
        <color theme="1"/>
        <rFont val="等线"/>
        <family val="3"/>
        <charset val="134"/>
        <scheme val="minor"/>
      </rPr>
      <t>3.43</t>
    </r>
    <r>
      <rPr>
        <sz val="11"/>
        <color theme="1"/>
        <rFont val="等线"/>
        <family val="2"/>
        <scheme val="minor"/>
      </rPr>
      <t>, suggesting a modest reduction in financial dependency on debt.</t>
    </r>
  </si>
  <si>
    <t>1. Vertical Common Size</t>
  </si>
  <si>
    <r>
      <t>Definition</t>
    </r>
    <r>
      <rPr>
        <sz val="11"/>
        <color theme="1"/>
        <rFont val="等线"/>
        <family val="2"/>
        <scheme val="minor"/>
      </rPr>
      <t>:</t>
    </r>
  </si>
  <si>
    <r>
      <t xml:space="preserve">Each item is expressed as a percentage of </t>
    </r>
    <r>
      <rPr>
        <b/>
        <sz val="11"/>
        <color theme="1"/>
        <rFont val="等线"/>
        <family val="3"/>
        <charset val="134"/>
        <scheme val="minor"/>
      </rPr>
      <t>total assets</t>
    </r>
    <r>
      <rPr>
        <sz val="11"/>
        <color theme="1"/>
        <rFont val="等线"/>
        <family val="2"/>
        <scheme val="minor"/>
      </rPr>
      <t xml:space="preserve"> (or liabilities and stockholders' equity) for a specific year. This helps evaluate the composition of assets, liabilities, and equity relative to the company's total resources.</t>
    </r>
  </si>
  <si>
    <r>
      <t>Key Insights</t>
    </r>
    <r>
      <rPr>
        <sz val="11"/>
        <color theme="1"/>
        <rFont val="等线"/>
        <family val="2"/>
        <scheme val="minor"/>
      </rPr>
      <t>:</t>
    </r>
  </si>
  <si>
    <r>
      <t>Cash and Cash Equivalents</t>
    </r>
    <r>
      <rPr>
        <sz val="11"/>
        <color theme="1"/>
        <rFont val="等线"/>
        <family val="2"/>
        <scheme val="minor"/>
      </rPr>
      <t>:</t>
    </r>
  </si>
  <si>
    <r>
      <t xml:space="preserve">Increased from </t>
    </r>
    <r>
      <rPr>
        <b/>
        <sz val="11"/>
        <color theme="1"/>
        <rFont val="等线"/>
        <family val="3"/>
        <charset val="134"/>
        <scheme val="minor"/>
      </rPr>
      <t>26%</t>
    </r>
    <r>
      <rPr>
        <sz val="11"/>
        <color theme="1"/>
        <rFont val="等线"/>
        <family val="2"/>
        <scheme val="minor"/>
      </rPr>
      <t xml:space="preserve"> in 2019 to </t>
    </r>
    <r>
      <rPr>
        <b/>
        <sz val="11"/>
        <color theme="1"/>
        <rFont val="等线"/>
        <family val="3"/>
        <charset val="134"/>
        <scheme val="minor"/>
      </rPr>
      <t>32%</t>
    </r>
    <r>
      <rPr>
        <sz val="11"/>
        <color theme="1"/>
        <rFont val="等线"/>
        <family val="2"/>
        <scheme val="minor"/>
      </rPr>
      <t xml:space="preserve"> in 2023, indicating an improvement in liquidity over time.</t>
    </r>
  </si>
  <si>
    <r>
      <t>Total Current Assets</t>
    </r>
    <r>
      <rPr>
        <sz val="11"/>
        <color theme="1"/>
        <rFont val="等线"/>
        <family val="2"/>
        <scheme val="minor"/>
      </rPr>
      <t>:</t>
    </r>
  </si>
  <si>
    <r>
      <t xml:space="preserve">Grew from </t>
    </r>
    <r>
      <rPr>
        <b/>
        <sz val="11"/>
        <color theme="1"/>
        <rFont val="等线"/>
        <family val="3"/>
        <charset val="134"/>
        <scheme val="minor"/>
      </rPr>
      <t>36%</t>
    </r>
    <r>
      <rPr>
        <sz val="11"/>
        <color theme="1"/>
        <rFont val="等线"/>
        <family val="2"/>
        <scheme val="minor"/>
      </rPr>
      <t xml:space="preserve"> in 2019 to </t>
    </r>
    <r>
      <rPr>
        <b/>
        <sz val="11"/>
        <color theme="1"/>
        <rFont val="等线"/>
        <family val="3"/>
        <charset val="134"/>
        <scheme val="minor"/>
      </rPr>
      <t>40%</t>
    </r>
    <r>
      <rPr>
        <sz val="11"/>
        <color theme="1"/>
        <rFont val="等线"/>
        <family val="2"/>
        <scheme val="minor"/>
      </rPr>
      <t xml:space="preserve"> in 2023, showing a stronger focus on short-term resources.</t>
    </r>
  </si>
  <si>
    <r>
      <t>Total Non-Current Assets</t>
    </r>
    <r>
      <rPr>
        <sz val="11"/>
        <color theme="1"/>
        <rFont val="等线"/>
        <family val="2"/>
        <scheme val="minor"/>
      </rPr>
      <t>:</t>
    </r>
  </si>
  <si>
    <r>
      <t xml:space="preserve">Slightly declined as a percentage of total assets, from </t>
    </r>
    <r>
      <rPr>
        <b/>
        <sz val="11"/>
        <color theme="1"/>
        <rFont val="等线"/>
        <family val="3"/>
        <charset val="134"/>
        <scheme val="minor"/>
      </rPr>
      <t>64%</t>
    </r>
    <r>
      <rPr>
        <sz val="11"/>
        <color theme="1"/>
        <rFont val="等线"/>
        <family val="2"/>
        <scheme val="minor"/>
      </rPr>
      <t xml:space="preserve"> in 2019 to </t>
    </r>
    <r>
      <rPr>
        <b/>
        <sz val="11"/>
        <color theme="1"/>
        <rFont val="等线"/>
        <family val="3"/>
        <charset val="134"/>
        <scheme val="minor"/>
      </rPr>
      <t>59%</t>
    </r>
    <r>
      <rPr>
        <sz val="11"/>
        <color theme="1"/>
        <rFont val="等线"/>
        <family val="2"/>
        <scheme val="minor"/>
      </rPr>
      <t xml:space="preserve"> in 2023, suggesting a reallocation of resources toward current assets.</t>
    </r>
  </si>
  <si>
    <r>
      <t>Total Liabilities</t>
    </r>
    <r>
      <rPr>
        <sz val="11"/>
        <color theme="1"/>
        <rFont val="等线"/>
        <family val="2"/>
        <scheme val="minor"/>
      </rPr>
      <t>:</t>
    </r>
  </si>
  <si>
    <r>
      <t xml:space="preserve">Remained relatively stable at around </t>
    </r>
    <r>
      <rPr>
        <b/>
        <sz val="11"/>
        <color theme="1"/>
        <rFont val="等线"/>
        <family val="3"/>
        <charset val="134"/>
        <scheme val="minor"/>
      </rPr>
      <t>37%</t>
    </r>
    <r>
      <rPr>
        <sz val="11"/>
        <color theme="1"/>
        <rFont val="等线"/>
        <family val="2"/>
        <scheme val="minor"/>
      </rPr>
      <t xml:space="preserve"> to </t>
    </r>
    <r>
      <rPr>
        <b/>
        <sz val="11"/>
        <color theme="1"/>
        <rFont val="等线"/>
        <family val="3"/>
        <charset val="134"/>
        <scheme val="minor"/>
      </rPr>
      <t>40%</t>
    </r>
    <r>
      <rPr>
        <sz val="11"/>
        <color theme="1"/>
        <rFont val="等线"/>
        <family val="2"/>
        <scheme val="minor"/>
      </rPr>
      <t>, indicating consistent leverage usage.</t>
    </r>
  </si>
  <si>
    <r>
      <t>Stockholders' Equity</t>
    </r>
    <r>
      <rPr>
        <sz val="11"/>
        <color theme="1"/>
        <rFont val="等线"/>
        <family val="2"/>
        <scheme val="minor"/>
      </rPr>
      <t>:</t>
    </r>
  </si>
  <si>
    <r>
      <t xml:space="preserve">Represents the majority of the funding, consistently accounting for around </t>
    </r>
    <r>
      <rPr>
        <b/>
        <sz val="11"/>
        <color theme="1"/>
        <rFont val="等线"/>
        <family val="3"/>
        <charset val="134"/>
        <scheme val="minor"/>
      </rPr>
      <t>60%-71%</t>
    </r>
    <r>
      <rPr>
        <sz val="11"/>
        <color theme="1"/>
        <rFont val="等线"/>
        <family val="2"/>
        <scheme val="minor"/>
      </rPr>
      <t xml:space="preserve"> of total assets.</t>
    </r>
  </si>
  <si>
    <t>2. Horizontal Common Size</t>
  </si>
  <si>
    <t>Each item is compared to its base year value (2019 in this case) to measure growth over time. Values are expressed as a percentage of the base year (2019 = 100%).</t>
  </si>
  <si>
    <r>
      <t xml:space="preserve">Grew significantly, from </t>
    </r>
    <r>
      <rPr>
        <b/>
        <sz val="11"/>
        <color theme="1"/>
        <rFont val="等线"/>
        <family val="3"/>
        <charset val="134"/>
        <scheme val="minor"/>
      </rPr>
      <t>100%</t>
    </r>
    <r>
      <rPr>
        <sz val="11"/>
        <color theme="1"/>
        <rFont val="等线"/>
        <family val="2"/>
        <scheme val="minor"/>
      </rPr>
      <t xml:space="preserve"> in 2019 to </t>
    </r>
    <r>
      <rPr>
        <b/>
        <sz val="11"/>
        <color theme="1"/>
        <rFont val="等线"/>
        <family val="3"/>
        <charset val="134"/>
        <scheme val="minor"/>
      </rPr>
      <t>322%</t>
    </r>
    <r>
      <rPr>
        <sz val="11"/>
        <color theme="1"/>
        <rFont val="等线"/>
        <family val="2"/>
        <scheme val="minor"/>
      </rPr>
      <t xml:space="preserve"> in 2023, indicating a strong increase in liquid reserves.</t>
    </r>
  </si>
  <si>
    <r>
      <t xml:space="preserve">Increased by </t>
    </r>
    <r>
      <rPr>
        <b/>
        <sz val="11"/>
        <color theme="1"/>
        <rFont val="等线"/>
        <family val="3"/>
        <charset val="134"/>
        <scheme val="minor"/>
      </rPr>
      <t>267%</t>
    </r>
    <r>
      <rPr>
        <sz val="11"/>
        <color theme="1"/>
        <rFont val="等线"/>
        <family val="2"/>
        <scheme val="minor"/>
      </rPr>
      <t xml:space="preserve"> compared to 2019, outpacing the growth of other categories, reflecting a focus on enhancing liquidity and short-term investment capacity.</t>
    </r>
  </si>
  <si>
    <r>
      <t>Non-Current Assets</t>
    </r>
    <r>
      <rPr>
        <sz val="11"/>
        <color theme="1"/>
        <rFont val="等线"/>
        <family val="2"/>
        <scheme val="minor"/>
      </rPr>
      <t>:</t>
    </r>
  </si>
  <si>
    <r>
      <t xml:space="preserve">Grew by </t>
    </r>
    <r>
      <rPr>
        <b/>
        <sz val="11"/>
        <color theme="1"/>
        <rFont val="等线"/>
        <family val="3"/>
        <charset val="134"/>
        <scheme val="minor"/>
      </rPr>
      <t>231%</t>
    </r>
    <r>
      <rPr>
        <sz val="11"/>
        <color theme="1"/>
        <rFont val="等线"/>
        <family val="2"/>
        <scheme val="minor"/>
      </rPr>
      <t xml:space="preserve"> over the same period, which is significant but at a slower pace compared to current assets.</t>
    </r>
  </si>
  <si>
    <r>
      <t xml:space="preserve">Increased by </t>
    </r>
    <r>
      <rPr>
        <b/>
        <sz val="11"/>
        <color theme="1"/>
        <rFont val="等线"/>
        <family val="3"/>
        <charset val="134"/>
        <scheme val="minor"/>
      </rPr>
      <t>244%</t>
    </r>
    <r>
      <rPr>
        <sz val="11"/>
        <color theme="1"/>
        <rFont val="等线"/>
        <family val="2"/>
        <scheme val="minor"/>
      </rPr>
      <t xml:space="preserve"> in 2023, indicating a proportional growth in obligations alongside asset expansion.</t>
    </r>
  </si>
  <si>
    <r>
      <t xml:space="preserve">Stockholders' equity grew by </t>
    </r>
    <r>
      <rPr>
        <b/>
        <sz val="11"/>
        <color theme="1"/>
        <rFont val="等线"/>
        <family val="3"/>
        <charset val="134"/>
        <scheme val="minor"/>
      </rPr>
      <t>216%</t>
    </r>
    <r>
      <rPr>
        <sz val="11"/>
        <color theme="1"/>
        <rFont val="等线"/>
        <family val="2"/>
        <scheme val="minor"/>
      </rPr>
      <t>, reflecting retained earnings or new equity financing to support the company’s growth.</t>
    </r>
  </si>
  <si>
    <t>Overall Observations</t>
  </si>
  <si>
    <r>
      <t>1. Liquidity Focus</t>
    </r>
    <r>
      <rPr>
        <sz val="11"/>
        <color theme="1"/>
        <rFont val="等线"/>
        <family val="2"/>
        <scheme val="minor"/>
      </rPr>
      <t>:</t>
    </r>
  </si>
  <si>
    <r>
      <t xml:space="preserve">The significant increase in </t>
    </r>
    <r>
      <rPr>
        <b/>
        <sz val="11"/>
        <color theme="1"/>
        <rFont val="等线"/>
        <family val="3"/>
        <charset val="134"/>
        <scheme val="minor"/>
      </rPr>
      <t>cash and cash equivalents</t>
    </r>
    <r>
      <rPr>
        <sz val="11"/>
        <color theme="1"/>
        <rFont val="等线"/>
        <family val="2"/>
        <scheme val="minor"/>
      </rPr>
      <t xml:space="preserve"> and </t>
    </r>
    <r>
      <rPr>
        <b/>
        <sz val="11"/>
        <color theme="1"/>
        <rFont val="等线"/>
        <family val="3"/>
        <charset val="134"/>
        <scheme val="minor"/>
      </rPr>
      <t>current assets</t>
    </r>
    <r>
      <rPr>
        <sz val="11"/>
        <color theme="1"/>
        <rFont val="等线"/>
        <family val="2"/>
        <scheme val="minor"/>
      </rPr>
      <t xml:space="preserve"> indicates a focus on liquidity and flexibility.</t>
    </r>
  </si>
  <si>
    <r>
      <t>2. Balanced Asset Allocation</t>
    </r>
    <r>
      <rPr>
        <sz val="11"/>
        <color theme="1"/>
        <rFont val="等线"/>
        <family val="2"/>
        <scheme val="minor"/>
      </rPr>
      <t>:</t>
    </r>
  </si>
  <si>
    <r>
      <t xml:space="preserve">While current assets are growing, </t>
    </r>
    <r>
      <rPr>
        <b/>
        <sz val="11"/>
        <color theme="1"/>
        <rFont val="等线"/>
        <family val="3"/>
        <charset val="134"/>
        <scheme val="minor"/>
      </rPr>
      <t>non-current assets</t>
    </r>
    <r>
      <rPr>
        <sz val="11"/>
        <color theme="1"/>
        <rFont val="等线"/>
        <family val="2"/>
        <scheme val="minor"/>
      </rPr>
      <t xml:space="preserve"> remain a substantial portion, suggesting continued investment in long-term growth and infrastructure.</t>
    </r>
  </si>
  <si>
    <r>
      <t>3. Consistent Leverage</t>
    </r>
    <r>
      <rPr>
        <sz val="11"/>
        <color theme="1"/>
        <rFont val="等线"/>
        <family val="2"/>
        <scheme val="minor"/>
      </rPr>
      <t>:</t>
    </r>
  </si>
  <si>
    <t>The proportion of liabilities to total assets remains stable, indicating prudent financial management.</t>
  </si>
  <si>
    <r>
      <t>4. Stockholders' Equity</t>
    </r>
    <r>
      <rPr>
        <sz val="11"/>
        <color theme="1"/>
        <rFont val="等线"/>
        <family val="2"/>
        <scheme val="minor"/>
      </rPr>
      <t>:</t>
    </r>
  </si>
  <si>
    <t>Strong growth in equity reflects the company's profitability and shareholder-focused approach.</t>
  </si>
  <si>
    <t>Vertical Common Size Analysis</t>
  </si>
  <si>
    <r>
      <t>Definition</t>
    </r>
    <r>
      <rPr>
        <sz val="11"/>
        <color theme="1"/>
        <rFont val="等线"/>
        <family val="2"/>
        <scheme val="minor"/>
      </rPr>
      <t>: Each line item is expressed as a percentage of total assets for a specific year, providing insights into the balance sheet composition.</t>
    </r>
  </si>
  <si>
    <t>Key Insights:</t>
  </si>
  <si>
    <r>
      <t>1. Current Assets</t>
    </r>
    <r>
      <rPr>
        <sz val="11"/>
        <color theme="1"/>
        <rFont val="等线"/>
        <family val="2"/>
        <scheme val="minor"/>
      </rPr>
      <t>:</t>
    </r>
  </si>
  <si>
    <r>
      <t xml:space="preserve">Consistently a significant portion of total assets, representing </t>
    </r>
    <r>
      <rPr>
        <b/>
        <sz val="11"/>
        <color theme="1"/>
        <rFont val="等线"/>
        <family val="3"/>
        <charset val="134"/>
        <scheme val="minor"/>
      </rPr>
      <t>67.47% in 2023</t>
    </r>
    <r>
      <rPr>
        <sz val="11"/>
        <color theme="1"/>
        <rFont val="等线"/>
        <family val="2"/>
        <scheme val="minor"/>
      </rPr>
      <t xml:space="preserve">, up from </t>
    </r>
    <r>
      <rPr>
        <b/>
        <sz val="11"/>
        <color theme="1"/>
        <rFont val="等线"/>
        <family val="3"/>
        <charset val="134"/>
        <scheme val="minor"/>
      </rPr>
      <t>55.76% in 2020</t>
    </r>
    <r>
      <rPr>
        <sz val="11"/>
        <color theme="1"/>
        <rFont val="等线"/>
        <family val="2"/>
        <scheme val="minor"/>
      </rPr>
      <t>. This indicates NVIDIA is maintaining strong liquidity and short-term resource allocation.</t>
    </r>
  </si>
  <si>
    <r>
      <t>Cash and Cash Equivalents</t>
    </r>
    <r>
      <rPr>
        <sz val="11"/>
        <color theme="1"/>
        <rFont val="等线"/>
        <family val="2"/>
        <scheme val="minor"/>
      </rPr>
      <t xml:space="preserve">: Grew from </t>
    </r>
    <r>
      <rPr>
        <b/>
        <sz val="11"/>
        <color theme="1"/>
        <rFont val="等线"/>
        <family val="3"/>
        <charset val="134"/>
        <scheme val="minor"/>
      </rPr>
      <t>28.46%</t>
    </r>
    <r>
      <rPr>
        <sz val="11"/>
        <color theme="1"/>
        <rFont val="等线"/>
        <family val="2"/>
        <scheme val="minor"/>
      </rPr>
      <t xml:space="preserve"> in 2020 to </t>
    </r>
    <r>
      <rPr>
        <b/>
        <sz val="11"/>
        <color theme="1"/>
        <rFont val="等线"/>
        <family val="3"/>
        <charset val="134"/>
        <scheme val="minor"/>
      </rPr>
      <t>28.46%</t>
    </r>
    <r>
      <rPr>
        <sz val="11"/>
        <color theme="1"/>
        <rFont val="等线"/>
        <family val="2"/>
        <scheme val="minor"/>
      </rPr>
      <t xml:space="preserve"> in 2023, demonstrating a consistent cash position relative to total assets.</t>
    </r>
  </si>
  <si>
    <r>
      <t>2. Non-Current Assets</t>
    </r>
    <r>
      <rPr>
        <sz val="11"/>
        <color theme="1"/>
        <rFont val="等线"/>
        <family val="2"/>
        <scheme val="minor"/>
      </rPr>
      <t>:</t>
    </r>
  </si>
  <si>
    <r>
      <t xml:space="preserve">Represented </t>
    </r>
    <r>
      <rPr>
        <b/>
        <sz val="11"/>
        <color theme="1"/>
        <rFont val="等线"/>
        <family val="3"/>
        <charset val="134"/>
        <scheme val="minor"/>
      </rPr>
      <t>32.53%</t>
    </r>
    <r>
      <rPr>
        <sz val="11"/>
        <color theme="1"/>
        <rFont val="等线"/>
        <family val="2"/>
        <scheme val="minor"/>
      </rPr>
      <t xml:space="preserve"> of total assets in 2023, reflecting NVIDIA's long-term investments in property, equipment, and intangible assets.</t>
    </r>
  </si>
  <si>
    <r>
      <t>3. Liabilities</t>
    </r>
    <r>
      <rPr>
        <sz val="11"/>
        <color theme="1"/>
        <rFont val="等线"/>
        <family val="2"/>
        <scheme val="minor"/>
      </rPr>
      <t>:</t>
    </r>
  </si>
  <si>
    <r>
      <t xml:space="preserve">Total liabilities accounted for </t>
    </r>
    <r>
      <rPr>
        <b/>
        <sz val="11"/>
        <color theme="1"/>
        <rFont val="等线"/>
        <family val="3"/>
        <charset val="134"/>
        <scheme val="minor"/>
      </rPr>
      <t>34.61% of total assets in 2023</t>
    </r>
    <r>
      <rPr>
        <sz val="11"/>
        <color theme="1"/>
        <rFont val="等线"/>
        <family val="2"/>
        <scheme val="minor"/>
      </rPr>
      <t>, showing a stable reliance on external financing.</t>
    </r>
  </si>
  <si>
    <r>
      <t>Current Liabilities</t>
    </r>
    <r>
      <rPr>
        <sz val="11"/>
        <color theme="1"/>
        <rFont val="等线"/>
        <family val="2"/>
        <scheme val="minor"/>
      </rPr>
      <t xml:space="preserve">: Increased from </t>
    </r>
    <r>
      <rPr>
        <b/>
        <sz val="11"/>
        <color theme="1"/>
        <rFont val="等线"/>
        <family val="3"/>
        <charset val="134"/>
        <scheme val="minor"/>
      </rPr>
      <t>16.17% in 2020</t>
    </r>
    <r>
      <rPr>
        <sz val="11"/>
        <color theme="1"/>
        <rFont val="等线"/>
        <family val="2"/>
        <scheme val="minor"/>
      </rPr>
      <t xml:space="preserve"> to </t>
    </r>
    <r>
      <rPr>
        <b/>
        <sz val="11"/>
        <color theme="1"/>
        <rFont val="等线"/>
        <family val="3"/>
        <charset val="134"/>
        <scheme val="minor"/>
      </rPr>
      <t>29.52% in 2023</t>
    </r>
    <r>
      <rPr>
        <sz val="11"/>
        <color theme="1"/>
        <rFont val="等线"/>
        <family val="2"/>
        <scheme val="minor"/>
      </rPr>
      <t>, indicating a rise in short-term obligations.</t>
    </r>
  </si>
  <si>
    <r>
      <t>4. Shareholders' Equity</t>
    </r>
    <r>
      <rPr>
        <sz val="11"/>
        <color theme="1"/>
        <rFont val="等线"/>
        <family val="2"/>
        <scheme val="minor"/>
      </rPr>
      <t>:</t>
    </r>
  </si>
  <si>
    <r>
      <t xml:space="preserve">Equity remained a significant portion of total funding, representing </t>
    </r>
    <r>
      <rPr>
        <b/>
        <sz val="11"/>
        <color theme="1"/>
        <rFont val="等线"/>
        <family val="3"/>
        <charset val="134"/>
        <scheme val="minor"/>
      </rPr>
      <t>65.39%</t>
    </r>
    <r>
      <rPr>
        <sz val="11"/>
        <color theme="1"/>
        <rFont val="等线"/>
        <family val="2"/>
        <scheme val="minor"/>
      </rPr>
      <t xml:space="preserve"> of total assets in 2023, highlighting strong financial stability and reliance on internal funding.</t>
    </r>
  </si>
  <si>
    <t>Horizontal Common Size Analysis</t>
  </si>
  <si>
    <r>
      <t>Definition</t>
    </r>
    <r>
      <rPr>
        <sz val="11"/>
        <color theme="1"/>
        <rFont val="等线"/>
        <family val="2"/>
        <scheme val="minor"/>
      </rPr>
      <t>: Each line item is expressed as a percentage of its base year value (2019), showing changes over time.</t>
    </r>
  </si>
  <si>
    <r>
      <t>1. Total Assets</t>
    </r>
    <r>
      <rPr>
        <sz val="11"/>
        <color theme="1"/>
        <rFont val="等线"/>
        <family val="2"/>
        <scheme val="minor"/>
      </rPr>
      <t>:</t>
    </r>
  </si>
  <si>
    <r>
      <t xml:space="preserve">Increased by </t>
    </r>
    <r>
      <rPr>
        <b/>
        <sz val="11"/>
        <color theme="1"/>
        <rFont val="等线"/>
        <family val="3"/>
        <charset val="134"/>
        <scheme val="minor"/>
      </rPr>
      <t>148.7% in 2023</t>
    </r>
    <r>
      <rPr>
        <sz val="11"/>
        <color theme="1"/>
        <rFont val="等线"/>
        <family val="2"/>
        <scheme val="minor"/>
      </rPr>
      <t xml:space="preserve"> compared to 2019, reflecting significant growth in NVIDIA's overall size and resource base.</t>
    </r>
  </si>
  <si>
    <r>
      <t>2. Current Assets</t>
    </r>
    <r>
      <rPr>
        <sz val="11"/>
        <color theme="1"/>
        <rFont val="等线"/>
        <family val="2"/>
        <scheme val="minor"/>
      </rPr>
      <t>:</t>
    </r>
  </si>
  <si>
    <r>
      <t xml:space="preserve">Increased by </t>
    </r>
    <r>
      <rPr>
        <b/>
        <sz val="11"/>
        <color theme="1"/>
        <rFont val="等线"/>
        <family val="3"/>
        <charset val="134"/>
        <scheme val="minor"/>
      </rPr>
      <t>153.8% in 2023</t>
    </r>
    <r>
      <rPr>
        <sz val="11"/>
        <color theme="1"/>
        <rFont val="等线"/>
        <family val="2"/>
        <scheme val="minor"/>
      </rPr>
      <t xml:space="preserve">, with </t>
    </r>
    <r>
      <rPr>
        <b/>
        <sz val="11"/>
        <color theme="1"/>
        <rFont val="等线"/>
        <family val="3"/>
        <charset val="134"/>
        <scheme val="minor"/>
      </rPr>
      <t>cash and cash equivalents</t>
    </r>
    <r>
      <rPr>
        <sz val="11"/>
        <color theme="1"/>
        <rFont val="等线"/>
        <family val="2"/>
        <scheme val="minor"/>
      </rPr>
      <t xml:space="preserve"> growing faster than other components.</t>
    </r>
  </si>
  <si>
    <r>
      <t>3. Non-Current Assets</t>
    </r>
    <r>
      <rPr>
        <sz val="11"/>
        <color theme="1"/>
        <rFont val="等线"/>
        <family val="2"/>
        <scheme val="minor"/>
      </rPr>
      <t>:</t>
    </r>
  </si>
  <si>
    <t>Showed steady growth, with a 139.2% increase in 2023 compared to 2019, reflecting investments in long-term assets such as property and equipment.</t>
  </si>
  <si>
    <r>
      <t>4. Liabilities</t>
    </r>
    <r>
      <rPr>
        <sz val="11"/>
        <color theme="1"/>
        <rFont val="等线"/>
        <family val="2"/>
        <scheme val="minor"/>
      </rPr>
      <t>:</t>
    </r>
  </si>
  <si>
    <r>
      <t xml:space="preserve">Total liabilities increased by </t>
    </r>
    <r>
      <rPr>
        <b/>
        <sz val="11"/>
        <color theme="1"/>
        <rFont val="等线"/>
        <family val="3"/>
        <charset val="134"/>
        <scheme val="minor"/>
      </rPr>
      <t>129.4%</t>
    </r>
    <r>
      <rPr>
        <sz val="11"/>
        <color theme="1"/>
        <rFont val="等线"/>
        <family val="2"/>
        <scheme val="minor"/>
      </rPr>
      <t xml:space="preserve"> from 2019 to 2023, with current liabilities growing the fastest (</t>
    </r>
    <r>
      <rPr>
        <b/>
        <sz val="11"/>
        <color theme="1"/>
        <rFont val="等线"/>
        <family val="3"/>
        <charset val="134"/>
        <scheme val="minor"/>
      </rPr>
      <t>253.6%</t>
    </r>
    <r>
      <rPr>
        <sz val="11"/>
        <color theme="1"/>
        <rFont val="等线"/>
        <family val="2"/>
        <scheme val="minor"/>
      </rPr>
      <t>). This suggests NVIDIA is leveraging short-term financing to support operations.</t>
    </r>
  </si>
  <si>
    <r>
      <t>5. Shareholders' Equity</t>
    </r>
    <r>
      <rPr>
        <sz val="11"/>
        <color theme="1"/>
        <rFont val="等线"/>
        <family val="2"/>
        <scheme val="minor"/>
      </rPr>
      <t>:</t>
    </r>
  </si>
  <si>
    <r>
      <t xml:space="preserve">Equity increased by </t>
    </r>
    <r>
      <rPr>
        <b/>
        <sz val="11"/>
        <color theme="1"/>
        <rFont val="等线"/>
        <family val="3"/>
        <charset val="134"/>
        <scheme val="minor"/>
      </rPr>
      <t>161.4%</t>
    </r>
    <r>
      <rPr>
        <sz val="11"/>
        <color theme="1"/>
        <rFont val="等线"/>
        <family val="2"/>
        <scheme val="minor"/>
      </rPr>
      <t xml:space="preserve"> from 2019 to 2023, reflecting strong retained earnings and additional paid-in capital.</t>
    </r>
  </si>
  <si>
    <t>Key Observations</t>
  </si>
  <si>
    <r>
      <t>1. Strong Liquidity</t>
    </r>
    <r>
      <rPr>
        <sz val="11"/>
        <color theme="1"/>
        <rFont val="等线"/>
        <family val="2"/>
        <scheme val="minor"/>
      </rPr>
      <t>:</t>
    </r>
  </si>
  <si>
    <t>NVIDIA's current assets, particularly cash and cash equivalents, make up a substantial portion of total assets, ensuring the company is well-positioned to meet short-term obligations.</t>
  </si>
  <si>
    <r>
      <t>2. Growth in Liabilities</t>
    </r>
    <r>
      <rPr>
        <sz val="11"/>
        <color theme="1"/>
        <rFont val="等线"/>
        <family val="2"/>
        <scheme val="minor"/>
      </rPr>
      <t>:</t>
    </r>
  </si>
  <si>
    <t>The significant increase in current liabilities highlights a reliance on short-term financing, which requires close monitoring to avoid liquidity risks.</t>
  </si>
  <si>
    <r>
      <t>3. Shareholder-Focused</t>
    </r>
    <r>
      <rPr>
        <sz val="11"/>
        <color theme="1"/>
        <rFont val="等线"/>
        <family val="2"/>
        <scheme val="minor"/>
      </rPr>
      <t>:</t>
    </r>
  </si>
  <si>
    <t>The steady growth in shareholders' equity reflects NVIDIA's profitability and commitment to reinvesting earnings into the business.</t>
  </si>
  <si>
    <r>
      <t>4. Sustained Investment in Non-Current Assets</t>
    </r>
    <r>
      <rPr>
        <sz val="11"/>
        <color theme="1"/>
        <rFont val="等线"/>
        <family val="2"/>
        <scheme val="minor"/>
      </rPr>
      <t>:</t>
    </r>
  </si>
  <si>
    <t>NVIDIA's growth in non-current assets indicates a continued focus on long-term strategic investments, such as R&amp;D and infrastructure.</t>
  </si>
  <si>
    <r>
      <t>Definition</t>
    </r>
    <r>
      <rPr>
        <sz val="11"/>
        <color theme="1"/>
        <rFont val="等线"/>
        <family val="2"/>
        <scheme val="minor"/>
      </rPr>
      <t>: Each item is expressed as a percentage of total assets for a specific year, providing insights into the company's balance sheet structure.</t>
    </r>
  </si>
  <si>
    <r>
      <t>1. Total Current Assets</t>
    </r>
    <r>
      <rPr>
        <sz val="11"/>
        <color theme="1"/>
        <rFont val="等线"/>
        <family val="2"/>
        <scheme val="minor"/>
      </rPr>
      <t>:</t>
    </r>
  </si>
  <si>
    <r>
      <t xml:space="preserve">Increased from </t>
    </r>
    <r>
      <rPr>
        <b/>
        <sz val="11"/>
        <color theme="1"/>
        <rFont val="等线"/>
        <family val="3"/>
        <charset val="134"/>
        <scheme val="minor"/>
      </rPr>
      <t>54%</t>
    </r>
    <r>
      <rPr>
        <sz val="11"/>
        <color theme="1"/>
        <rFont val="等线"/>
        <family val="2"/>
        <scheme val="minor"/>
      </rPr>
      <t xml:space="preserve"> of total assets in 2019 to </t>
    </r>
    <r>
      <rPr>
        <b/>
        <sz val="11"/>
        <color theme="1"/>
        <rFont val="等线"/>
        <family val="3"/>
        <charset val="134"/>
        <scheme val="minor"/>
      </rPr>
      <t>61%</t>
    </r>
    <r>
      <rPr>
        <sz val="11"/>
        <color theme="1"/>
        <rFont val="等线"/>
        <family val="2"/>
        <scheme val="minor"/>
      </rPr>
      <t xml:space="preserve"> in 2023, showing ASML's focus on maintaining liquidity and short-term assets.</t>
    </r>
  </si>
  <si>
    <r>
      <t>Cash and Cash Equivalents</t>
    </r>
    <r>
      <rPr>
        <sz val="11"/>
        <color theme="1"/>
        <rFont val="等线"/>
        <family val="2"/>
        <scheme val="minor"/>
      </rPr>
      <t xml:space="preserve">: Declined from </t>
    </r>
    <r>
      <rPr>
        <b/>
        <sz val="11"/>
        <color theme="1"/>
        <rFont val="等线"/>
        <family val="3"/>
        <charset val="134"/>
        <scheme val="minor"/>
      </rPr>
      <t>21%</t>
    </r>
    <r>
      <rPr>
        <sz val="11"/>
        <color theme="1"/>
        <rFont val="等线"/>
        <family val="2"/>
        <scheme val="minor"/>
      </rPr>
      <t xml:space="preserve"> of total assets in 2019 to </t>
    </r>
    <r>
      <rPr>
        <b/>
        <sz val="11"/>
        <color theme="1"/>
        <rFont val="等线"/>
        <family val="3"/>
        <charset val="134"/>
        <scheme val="minor"/>
      </rPr>
      <t>18%</t>
    </r>
    <r>
      <rPr>
        <sz val="11"/>
        <color theme="1"/>
        <rFont val="等线"/>
        <family val="2"/>
        <scheme val="minor"/>
      </rPr>
      <t xml:space="preserve"> in 2023, reflecting a reduced relative position of cash reserves.</t>
    </r>
  </si>
  <si>
    <r>
      <t>2. Total Non-Current Assets</t>
    </r>
    <r>
      <rPr>
        <sz val="11"/>
        <color theme="1"/>
        <rFont val="等线"/>
        <family val="2"/>
        <scheme val="minor"/>
      </rPr>
      <t>:</t>
    </r>
  </si>
  <si>
    <r>
      <t xml:space="preserve">Decreased from </t>
    </r>
    <r>
      <rPr>
        <b/>
        <sz val="11"/>
        <color theme="1"/>
        <rFont val="等线"/>
        <family val="3"/>
        <charset val="134"/>
        <scheme val="minor"/>
      </rPr>
      <t>46%</t>
    </r>
    <r>
      <rPr>
        <sz val="11"/>
        <color theme="1"/>
        <rFont val="等线"/>
        <family val="2"/>
        <scheme val="minor"/>
      </rPr>
      <t xml:space="preserve"> of total assets in 2019 to </t>
    </r>
    <r>
      <rPr>
        <b/>
        <sz val="11"/>
        <color theme="1"/>
        <rFont val="等线"/>
        <family val="3"/>
        <charset val="134"/>
        <scheme val="minor"/>
      </rPr>
      <t>39%</t>
    </r>
    <r>
      <rPr>
        <sz val="11"/>
        <color theme="1"/>
        <rFont val="等线"/>
        <family val="2"/>
        <scheme val="minor"/>
      </rPr>
      <t xml:space="preserve"> in 2023, indicating a relative decline in long-term investments, including property and equipment, and intangibles.</t>
    </r>
  </si>
  <si>
    <r>
      <t xml:space="preserve">Total liabilities as a percentage of total assets increased slightly, from </t>
    </r>
    <r>
      <rPr>
        <b/>
        <sz val="11"/>
        <color theme="1"/>
        <rFont val="等线"/>
        <family val="3"/>
        <charset val="134"/>
        <scheme val="minor"/>
      </rPr>
      <t>44%</t>
    </r>
    <r>
      <rPr>
        <sz val="11"/>
        <color theme="1"/>
        <rFont val="等线"/>
        <family val="2"/>
        <scheme val="minor"/>
      </rPr>
      <t xml:space="preserve"> in 2019 to </t>
    </r>
    <r>
      <rPr>
        <b/>
        <sz val="11"/>
        <color theme="1"/>
        <rFont val="等线"/>
        <family val="3"/>
        <charset val="134"/>
        <scheme val="minor"/>
      </rPr>
      <t>66%</t>
    </r>
    <r>
      <rPr>
        <sz val="11"/>
        <color theme="1"/>
        <rFont val="等线"/>
        <family val="2"/>
        <scheme val="minor"/>
      </rPr>
      <t xml:space="preserve"> in 2023, signaling higher leverage or borrowing.</t>
    </r>
  </si>
  <si>
    <r>
      <t>Current Liabilities</t>
    </r>
    <r>
      <rPr>
        <sz val="11"/>
        <color theme="1"/>
        <rFont val="等线"/>
        <family val="2"/>
        <scheme val="minor"/>
      </rPr>
      <t xml:space="preserve">: Grew from </t>
    </r>
    <r>
      <rPr>
        <b/>
        <sz val="11"/>
        <color theme="1"/>
        <rFont val="等线"/>
        <family val="3"/>
        <charset val="134"/>
        <scheme val="minor"/>
      </rPr>
      <t>16%</t>
    </r>
    <r>
      <rPr>
        <sz val="11"/>
        <color theme="1"/>
        <rFont val="等线"/>
        <family val="2"/>
        <scheme val="minor"/>
      </rPr>
      <t xml:space="preserve"> in 2019 to </t>
    </r>
    <r>
      <rPr>
        <b/>
        <sz val="11"/>
        <color theme="1"/>
        <rFont val="等线"/>
        <family val="3"/>
        <charset val="134"/>
        <scheme val="minor"/>
      </rPr>
      <t>34%</t>
    </r>
    <r>
      <rPr>
        <sz val="11"/>
        <color theme="1"/>
        <rFont val="等线"/>
        <family val="2"/>
        <scheme val="minor"/>
      </rPr>
      <t xml:space="preserve"> in 2023, showing a rise in short-term obligations.</t>
    </r>
  </si>
  <si>
    <r>
      <t xml:space="preserve">Declined as a percentage of total assets, from </t>
    </r>
    <r>
      <rPr>
        <b/>
        <sz val="11"/>
        <color theme="1"/>
        <rFont val="等线"/>
        <family val="3"/>
        <charset val="134"/>
        <scheme val="minor"/>
      </rPr>
      <t>56%</t>
    </r>
    <r>
      <rPr>
        <sz val="11"/>
        <color theme="1"/>
        <rFont val="等线"/>
        <family val="2"/>
        <scheme val="minor"/>
      </rPr>
      <t xml:space="preserve"> in 2019 to </t>
    </r>
    <r>
      <rPr>
        <b/>
        <sz val="11"/>
        <color theme="1"/>
        <rFont val="等线"/>
        <family val="3"/>
        <charset val="134"/>
        <scheme val="minor"/>
      </rPr>
      <t>34%</t>
    </r>
    <r>
      <rPr>
        <sz val="11"/>
        <color theme="1"/>
        <rFont val="等线"/>
        <family val="2"/>
        <scheme val="minor"/>
      </rPr>
      <t xml:space="preserve"> in 2023, indicating a shift in funding from equity to liabilities.</t>
    </r>
  </si>
  <si>
    <r>
      <t>Definition</t>
    </r>
    <r>
      <rPr>
        <sz val="11"/>
        <color theme="1"/>
        <rFont val="等线"/>
        <family val="2"/>
        <scheme val="minor"/>
      </rPr>
      <t>: Each item is compared to its 2019 value, expressed as a percentage, to identify growth trends over time.</t>
    </r>
  </si>
  <si>
    <r>
      <t xml:space="preserve">Grew by </t>
    </r>
    <r>
      <rPr>
        <b/>
        <sz val="11"/>
        <color theme="1"/>
        <rFont val="等线"/>
        <family val="3"/>
        <charset val="134"/>
        <scheme val="minor"/>
      </rPr>
      <t>177%</t>
    </r>
    <r>
      <rPr>
        <sz val="11"/>
        <color theme="1"/>
        <rFont val="等线"/>
        <family val="2"/>
        <scheme val="minor"/>
      </rPr>
      <t xml:space="preserve"> in 2023 compared to 2019, indicating significant expansion in ASML's asset base.</t>
    </r>
  </si>
  <si>
    <r>
      <t xml:space="preserve">Increased by </t>
    </r>
    <r>
      <rPr>
        <b/>
        <sz val="11"/>
        <color theme="1"/>
        <rFont val="等线"/>
        <family val="3"/>
        <charset val="134"/>
        <scheme val="minor"/>
      </rPr>
      <t>201%</t>
    </r>
    <r>
      <rPr>
        <sz val="11"/>
        <color theme="1"/>
        <rFont val="等线"/>
        <family val="2"/>
        <scheme val="minor"/>
      </rPr>
      <t xml:space="preserve"> over the period, with inventory growing by </t>
    </r>
    <r>
      <rPr>
        <b/>
        <sz val="11"/>
        <color theme="1"/>
        <rFont val="等线"/>
        <family val="3"/>
        <charset val="134"/>
        <scheme val="minor"/>
      </rPr>
      <t>231%</t>
    </r>
    <r>
      <rPr>
        <sz val="11"/>
        <color theme="1"/>
        <rFont val="等线"/>
        <family val="2"/>
        <scheme val="minor"/>
      </rPr>
      <t>, showing ASML's effort to build up short-term operational resources.</t>
    </r>
  </si>
  <si>
    <r>
      <t xml:space="preserve">Increased by </t>
    </r>
    <r>
      <rPr>
        <b/>
        <sz val="11"/>
        <color theme="1"/>
        <rFont val="等线"/>
        <family val="3"/>
        <charset val="134"/>
        <scheme val="minor"/>
      </rPr>
      <t>148%</t>
    </r>
    <r>
      <rPr>
        <sz val="11"/>
        <color theme="1"/>
        <rFont val="等线"/>
        <family val="2"/>
        <scheme val="minor"/>
      </rPr>
      <t xml:space="preserve"> from 2019 to 2023, with intangibles and other long-term assets showing steady growth.</t>
    </r>
  </si>
  <si>
    <r>
      <t xml:space="preserve">Total liabilities grew significantly, by </t>
    </r>
    <r>
      <rPr>
        <b/>
        <sz val="11"/>
        <color theme="1"/>
        <rFont val="等线"/>
        <family val="3"/>
        <charset val="134"/>
        <scheme val="minor"/>
      </rPr>
      <t>177%</t>
    </r>
    <r>
      <rPr>
        <sz val="11"/>
        <color theme="1"/>
        <rFont val="等线"/>
        <family val="2"/>
        <scheme val="minor"/>
      </rPr>
      <t>, from 2019 to 2023. This growth outpaced the expansion of total assets.</t>
    </r>
  </si>
  <si>
    <r>
      <t>Current Liabilities</t>
    </r>
    <r>
      <rPr>
        <sz val="11"/>
        <color theme="1"/>
        <rFont val="等线"/>
        <family val="2"/>
        <scheme val="minor"/>
      </rPr>
      <t xml:space="preserve">: Increased by </t>
    </r>
    <r>
      <rPr>
        <b/>
        <sz val="11"/>
        <color theme="1"/>
        <rFont val="等线"/>
        <family val="3"/>
        <charset val="134"/>
        <scheme val="minor"/>
      </rPr>
      <t>221%,</t>
    </r>
    <r>
      <rPr>
        <sz val="11"/>
        <color theme="1"/>
        <rFont val="等线"/>
        <family val="2"/>
        <scheme val="minor"/>
      </rPr>
      <t xml:space="preserve"> driven by higher accounts payable and other short-term obligations.</t>
    </r>
  </si>
  <si>
    <r>
      <t xml:space="preserve">Showed slower growth at </t>
    </r>
    <r>
      <rPr>
        <b/>
        <sz val="11"/>
        <color theme="1"/>
        <rFont val="等线"/>
        <family val="3"/>
        <charset val="134"/>
        <scheme val="minor"/>
      </rPr>
      <t>130%</t>
    </r>
    <r>
      <rPr>
        <sz val="11"/>
        <color theme="1"/>
        <rFont val="等线"/>
        <family val="2"/>
        <scheme val="minor"/>
      </rPr>
      <t>, reflecting ASML's increased reliance on debt financing for asset growth.</t>
    </r>
  </si>
  <si>
    <r>
      <t>1. Liquidity and Growth</t>
    </r>
    <r>
      <rPr>
        <sz val="11"/>
        <color theme="1"/>
        <rFont val="等线"/>
        <family val="2"/>
        <scheme val="minor"/>
      </rPr>
      <t>:</t>
    </r>
  </si>
  <si>
    <t>ASML has significantly increased its asset base, with current assets growing faster than non-current assets, showing a focus on operational liquidity and inventory management.</t>
  </si>
  <si>
    <r>
      <t>2. Leverage Increase</t>
    </r>
    <r>
      <rPr>
        <sz val="11"/>
        <color theme="1"/>
        <rFont val="等线"/>
        <family val="2"/>
        <scheme val="minor"/>
      </rPr>
      <t>:</t>
    </r>
  </si>
  <si>
    <t>The rise in total liabilities, especially current liabilities, suggests a shift toward higher short-term and long-term debt reliance.</t>
  </si>
  <si>
    <r>
      <t>3. Equity Reduction</t>
    </r>
    <r>
      <rPr>
        <sz val="11"/>
        <color theme="1"/>
        <rFont val="等线"/>
        <family val="2"/>
        <scheme val="minor"/>
      </rPr>
      <t>:</t>
    </r>
  </si>
  <si>
    <t>Shareholders' equity declined as a percentage of total assets, suggesting less funding from retained earnings or equity issuances relative to debt.</t>
  </si>
  <si>
    <r>
      <t>4. Operational Preparedness</t>
    </r>
    <r>
      <rPr>
        <sz val="11"/>
        <color theme="1"/>
        <rFont val="等线"/>
        <family val="2"/>
        <scheme val="minor"/>
      </rPr>
      <t>:</t>
    </r>
  </si>
  <si>
    <t>The growth in inventories and other current assets highlights ASML’s efforts to meet anticipated demand and maintain operational efficiency.</t>
  </si>
  <si>
    <t>TSMC</t>
    <phoneticPr fontId="1" type="noConversion"/>
  </si>
  <si>
    <t xml:space="preserve">If you’re looking for high growth and willing to accept some risk, NVIDIA offers the best potential due to its aggressive innovation strategy and strong market positioning.
If you prefer stability and steady returns, TSMC is a safe choice with consistent performance and lower risk.
If you’re willing to bet on recovery and long-term dominance, ASML might be an attractive option despite current challenges.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</si>
</sst>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76" formatCode="_(&quot;$ &quot;#,##0_);_(&quot;$ &quot;\(#,##0\)"/>
    <numFmt numFmtId="177" formatCode="_(&quot;$ &quot;#,##0.00_);_(&quot;$ &quot;\(#,##0.00\)"/>
    <numFmt numFmtId="178" formatCode="0.0%"/>
    <numFmt numFmtId="179" formatCode="_-* #,##0_-;\-* #,##0_-;_-* &quot;-&quot;??_-;_-@_-"/>
    <numFmt numFmtId="180" formatCode="0.00_);[Red]\(0.00\)"/>
    <numFmt numFmtId="181" formatCode="_-* #,##0.00_-;\-* #,##0.00_-;_-* &quot;-&quot;??_-;_-@_-"/>
    <numFmt numFmtId="182" formatCode="_-&quot;$&quot;* #,##0.00_-;\-&quot;$&quot;* #,##0.00_-;_-&quot;$&quot;* &quot;-&quot;??_-;_-@_-"/>
    <numFmt numFmtId="183" formatCode="#,##0.0_ "/>
    <numFmt numFmtId="184" formatCode="#,##0.00_ "/>
  </numFmts>
  <fonts count="36">
    <font>
      <sz val="11"/>
      <color theme="1"/>
      <name val="等线"/>
      <family val="2"/>
      <scheme val="minor"/>
    </font>
    <font>
      <sz val="9"/>
      <name val="等线"/>
      <family val="3"/>
      <charset val="134"/>
      <scheme val="minor"/>
    </font>
    <font>
      <sz val="11"/>
      <name val="宋体"/>
      <family val="3"/>
      <charset val="134"/>
    </font>
    <font>
      <b/>
      <sz val="11"/>
      <name val="宋体"/>
      <family val="3"/>
      <charset val="134"/>
    </font>
    <font>
      <sz val="11"/>
      <color theme="1"/>
      <name val="等线"/>
      <family val="2"/>
      <scheme val="minor"/>
    </font>
    <font>
      <b/>
      <sz val="11"/>
      <color theme="1"/>
      <name val="等线"/>
      <family val="2"/>
      <scheme val="minor"/>
    </font>
    <font>
      <b/>
      <sz val="11"/>
      <name val="Calibri"/>
      <family val="2"/>
    </font>
    <font>
      <sz val="9"/>
      <color theme="1"/>
      <name val="Arial"/>
      <family val="2"/>
      <charset val="238"/>
    </font>
    <font>
      <b/>
      <sz val="9"/>
      <color theme="1"/>
      <name val="Arial"/>
      <family val="2"/>
      <charset val="238"/>
    </font>
    <font>
      <sz val="9"/>
      <color rgb="FF252525"/>
      <name val="Arial"/>
      <family val="2"/>
      <charset val="238"/>
    </font>
    <font>
      <sz val="10"/>
      <name val="Arial"/>
      <family val="2"/>
    </font>
    <font>
      <b/>
      <sz val="11"/>
      <name val="等线 "/>
      <family val="3"/>
      <charset val="134"/>
    </font>
    <font>
      <sz val="11"/>
      <name val="等线 "/>
      <family val="3"/>
      <charset val="134"/>
    </font>
    <font>
      <sz val="11"/>
      <color theme="1"/>
      <name val="等线 "/>
      <family val="3"/>
      <charset val="134"/>
    </font>
    <font>
      <b/>
      <sz val="11"/>
      <color theme="1"/>
      <name val="等线 "/>
      <family val="3"/>
      <charset val="134"/>
    </font>
    <font>
      <sz val="12"/>
      <name val="Times New Roman"/>
      <family val="1"/>
    </font>
    <font>
      <sz val="10"/>
      <color indexed="8"/>
      <name val="微軟正黑體"/>
      <family val="2"/>
      <charset val="136"/>
    </font>
    <font>
      <sz val="12"/>
      <color theme="1"/>
      <name val="等线"/>
      <family val="1"/>
      <charset val="136"/>
      <scheme val="minor"/>
    </font>
    <font>
      <sz val="11"/>
      <color theme="1"/>
      <name val="Arial"/>
      <family val="2"/>
    </font>
    <font>
      <b/>
      <sz val="6"/>
      <color rgb="FF333333"/>
      <name val="Arial"/>
      <family val="2"/>
    </font>
    <font>
      <sz val="6"/>
      <color rgb="FF333333"/>
      <name val="Arial"/>
      <family val="2"/>
    </font>
    <font>
      <sz val="6"/>
      <color rgb="FF333333"/>
      <name val="Microsoft JhengHei"/>
      <family val="2"/>
      <charset val="136"/>
    </font>
    <font>
      <b/>
      <sz val="11"/>
      <color theme="1"/>
      <name val="Arial"/>
      <family val="2"/>
    </font>
    <font>
      <b/>
      <sz val="11"/>
      <color theme="1"/>
      <name val="等线"/>
      <family val="3"/>
      <charset val="134"/>
      <scheme val="minor"/>
    </font>
    <font>
      <sz val="11"/>
      <color rgb="FF232526"/>
      <name val="Arial"/>
      <family val="2"/>
    </font>
    <font>
      <sz val="11"/>
      <color rgb="FF232526"/>
      <name val="Aerial"/>
    </font>
    <font>
      <b/>
      <sz val="8"/>
      <color rgb="FF333333"/>
      <name val="Arial"/>
      <family val="2"/>
    </font>
    <font>
      <sz val="8"/>
      <color rgb="FF333333"/>
      <name val="Arial"/>
      <family val="2"/>
    </font>
    <font>
      <b/>
      <sz val="11"/>
      <color rgb="FF333333"/>
      <name val="Arial"/>
      <family val="2"/>
    </font>
    <font>
      <sz val="11"/>
      <color rgb="FF333333"/>
      <name val="Arial"/>
      <family val="2"/>
    </font>
    <font>
      <sz val="11"/>
      <color rgb="FF232526"/>
      <name val="Segoe UI"/>
      <family val="2"/>
    </font>
    <font>
      <b/>
      <sz val="11"/>
      <color rgb="FF232526"/>
      <name val="Segoe UI"/>
      <family val="2"/>
    </font>
    <font>
      <b/>
      <sz val="13.5"/>
      <color theme="1"/>
      <name val="等线"/>
      <family val="3"/>
      <charset val="134"/>
      <scheme val="minor"/>
    </font>
    <font>
      <b/>
      <sz val="14"/>
      <color theme="1"/>
      <name val="等线"/>
      <family val="3"/>
      <charset val="134"/>
      <scheme val="minor"/>
    </font>
    <font>
      <sz val="14"/>
      <color theme="1"/>
      <name val="等线"/>
      <family val="3"/>
      <charset val="134"/>
      <scheme val="minor"/>
    </font>
    <font>
      <b/>
      <sz val="12"/>
      <color theme="1"/>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AEAEA"/>
        <bgColor indexed="64"/>
      </patternFill>
    </fill>
    <fill>
      <patternFill patternType="solid">
        <fgColor rgb="FFFAFAFB"/>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DotDot">
        <color theme="4" tint="0.79995117038483843"/>
      </left>
      <right/>
      <top/>
      <bottom/>
      <diagonal/>
    </border>
    <border>
      <left style="dashDotDot">
        <color theme="4" tint="0.79995117038483843"/>
      </left>
      <right style="thin">
        <color indexed="64"/>
      </right>
      <top/>
      <bottom/>
      <diagonal/>
    </border>
    <border>
      <left style="thin">
        <color indexed="64"/>
      </left>
      <right/>
      <top style="double">
        <color theme="4" tint="0.59996337778862885"/>
      </top>
      <bottom style="thin">
        <color indexed="64"/>
      </bottom>
      <diagonal/>
    </border>
    <border>
      <left/>
      <right/>
      <top/>
      <bottom style="medium">
        <color rgb="FF999999"/>
      </bottom>
      <diagonal/>
    </border>
    <border>
      <left/>
      <right/>
      <top style="medium">
        <color rgb="FF999999"/>
      </top>
      <bottom/>
      <diagonal/>
    </border>
  </borders>
  <cellStyleXfs count="11">
    <xf numFmtId="0" fontId="0" fillId="0" borderId="0"/>
    <xf numFmtId="9" fontId="4" fillId="0" borderId="0" applyFont="0" applyFill="0" applyBorder="0" applyAlignment="0" applyProtection="0">
      <alignment vertical="center"/>
    </xf>
    <xf numFmtId="43" fontId="4" fillId="0" borderId="0" applyFont="0" applyFill="0" applyBorder="0" applyAlignment="0" applyProtection="0"/>
    <xf numFmtId="9" fontId="4" fillId="0" borderId="0" applyFont="0" applyFill="0" applyBorder="0" applyAlignment="0" applyProtection="0"/>
    <xf numFmtId="0" fontId="10" fillId="0" borderId="0" applyNumberFormat="0" applyFont="0" applyFill="0" applyBorder="0" applyAlignment="0" applyProtection="0"/>
    <xf numFmtId="0" fontId="15" fillId="0" borderId="0"/>
    <xf numFmtId="181" fontId="16" fillId="0" borderId="0" applyFont="0" applyFill="0" applyBorder="0" applyAlignment="0" applyProtection="0">
      <alignment vertical="center"/>
    </xf>
    <xf numFmtId="182" fontId="10" fillId="0" borderId="0" applyFont="0" applyFill="0" applyBorder="0" applyAlignment="0" applyProtection="0"/>
    <xf numFmtId="0" fontId="10" fillId="0" borderId="0"/>
    <xf numFmtId="0" fontId="17" fillId="0" borderId="0">
      <alignment vertical="center"/>
    </xf>
    <xf numFmtId="44" fontId="4" fillId="0" borderId="0" applyFont="0" applyFill="0" applyBorder="0" applyAlignment="0" applyProtection="0">
      <alignment vertical="center"/>
    </xf>
  </cellStyleXfs>
  <cellXfs count="138">
    <xf numFmtId="0" fontId="0" fillId="0" borderId="0" xfId="0"/>
    <xf numFmtId="176" fontId="2" fillId="0" borderId="0" xfId="0" applyNumberFormat="1" applyFont="1" applyAlignment="1">
      <alignment horizontal="right" vertical="top"/>
    </xf>
    <xf numFmtId="0" fontId="2" fillId="0" borderId="0" xfId="0" applyFont="1" applyAlignment="1">
      <alignment vertical="top" wrapText="1"/>
    </xf>
    <xf numFmtId="37" fontId="2" fillId="0" borderId="0" xfId="0" applyNumberFormat="1" applyFont="1" applyAlignment="1">
      <alignment horizontal="right" vertical="top"/>
    </xf>
    <xf numFmtId="0" fontId="3" fillId="0" borderId="0" xfId="0" applyFont="1" applyAlignment="1">
      <alignmen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37" fontId="3" fillId="0" borderId="0" xfId="0" applyNumberFormat="1" applyFont="1" applyAlignment="1">
      <alignment horizontal="right" vertical="top"/>
    </xf>
    <xf numFmtId="0" fontId="5" fillId="0" borderId="0" xfId="0" applyFont="1"/>
    <xf numFmtId="37" fontId="5" fillId="0" borderId="0" xfId="0" applyNumberFormat="1" applyFont="1"/>
    <xf numFmtId="0" fontId="2" fillId="0" borderId="0" xfId="0" applyFont="1" applyAlignment="1">
      <alignment horizontal="left" vertical="top" wrapText="1" indent="1"/>
    </xf>
    <xf numFmtId="0" fontId="3" fillId="0" borderId="0" xfId="0" applyFont="1" applyAlignment="1">
      <alignment horizontal="left" vertical="top" wrapText="1"/>
    </xf>
    <xf numFmtId="176" fontId="3" fillId="0" borderId="0" xfId="0" applyNumberFormat="1" applyFont="1" applyAlignment="1">
      <alignment horizontal="right" vertical="top"/>
    </xf>
    <xf numFmtId="10" fontId="5" fillId="0" borderId="0" xfId="1" applyNumberFormat="1" applyFont="1" applyAlignment="1"/>
    <xf numFmtId="10" fontId="0" fillId="0" borderId="0" xfId="0" applyNumberFormat="1"/>
    <xf numFmtId="0" fontId="8" fillId="0" borderId="7" xfId="0" applyFont="1" applyBorder="1" applyAlignment="1">
      <alignment horizontal="center"/>
    </xf>
    <xf numFmtId="0" fontId="0" fillId="0" borderId="2" xfId="0" applyBorder="1"/>
    <xf numFmtId="0" fontId="5" fillId="0" borderId="2" xfId="0" applyFont="1" applyBorder="1"/>
    <xf numFmtId="0" fontId="7" fillId="0" borderId="3" xfId="0" applyFont="1" applyBorder="1"/>
    <xf numFmtId="0" fontId="7" fillId="0" borderId="1" xfId="0" applyFont="1" applyBorder="1"/>
    <xf numFmtId="0" fontId="7" fillId="0" borderId="7" xfId="0" applyFont="1" applyBorder="1" applyAlignment="1">
      <alignment horizontal="center"/>
    </xf>
    <xf numFmtId="0" fontId="7" fillId="0" borderId="8" xfId="0" applyFont="1" applyBorder="1" applyAlignment="1">
      <alignment horizontal="center"/>
    </xf>
    <xf numFmtId="179" fontId="7" fillId="0" borderId="1" xfId="2" applyNumberFormat="1" applyFont="1" applyBorder="1"/>
    <xf numFmtId="179" fontId="7" fillId="0" borderId="0" xfId="2" applyNumberFormat="1" applyFont="1" applyBorder="1"/>
    <xf numFmtId="179" fontId="7" fillId="0" borderId="3" xfId="2" applyNumberFormat="1" applyFont="1" applyBorder="1"/>
    <xf numFmtId="37" fontId="0" fillId="0" borderId="1" xfId="0" applyNumberFormat="1" applyBorder="1"/>
    <xf numFmtId="179" fontId="7" fillId="0" borderId="10" xfId="2" applyNumberFormat="1" applyFont="1" applyBorder="1"/>
    <xf numFmtId="0" fontId="7" fillId="0" borderId="5" xfId="0" applyFont="1" applyBorder="1"/>
    <xf numFmtId="179" fontId="7" fillId="0" borderId="5" xfId="2" applyNumberFormat="1" applyFont="1" applyBorder="1"/>
    <xf numFmtId="179" fontId="7" fillId="0" borderId="0" xfId="0" applyNumberFormat="1" applyFont="1"/>
    <xf numFmtId="179" fontId="7" fillId="0" borderId="11" xfId="0" applyNumberFormat="1" applyFont="1" applyBorder="1"/>
    <xf numFmtId="179" fontId="7" fillId="0" borderId="6" xfId="2" applyNumberFormat="1" applyFont="1" applyBorder="1"/>
    <xf numFmtId="179" fontId="7" fillId="0" borderId="4" xfId="2" applyNumberFormat="1" applyFont="1" applyBorder="1"/>
    <xf numFmtId="43" fontId="7" fillId="0" borderId="10" xfId="2" applyFont="1" applyBorder="1"/>
    <xf numFmtId="43" fontId="7" fillId="0" borderId="0" xfId="2" applyFont="1" applyBorder="1"/>
    <xf numFmtId="43" fontId="7" fillId="0" borderId="4" xfId="2" applyFont="1" applyBorder="1"/>
    <xf numFmtId="0" fontId="7" fillId="0" borderId="7" xfId="0" applyFont="1" applyBorder="1"/>
    <xf numFmtId="10" fontId="7" fillId="0" borderId="4" xfId="3" applyNumberFormat="1" applyFont="1" applyBorder="1"/>
    <xf numFmtId="0" fontId="7" fillId="0" borderId="10" xfId="0" applyFont="1" applyBorder="1"/>
    <xf numFmtId="0" fontId="7" fillId="0" borderId="0" xfId="0" applyFont="1"/>
    <xf numFmtId="0" fontId="7" fillId="0" borderId="4" xfId="0" applyFont="1" applyBorder="1"/>
    <xf numFmtId="10" fontId="7" fillId="0" borderId="3" xfId="3" applyNumberFormat="1" applyFont="1" applyBorder="1"/>
    <xf numFmtId="43" fontId="7" fillId="0" borderId="1" xfId="2" applyFont="1" applyBorder="1"/>
    <xf numFmtId="0" fontId="7" fillId="0" borderId="12" xfId="0" applyFont="1" applyBorder="1"/>
    <xf numFmtId="9" fontId="7" fillId="2" borderId="7" xfId="3" applyFont="1" applyFill="1" applyBorder="1"/>
    <xf numFmtId="43" fontId="7" fillId="2" borderId="12" xfId="2" applyFont="1" applyFill="1" applyBorder="1"/>
    <xf numFmtId="9" fontId="7" fillId="2" borderId="12" xfId="3" applyFont="1" applyFill="1" applyBorder="1"/>
    <xf numFmtId="0" fontId="9" fillId="0" borderId="2" xfId="0" applyFont="1" applyBorder="1" applyAlignment="1">
      <alignment horizontal="right" vertical="top"/>
    </xf>
    <xf numFmtId="0" fontId="9" fillId="0" borderId="2" xfId="0" applyFont="1" applyBorder="1"/>
    <xf numFmtId="178" fontId="9" fillId="0" borderId="2" xfId="3" applyNumberFormat="1" applyFont="1" applyBorder="1"/>
    <xf numFmtId="2" fontId="9" fillId="0" borderId="2" xfId="3" applyNumberFormat="1" applyFont="1" applyBorder="1"/>
    <xf numFmtId="0" fontId="8" fillId="0" borderId="8" xfId="0" applyFont="1" applyBorder="1" applyAlignment="1">
      <alignment horizontal="center"/>
    </xf>
    <xf numFmtId="0" fontId="8" fillId="0" borderId="9" xfId="0" applyFont="1" applyBorder="1" applyAlignment="1">
      <alignment horizontal="center"/>
    </xf>
    <xf numFmtId="0" fontId="11" fillId="0" borderId="0" xfId="0" applyFont="1" applyAlignment="1">
      <alignment vertical="top" wrapText="1"/>
    </xf>
    <xf numFmtId="0" fontId="12" fillId="0" borderId="0" xfId="0" applyFont="1" applyAlignment="1">
      <alignment vertical="top" wrapText="1"/>
    </xf>
    <xf numFmtId="0" fontId="13" fillId="0" borderId="0" xfId="0" applyFont="1"/>
    <xf numFmtId="176" fontId="12" fillId="0" borderId="0" xfId="0" applyNumberFormat="1" applyFont="1" applyAlignment="1">
      <alignment horizontal="right" vertical="top"/>
    </xf>
    <xf numFmtId="37" fontId="12" fillId="0" borderId="0" xfId="0" applyNumberFormat="1" applyFont="1" applyAlignment="1">
      <alignment horizontal="right" vertical="top"/>
    </xf>
    <xf numFmtId="0" fontId="12" fillId="0" borderId="0" xfId="0" applyFont="1" applyAlignment="1">
      <alignment horizontal="left" vertical="top" wrapText="1" indent="1"/>
    </xf>
    <xf numFmtId="37" fontId="12" fillId="0" borderId="0" xfId="0" applyNumberFormat="1" applyFont="1" applyAlignment="1">
      <alignment horizontal="right" vertical="top" indent="1"/>
    </xf>
    <xf numFmtId="0" fontId="14" fillId="0" borderId="0" xfId="0" applyFont="1"/>
    <xf numFmtId="37" fontId="14" fillId="0" borderId="0" xfId="0" applyNumberFormat="1" applyFont="1"/>
    <xf numFmtId="37" fontId="11" fillId="0" borderId="0" xfId="0" applyNumberFormat="1" applyFont="1" applyAlignment="1">
      <alignment horizontal="right" vertical="top"/>
    </xf>
    <xf numFmtId="177" fontId="12" fillId="0" borderId="0" xfId="0" applyNumberFormat="1" applyFont="1" applyAlignment="1">
      <alignment horizontal="right" vertical="top"/>
    </xf>
    <xf numFmtId="176" fontId="11" fillId="0" borderId="0" xfId="0" applyNumberFormat="1" applyFont="1" applyAlignment="1">
      <alignment horizontal="right" vertical="top"/>
    </xf>
    <xf numFmtId="0" fontId="3" fillId="0" borderId="0" xfId="0" applyFont="1" applyAlignment="1">
      <alignment horizontal="left" vertical="top" wrapText="1" indent="1"/>
    </xf>
    <xf numFmtId="180" fontId="9" fillId="0" borderId="2" xfId="3" applyNumberFormat="1" applyFont="1" applyBorder="1"/>
    <xf numFmtId="0" fontId="19" fillId="4" borderId="13" xfId="0" applyFont="1" applyFill="1" applyBorder="1" applyAlignment="1">
      <alignment horizontal="left" wrapText="1"/>
    </xf>
    <xf numFmtId="0" fontId="22" fillId="0" borderId="0" xfId="0" applyFont="1" applyAlignment="1">
      <alignment horizontal="left" wrapText="1"/>
    </xf>
    <xf numFmtId="0" fontId="22" fillId="0" borderId="0" xfId="0" applyFont="1" applyAlignment="1">
      <alignment horizontal="right" wrapText="1"/>
    </xf>
    <xf numFmtId="0" fontId="18" fillId="0" borderId="0" xfId="0" applyFont="1" applyAlignment="1">
      <alignment horizontal="left" wrapText="1"/>
    </xf>
    <xf numFmtId="4" fontId="18" fillId="0" borderId="0" xfId="0" applyNumberFormat="1" applyFont="1" applyAlignment="1">
      <alignment horizontal="right" vertical="top" wrapText="1"/>
    </xf>
    <xf numFmtId="0" fontId="22" fillId="4" borderId="13" xfId="0" applyFont="1" applyFill="1" applyBorder="1" applyAlignment="1">
      <alignment horizontal="left" wrapText="1"/>
    </xf>
    <xf numFmtId="4" fontId="22" fillId="4" borderId="13" xfId="0" applyNumberFormat="1" applyFont="1" applyFill="1" applyBorder="1" applyAlignment="1">
      <alignment horizontal="right" vertical="top" wrapText="1"/>
    </xf>
    <xf numFmtId="0" fontId="18" fillId="0" borderId="0" xfId="0" applyFont="1" applyAlignment="1">
      <alignment horizontal="right" vertical="top" wrapText="1"/>
    </xf>
    <xf numFmtId="0" fontId="20" fillId="0" borderId="0" xfId="0" applyFont="1" applyAlignment="1">
      <alignment vertical="center" wrapText="1"/>
    </xf>
    <xf numFmtId="0" fontId="22" fillId="4" borderId="13" xfId="0" applyFont="1" applyFill="1" applyBorder="1" applyAlignment="1">
      <alignment horizontal="right" vertical="top" wrapText="1"/>
    </xf>
    <xf numFmtId="0" fontId="18" fillId="0" borderId="0" xfId="0" applyFont="1" applyAlignment="1">
      <alignment horizontal="left" wrapText="1" indent="1"/>
    </xf>
    <xf numFmtId="0" fontId="22" fillId="0" borderId="0" xfId="0" applyFont="1" applyAlignment="1">
      <alignment horizontal="left" wrapText="1" indent="1"/>
    </xf>
    <xf numFmtId="4" fontId="22" fillId="0" borderId="0" xfId="0" applyNumberFormat="1" applyFont="1" applyAlignment="1">
      <alignment horizontal="right" vertical="top" wrapText="1"/>
    </xf>
    <xf numFmtId="0" fontId="22" fillId="0" borderId="0" xfId="0" applyFont="1" applyAlignment="1">
      <alignment horizontal="right" vertical="top" wrapText="1"/>
    </xf>
    <xf numFmtId="0" fontId="23" fillId="0" borderId="0" xfId="0" applyFont="1"/>
    <xf numFmtId="9" fontId="0" fillId="0" borderId="0" xfId="1" applyFont="1" applyAlignment="1"/>
    <xf numFmtId="183" fontId="0" fillId="0" borderId="0" xfId="0" applyNumberFormat="1"/>
    <xf numFmtId="4" fontId="24" fillId="3" borderId="0" xfId="0" applyNumberFormat="1" applyFont="1" applyFill="1" applyAlignment="1">
      <alignment horizontal="right" vertical="center" readingOrder="1"/>
    </xf>
    <xf numFmtId="0" fontId="24" fillId="3" borderId="0" xfId="0" applyFont="1" applyFill="1" applyAlignment="1">
      <alignment horizontal="right" vertical="center" readingOrder="1"/>
    </xf>
    <xf numFmtId="184" fontId="18" fillId="0" borderId="0" xfId="0" applyNumberFormat="1" applyFont="1" applyAlignment="1">
      <alignment horizontal="right" vertical="top" wrapText="1"/>
    </xf>
    <xf numFmtId="3" fontId="25" fillId="3" borderId="0" xfId="0" applyNumberFormat="1" applyFont="1" applyFill="1" applyAlignment="1">
      <alignment horizontal="right" vertical="center" readingOrder="1"/>
    </xf>
    <xf numFmtId="4" fontId="25" fillId="3" borderId="0" xfId="0" applyNumberFormat="1" applyFont="1" applyFill="1" applyAlignment="1">
      <alignment horizontal="right" vertical="center" readingOrder="1"/>
    </xf>
    <xf numFmtId="183" fontId="22" fillId="0" borderId="0" xfId="0" applyNumberFormat="1" applyFont="1" applyAlignment="1">
      <alignment horizontal="right" vertical="top" wrapText="1"/>
    </xf>
    <xf numFmtId="0" fontId="26" fillId="3" borderId="0" xfId="0" applyFont="1" applyFill="1" applyAlignment="1">
      <alignment horizontal="left" wrapText="1"/>
    </xf>
    <xf numFmtId="0" fontId="26" fillId="3" borderId="0" xfId="0" applyFont="1" applyFill="1" applyAlignment="1">
      <alignment horizontal="left" wrapText="1" indent="1"/>
    </xf>
    <xf numFmtId="0" fontId="27" fillId="3" borderId="0" xfId="0" applyFont="1" applyFill="1" applyAlignment="1">
      <alignment horizontal="left" wrapText="1" indent="1"/>
    </xf>
    <xf numFmtId="0" fontId="26" fillId="4" borderId="13" xfId="0" applyFont="1" applyFill="1" applyBorder="1" applyAlignment="1">
      <alignment horizontal="left" wrapText="1"/>
    </xf>
    <xf numFmtId="0" fontId="28" fillId="3" borderId="0" xfId="0" applyFont="1" applyFill="1" applyAlignment="1">
      <alignment horizontal="right" wrapText="1"/>
    </xf>
    <xf numFmtId="4" fontId="28" fillId="3" borderId="0" xfId="0" applyNumberFormat="1" applyFont="1" applyFill="1" applyAlignment="1">
      <alignment horizontal="right" vertical="top" wrapText="1"/>
    </xf>
    <xf numFmtId="4" fontId="29" fillId="3" borderId="0" xfId="0" applyNumberFormat="1" applyFont="1" applyFill="1" applyAlignment="1">
      <alignment horizontal="right" vertical="top" wrapText="1"/>
    </xf>
    <xf numFmtId="0" fontId="29" fillId="3" borderId="0" xfId="0" applyFont="1" applyFill="1" applyAlignment="1">
      <alignment horizontal="right" vertical="top" wrapText="1"/>
    </xf>
    <xf numFmtId="4" fontId="28" fillId="4" borderId="13" xfId="0" applyNumberFormat="1" applyFont="1" applyFill="1" applyBorder="1" applyAlignment="1">
      <alignment horizontal="right" vertical="top" wrapText="1"/>
    </xf>
    <xf numFmtId="4" fontId="30" fillId="3" borderId="0" xfId="0" applyNumberFormat="1" applyFont="1" applyFill="1" applyAlignment="1">
      <alignment horizontal="right" vertical="center" readingOrder="1"/>
    </xf>
    <xf numFmtId="0" fontId="28" fillId="3" borderId="0" xfId="0" applyFont="1" applyFill="1" applyAlignment="1">
      <alignment horizontal="right" vertical="top" wrapText="1"/>
    </xf>
    <xf numFmtId="183" fontId="28" fillId="3" borderId="0" xfId="0" applyNumberFormat="1" applyFont="1" applyFill="1" applyAlignment="1">
      <alignment horizontal="right" vertical="top" wrapText="1"/>
    </xf>
    <xf numFmtId="0" fontId="30" fillId="3" borderId="0" xfId="0" applyFont="1" applyFill="1" applyAlignment="1">
      <alignment horizontal="right" vertical="center" readingOrder="1"/>
    </xf>
    <xf numFmtId="3" fontId="30" fillId="3" borderId="0" xfId="0" applyNumberFormat="1" applyFont="1" applyFill="1" applyAlignment="1">
      <alignment horizontal="right" vertical="center" readingOrder="1"/>
    </xf>
    <xf numFmtId="4" fontId="31" fillId="5" borderId="0" xfId="0" applyNumberFormat="1" applyFont="1" applyFill="1" applyAlignment="1">
      <alignment horizontal="right" vertical="center" readingOrder="1"/>
    </xf>
    <xf numFmtId="3" fontId="31" fillId="5" borderId="0" xfId="0" applyNumberFormat="1" applyFont="1" applyFill="1" applyAlignment="1">
      <alignment horizontal="right" vertical="center" readingOrder="1"/>
    </xf>
    <xf numFmtId="0" fontId="23" fillId="0" borderId="0" xfId="0" applyFont="1" applyAlignment="1">
      <alignment horizontal="center" vertical="center" wrapText="1"/>
    </xf>
    <xf numFmtId="0" fontId="0" fillId="0" borderId="0" xfId="0" applyAlignment="1">
      <alignment vertical="center" wrapText="1"/>
    </xf>
    <xf numFmtId="0" fontId="23" fillId="0" borderId="0" xfId="0" applyFont="1" applyAlignment="1">
      <alignment vertical="center" wrapText="1"/>
    </xf>
    <xf numFmtId="0" fontId="0" fillId="0" borderId="0" xfId="10" applyNumberFormat="1" applyFont="1" applyAlignment="1">
      <alignment vertical="center" wrapText="1"/>
    </xf>
    <xf numFmtId="0" fontId="32" fillId="0" borderId="0" xfId="0" applyFont="1" applyAlignment="1">
      <alignment vertical="center"/>
    </xf>
    <xf numFmtId="0" fontId="0" fillId="0" borderId="0" xfId="0" applyAlignment="1">
      <alignment horizontal="left" vertical="center" indent="1"/>
    </xf>
    <xf numFmtId="0" fontId="23" fillId="0" borderId="0" xfId="0" applyFont="1" applyAlignment="1">
      <alignment horizontal="left" vertical="center" indent="1"/>
    </xf>
    <xf numFmtId="0" fontId="23" fillId="0" borderId="0" xfId="0" applyFont="1" applyAlignment="1">
      <alignment horizontal="left" vertical="center" indent="2"/>
    </xf>
    <xf numFmtId="0" fontId="33" fillId="0" borderId="0" xfId="0" applyFont="1" applyAlignment="1">
      <alignment horizontal="left" vertical="center" indent="1"/>
    </xf>
    <xf numFmtId="0" fontId="34" fillId="0" borderId="0" xfId="0" applyFont="1"/>
    <xf numFmtId="0" fontId="34" fillId="0" borderId="0" xfId="0" applyFont="1" applyAlignment="1">
      <alignment horizontal="left" vertical="center" indent="1"/>
    </xf>
    <xf numFmtId="0" fontId="33" fillId="0" borderId="0" xfId="0" applyFont="1" applyAlignment="1">
      <alignment horizontal="left" vertical="center" indent="2"/>
    </xf>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wrapText="1"/>
    </xf>
    <xf numFmtId="0" fontId="35" fillId="0" borderId="0" xfId="0" applyFont="1" applyAlignment="1">
      <alignment vertical="center"/>
    </xf>
    <xf numFmtId="0" fontId="5" fillId="2" borderId="2" xfId="0" applyFont="1" applyFill="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1" fillId="0" borderId="0" xfId="0" applyFont="1" applyAlignment="1">
      <alignment horizontal="left" vertical="center"/>
    </xf>
    <xf numFmtId="0" fontId="18" fillId="0" borderId="0" xfId="0" applyFont="1" applyAlignment="1">
      <alignment horizontal="left" wrapText="1"/>
    </xf>
    <xf numFmtId="0" fontId="18" fillId="0" borderId="14" xfId="0" applyFont="1" applyBorder="1" applyAlignment="1">
      <alignment horizontal="left" wrapText="1"/>
    </xf>
    <xf numFmtId="0" fontId="22" fillId="0" borderId="0" xfId="0" applyFont="1" applyAlignment="1">
      <alignment horizontal="left" wrapText="1"/>
    </xf>
    <xf numFmtId="0" fontId="22" fillId="0" borderId="14" xfId="0" applyFont="1" applyBorder="1" applyAlignment="1">
      <alignment horizontal="left" wrapText="1"/>
    </xf>
    <xf numFmtId="0" fontId="0" fillId="3" borderId="0" xfId="0" applyFill="1" applyAlignment="1">
      <alignment horizontal="left" vertical="center"/>
    </xf>
    <xf numFmtId="0" fontId="0" fillId="0" borderId="0" xfId="0" applyAlignment="1">
      <alignment vertical="top" wrapText="1"/>
    </xf>
  </cellXfs>
  <cellStyles count="11">
    <cellStyle name="Normal 2" xfId="4" xr:uid="{4A2A8B5E-99F7-4E7A-AD96-83DC4D2FFFE3}"/>
    <cellStyle name="一般 2 2" xfId="8" xr:uid="{7E9DB8CD-00CA-4705-A5EE-BBD70AAB2C9C}"/>
    <cellStyle name="一般 4" xfId="9" xr:uid="{A7397EE3-6F92-4EDE-BCD5-1E054802D052}"/>
    <cellStyle name="一般_4Q03 Financial Statement-audit_IR" xfId="5" xr:uid="{125359C5-D834-4E50-9C03-8D94B3254B46}"/>
    <cellStyle name="千位分隔 2" xfId="2" xr:uid="{67040CB9-AFC7-45F9-A4A2-16EDD872D61E}"/>
    <cellStyle name="千分位 5" xfId="6" xr:uid="{BAA5A8CF-37EF-4349-A537-84FA8AEB35F7}"/>
    <cellStyle name="常规" xfId="0" builtinId="0"/>
    <cellStyle name="百分比" xfId="1" builtinId="5"/>
    <cellStyle name="百分比 2" xfId="3" xr:uid="{510A454D-34C2-40F1-AAE8-932C9E7A7BA5}"/>
    <cellStyle name="貨幣 3" xfId="7" xr:uid="{CCC0BEEC-5D2F-46E0-BF19-FF3195A9C701}"/>
    <cellStyle name="货币" xfId="10"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NVIDIA</a:t>
            </a:r>
            <a:endParaRPr lang="zh-C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lineChart>
        <c:grouping val="standard"/>
        <c:varyColors val="0"/>
        <c:ser>
          <c:idx val="0"/>
          <c:order val="0"/>
          <c:tx>
            <c:strRef>
              <c:f>'Business Model'!$B$4</c:f>
              <c:strCache>
                <c:ptCount val="1"/>
                <c:pt idx="0">
                  <c:v>Operating Cash Flow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'Business Model'!$C$3:$M$3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Model'!$C$4:$M$4</c:f>
              <c:numCache>
                <c:formatCode>General</c:formatCode>
                <c:ptCount val="11"/>
                <c:pt idx="0">
                  <c:v>1.17</c:v>
                </c:pt>
                <c:pt idx="1">
                  <c:v>1.2</c:v>
                </c:pt>
                <c:pt idx="2">
                  <c:v>0.92</c:v>
                </c:pt>
                <c:pt idx="3">
                  <c:v>1.2</c:v>
                </c:pt>
                <c:pt idx="4">
                  <c:v>1.67</c:v>
                </c:pt>
                <c:pt idx="5">
                  <c:v>3.14</c:v>
                </c:pt>
                <c:pt idx="6">
                  <c:v>3.14</c:v>
                </c:pt>
                <c:pt idx="7">
                  <c:v>4.76</c:v>
                </c:pt>
                <c:pt idx="8">
                  <c:v>5.82</c:v>
                </c:pt>
                <c:pt idx="9">
                  <c:v>9.11</c:v>
                </c:pt>
                <c:pt idx="10">
                  <c:v>5.64</c:v>
                </c:pt>
              </c:numCache>
            </c:numRef>
          </c:val>
          <c:smooth val="0"/>
          <c:extLst>
            <c:ext xmlns:c16="http://schemas.microsoft.com/office/drawing/2014/chart" uri="{C3380CC4-5D6E-409C-BE32-E72D297353CC}">
              <c16:uniqueId val="{00000000-B833-4028-BD4A-B1E0C8AF9E00}"/>
            </c:ext>
          </c:extLst>
        </c:ser>
        <c:ser>
          <c:idx val="1"/>
          <c:order val="1"/>
          <c:tx>
            <c:strRef>
              <c:f>'Business Model'!$B$5</c:f>
              <c:strCache>
                <c:ptCount val="1"/>
                <c:pt idx="0">
                  <c:v>Investing Cash Flow</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'Business Model'!$C$3:$M$3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Model'!$C$5:$M$5</c:f>
              <c:numCache>
                <c:formatCode>General</c:formatCode>
                <c:ptCount val="11"/>
                <c:pt idx="0">
                  <c:v>-0.83</c:v>
                </c:pt>
                <c:pt idx="1">
                  <c:v>-0.55000000000000004</c:v>
                </c:pt>
                <c:pt idx="2">
                  <c:v>-0.3</c:v>
                </c:pt>
                <c:pt idx="3">
                  <c:v>-0.57999999999999996</c:v>
                </c:pt>
                <c:pt idx="4">
                  <c:v>-0.74</c:v>
                </c:pt>
                <c:pt idx="5">
                  <c:v>-1.41</c:v>
                </c:pt>
                <c:pt idx="6">
                  <c:v>-3.47</c:v>
                </c:pt>
                <c:pt idx="7">
                  <c:v>6.15</c:v>
                </c:pt>
                <c:pt idx="8">
                  <c:v>-19.68</c:v>
                </c:pt>
                <c:pt idx="9">
                  <c:v>-9.83</c:v>
                </c:pt>
                <c:pt idx="10">
                  <c:v>7.38</c:v>
                </c:pt>
              </c:numCache>
            </c:numRef>
          </c:val>
          <c:smooth val="0"/>
          <c:extLst>
            <c:ext xmlns:c16="http://schemas.microsoft.com/office/drawing/2014/chart" uri="{C3380CC4-5D6E-409C-BE32-E72D297353CC}">
              <c16:uniqueId val="{00000001-B833-4028-BD4A-B1E0C8AF9E00}"/>
            </c:ext>
          </c:extLst>
        </c:ser>
        <c:ser>
          <c:idx val="2"/>
          <c:order val="2"/>
          <c:tx>
            <c:strRef>
              <c:f>'Business Model'!$B$6</c:f>
              <c:strCache>
                <c:ptCount val="1"/>
                <c:pt idx="0">
                  <c:v>Financing Cash Flow</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'Business Model'!$C$3:$M$3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Model'!$C$6:$M$6</c:f>
              <c:numCache>
                <c:formatCode>General</c:formatCode>
                <c:ptCount val="11"/>
                <c:pt idx="0">
                  <c:v>-0.2</c:v>
                </c:pt>
                <c:pt idx="1">
                  <c:v>-0.46</c:v>
                </c:pt>
                <c:pt idx="2">
                  <c:v>-0.62</c:v>
                </c:pt>
                <c:pt idx="3">
                  <c:v>-0.8</c:v>
                </c:pt>
                <c:pt idx="4">
                  <c:v>-1</c:v>
                </c:pt>
                <c:pt idx="5">
                  <c:v>-1.25</c:v>
                </c:pt>
                <c:pt idx="6">
                  <c:v>-1.58</c:v>
                </c:pt>
                <c:pt idx="7">
                  <c:v>-0.79</c:v>
                </c:pt>
                <c:pt idx="8">
                  <c:v>3.8</c:v>
                </c:pt>
                <c:pt idx="9">
                  <c:v>1.87</c:v>
                </c:pt>
                <c:pt idx="10">
                  <c:v>-11.62</c:v>
                </c:pt>
              </c:numCache>
            </c:numRef>
          </c:val>
          <c:smooth val="0"/>
          <c:extLst>
            <c:ext xmlns:c16="http://schemas.microsoft.com/office/drawing/2014/chart" uri="{C3380CC4-5D6E-409C-BE32-E72D297353CC}">
              <c16:uniqueId val="{00000002-B833-4028-BD4A-B1E0C8AF9E00}"/>
            </c:ext>
          </c:extLst>
        </c:ser>
        <c:dLbls>
          <c:showLegendKey val="0"/>
          <c:showVal val="0"/>
          <c:showCatName val="0"/>
          <c:showSerName val="0"/>
          <c:showPercent val="0"/>
          <c:showBubbleSize val="0"/>
        </c:dLbls>
        <c:smooth val="0"/>
        <c:axId val="1623664672"/>
        <c:axId val="1623678112"/>
      </c:lineChart>
      <c:catAx>
        <c:axId val="1623664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1623678112"/>
        <c:crosses val="autoZero"/>
        <c:auto val="1"/>
        <c:lblAlgn val="ctr"/>
        <c:lblOffset val="100"/>
        <c:noMultiLvlLbl val="0"/>
      </c:catAx>
      <c:valAx>
        <c:axId val="162367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162366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TSMC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'Business Model'!$B$9</c:f>
              <c:strCache>
                <c:ptCount val="1"/>
                <c:pt idx="0">
                  <c:v>Operating Cash Flow</c:v>
                </c:pt>
              </c:strCache>
            </c:strRef>
          </c:tx>
          <c:spPr>
            <a:ln w="28575" cap="rnd">
              <a:solidFill>
                <a:schemeClr val="accent1"/>
              </a:solidFill>
              <a:round/>
            </a:ln>
            <a:effectLst/>
          </c:spPr>
          <c:marker>
            <c:symbol val="none"/>
          </c:marker>
          <c:cat>
            <c:numRef>
              <c:f>'Business Model'!$C$8:$M$8</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Model'!$C$9:$M$9</c:f>
              <c:numCache>
                <c:formatCode>General</c:formatCode>
                <c:ptCount val="11"/>
                <c:pt idx="0">
                  <c:v>243.6</c:v>
                </c:pt>
                <c:pt idx="1">
                  <c:v>304.8</c:v>
                </c:pt>
                <c:pt idx="2">
                  <c:v>358.2</c:v>
                </c:pt>
                <c:pt idx="3">
                  <c:v>436.5</c:v>
                </c:pt>
                <c:pt idx="4">
                  <c:v>518.4</c:v>
                </c:pt>
                <c:pt idx="5">
                  <c:v>585</c:v>
                </c:pt>
                <c:pt idx="6">
                  <c:v>648.29999999999995</c:v>
                </c:pt>
                <c:pt idx="7">
                  <c:v>838.5</c:v>
                </c:pt>
                <c:pt idx="8">
                  <c:v>1067.7</c:v>
                </c:pt>
                <c:pt idx="9">
                  <c:v>1257</c:v>
                </c:pt>
                <c:pt idx="10">
                  <c:v>1404</c:v>
                </c:pt>
              </c:numCache>
            </c:numRef>
          </c:val>
          <c:smooth val="0"/>
          <c:extLst>
            <c:ext xmlns:c16="http://schemas.microsoft.com/office/drawing/2014/chart" uri="{C3380CC4-5D6E-409C-BE32-E72D297353CC}">
              <c16:uniqueId val="{00000000-5557-4B8B-B95F-803FD13800A4}"/>
            </c:ext>
          </c:extLst>
        </c:ser>
        <c:ser>
          <c:idx val="1"/>
          <c:order val="1"/>
          <c:tx>
            <c:strRef>
              <c:f>'Business Model'!$B$10</c:f>
              <c:strCache>
                <c:ptCount val="1"/>
                <c:pt idx="0">
                  <c:v>Investing Cash Flow</c:v>
                </c:pt>
              </c:strCache>
            </c:strRef>
          </c:tx>
          <c:spPr>
            <a:ln w="28575" cap="rnd">
              <a:solidFill>
                <a:schemeClr val="accent2"/>
              </a:solidFill>
              <a:round/>
            </a:ln>
            <a:effectLst/>
          </c:spPr>
          <c:marker>
            <c:symbol val="none"/>
          </c:marker>
          <c:cat>
            <c:numRef>
              <c:f>'Business Model'!$C$8:$M$8</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Model'!$C$10:$M$10</c:f>
              <c:numCache>
                <c:formatCode>General</c:formatCode>
                <c:ptCount val="11"/>
                <c:pt idx="0">
                  <c:v>-273.60000000000002</c:v>
                </c:pt>
                <c:pt idx="1">
                  <c:v>-298.8</c:v>
                </c:pt>
                <c:pt idx="2">
                  <c:v>-297.60000000000002</c:v>
                </c:pt>
                <c:pt idx="3">
                  <c:v>-304.5</c:v>
                </c:pt>
                <c:pt idx="4">
                  <c:v>-322.2</c:v>
                </c:pt>
                <c:pt idx="5">
                  <c:v>-322.2</c:v>
                </c:pt>
                <c:pt idx="6">
                  <c:v>-465</c:v>
                </c:pt>
                <c:pt idx="7">
                  <c:v>-885</c:v>
                </c:pt>
                <c:pt idx="8">
                  <c:v>-1287</c:v>
                </c:pt>
                <c:pt idx="9">
                  <c:v>-1137</c:v>
                </c:pt>
                <c:pt idx="10">
                  <c:v>-684</c:v>
                </c:pt>
              </c:numCache>
            </c:numRef>
          </c:val>
          <c:smooth val="0"/>
          <c:extLst>
            <c:ext xmlns:c16="http://schemas.microsoft.com/office/drawing/2014/chart" uri="{C3380CC4-5D6E-409C-BE32-E72D297353CC}">
              <c16:uniqueId val="{00000001-5557-4B8B-B95F-803FD13800A4}"/>
            </c:ext>
          </c:extLst>
        </c:ser>
        <c:ser>
          <c:idx val="2"/>
          <c:order val="2"/>
          <c:tx>
            <c:strRef>
              <c:f>'Business Model'!$B$11</c:f>
              <c:strCache>
                <c:ptCount val="1"/>
                <c:pt idx="0">
                  <c:v>Financing Cash Flow</c:v>
                </c:pt>
              </c:strCache>
            </c:strRef>
          </c:tx>
          <c:spPr>
            <a:ln w="28575" cap="rnd">
              <a:solidFill>
                <a:schemeClr val="accent3"/>
              </a:solidFill>
              <a:round/>
            </a:ln>
            <a:effectLst/>
          </c:spPr>
          <c:marker>
            <c:symbol val="none"/>
          </c:marker>
          <c:cat>
            <c:numRef>
              <c:f>'Business Model'!$C$8:$M$8</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Model'!$C$11:$M$11</c:f>
              <c:numCache>
                <c:formatCode>General</c:formatCode>
                <c:ptCount val="11"/>
                <c:pt idx="0">
                  <c:v>30.6</c:v>
                </c:pt>
                <c:pt idx="1">
                  <c:v>-6</c:v>
                </c:pt>
                <c:pt idx="2">
                  <c:v>-60.6</c:v>
                </c:pt>
                <c:pt idx="3">
                  <c:v>-132</c:v>
                </c:pt>
                <c:pt idx="4">
                  <c:v>-196.2</c:v>
                </c:pt>
                <c:pt idx="5">
                  <c:v>-262.8</c:v>
                </c:pt>
                <c:pt idx="6">
                  <c:v>-195</c:v>
                </c:pt>
                <c:pt idx="7">
                  <c:v>144</c:v>
                </c:pt>
                <c:pt idx="8">
                  <c:v>87</c:v>
                </c:pt>
                <c:pt idx="9">
                  <c:v>-189</c:v>
                </c:pt>
                <c:pt idx="10">
                  <c:v>-300</c:v>
                </c:pt>
              </c:numCache>
            </c:numRef>
          </c:val>
          <c:smooth val="0"/>
          <c:extLst>
            <c:ext xmlns:c16="http://schemas.microsoft.com/office/drawing/2014/chart" uri="{C3380CC4-5D6E-409C-BE32-E72D297353CC}">
              <c16:uniqueId val="{00000002-5557-4B8B-B95F-803FD13800A4}"/>
            </c:ext>
          </c:extLst>
        </c:ser>
        <c:dLbls>
          <c:showLegendKey val="0"/>
          <c:showVal val="0"/>
          <c:showCatName val="0"/>
          <c:showSerName val="0"/>
          <c:showPercent val="0"/>
          <c:showBubbleSize val="0"/>
        </c:dLbls>
        <c:smooth val="0"/>
        <c:axId val="1922942992"/>
        <c:axId val="1922941552"/>
      </c:lineChart>
      <c:catAx>
        <c:axId val="19229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2941552"/>
        <c:crosses val="autoZero"/>
        <c:auto val="1"/>
        <c:lblAlgn val="ctr"/>
        <c:lblOffset val="100"/>
        <c:noMultiLvlLbl val="0"/>
      </c:catAx>
      <c:valAx>
        <c:axId val="19229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2942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tLang="zh-CN"/>
              <a:t>ASML</a:t>
            </a:r>
            <a:endParaRPr lang="zh-C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lineChart>
        <c:grouping val="standard"/>
        <c:varyColors val="0"/>
        <c:ser>
          <c:idx val="0"/>
          <c:order val="0"/>
          <c:tx>
            <c:strRef>
              <c:f>'Business Model'!$B$14</c:f>
              <c:strCache>
                <c:ptCount val="1"/>
                <c:pt idx="0">
                  <c:v>Operating Cash Flow</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'Business Model'!$C$13:$M$13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Model'!$C$14:$M$14</c:f>
              <c:numCache>
                <c:formatCode>General</c:formatCode>
                <c:ptCount val="11"/>
                <c:pt idx="0">
                  <c:v>1.1200000000000001</c:v>
                </c:pt>
                <c:pt idx="1">
                  <c:v>0.89</c:v>
                </c:pt>
                <c:pt idx="2">
                  <c:v>1.84</c:v>
                </c:pt>
                <c:pt idx="3">
                  <c:v>1.49</c:v>
                </c:pt>
                <c:pt idx="4">
                  <c:v>1.65</c:v>
                </c:pt>
                <c:pt idx="5">
                  <c:v>2.95</c:v>
                </c:pt>
                <c:pt idx="6">
                  <c:v>2.81</c:v>
                </c:pt>
                <c:pt idx="7">
                  <c:v>4.1900000000000004</c:v>
                </c:pt>
                <c:pt idx="8">
                  <c:v>11.77</c:v>
                </c:pt>
                <c:pt idx="9">
                  <c:v>7.59</c:v>
                </c:pt>
                <c:pt idx="10">
                  <c:v>3.56</c:v>
                </c:pt>
              </c:numCache>
            </c:numRef>
          </c:val>
          <c:smooth val="0"/>
          <c:extLst>
            <c:ext xmlns:c16="http://schemas.microsoft.com/office/drawing/2014/chart" uri="{C3380CC4-5D6E-409C-BE32-E72D297353CC}">
              <c16:uniqueId val="{00000000-8217-4603-98BA-7CD8F4DFD91C}"/>
            </c:ext>
          </c:extLst>
        </c:ser>
        <c:ser>
          <c:idx val="1"/>
          <c:order val="1"/>
          <c:tx>
            <c:strRef>
              <c:f>'Business Model'!$B$15</c:f>
              <c:strCache>
                <c:ptCount val="1"/>
                <c:pt idx="0">
                  <c:v>Investing Cash Flow</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'Business Model'!$C$13:$M$13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Model'!$C$15:$M$15</c:f>
              <c:numCache>
                <c:formatCode>General</c:formatCode>
                <c:ptCount val="11"/>
                <c:pt idx="0">
                  <c:v>-0.61</c:v>
                </c:pt>
                <c:pt idx="1">
                  <c:v>-0.6</c:v>
                </c:pt>
                <c:pt idx="2">
                  <c:v>-0.95</c:v>
                </c:pt>
                <c:pt idx="3">
                  <c:v>-0.88</c:v>
                </c:pt>
                <c:pt idx="4">
                  <c:v>-1.1000000000000001</c:v>
                </c:pt>
                <c:pt idx="5">
                  <c:v>-1.2</c:v>
                </c:pt>
                <c:pt idx="6">
                  <c:v>-1.5</c:v>
                </c:pt>
                <c:pt idx="7">
                  <c:v>-1.8</c:v>
                </c:pt>
                <c:pt idx="8">
                  <c:v>-2</c:v>
                </c:pt>
                <c:pt idx="9">
                  <c:v>-2.5</c:v>
                </c:pt>
                <c:pt idx="10">
                  <c:v>-3</c:v>
                </c:pt>
              </c:numCache>
            </c:numRef>
          </c:val>
          <c:smooth val="0"/>
          <c:extLst>
            <c:ext xmlns:c16="http://schemas.microsoft.com/office/drawing/2014/chart" uri="{C3380CC4-5D6E-409C-BE32-E72D297353CC}">
              <c16:uniqueId val="{00000001-8217-4603-98BA-7CD8F4DFD91C}"/>
            </c:ext>
          </c:extLst>
        </c:ser>
        <c:ser>
          <c:idx val="2"/>
          <c:order val="2"/>
          <c:tx>
            <c:strRef>
              <c:f>'Business Model'!$B$16</c:f>
              <c:strCache>
                <c:ptCount val="1"/>
                <c:pt idx="0">
                  <c:v>Financing Cash Flow</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'Business Model'!$C$13:$M$13</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'Business Model'!$C$16:$M$16</c:f>
              <c:numCache>
                <c:formatCode>General</c:formatCode>
                <c:ptCount val="11"/>
                <c:pt idx="0">
                  <c:v>-0.3</c:v>
                </c:pt>
                <c:pt idx="1">
                  <c:v>-0.4</c:v>
                </c:pt>
                <c:pt idx="2">
                  <c:v>-0.8</c:v>
                </c:pt>
                <c:pt idx="3">
                  <c:v>-0.6</c:v>
                </c:pt>
                <c:pt idx="4">
                  <c:v>-0.8</c:v>
                </c:pt>
                <c:pt idx="5">
                  <c:v>-1</c:v>
                </c:pt>
                <c:pt idx="6">
                  <c:v>-1.2</c:v>
                </c:pt>
                <c:pt idx="7">
                  <c:v>-1.5</c:v>
                </c:pt>
                <c:pt idx="8">
                  <c:v>-2</c:v>
                </c:pt>
                <c:pt idx="9">
                  <c:v>-2.5</c:v>
                </c:pt>
                <c:pt idx="10">
                  <c:v>-3</c:v>
                </c:pt>
              </c:numCache>
            </c:numRef>
          </c:val>
          <c:smooth val="0"/>
          <c:extLst>
            <c:ext xmlns:c16="http://schemas.microsoft.com/office/drawing/2014/chart" uri="{C3380CC4-5D6E-409C-BE32-E72D297353CC}">
              <c16:uniqueId val="{00000002-8217-4603-98BA-7CD8F4DFD91C}"/>
            </c:ext>
          </c:extLst>
        </c:ser>
        <c:dLbls>
          <c:dLblPos val="ctr"/>
          <c:showLegendKey val="0"/>
          <c:showVal val="1"/>
          <c:showCatName val="0"/>
          <c:showSerName val="0"/>
          <c:showPercent val="0"/>
          <c:showBubbleSize val="0"/>
        </c:dLbls>
        <c:marker val="1"/>
        <c:smooth val="0"/>
        <c:axId val="1519907312"/>
        <c:axId val="1519918352"/>
      </c:lineChart>
      <c:catAx>
        <c:axId val="1519907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CN"/>
          </a:p>
        </c:txPr>
        <c:crossAx val="1519918352"/>
        <c:crosses val="autoZero"/>
        <c:auto val="1"/>
        <c:lblAlgn val="ctr"/>
        <c:lblOffset val="100"/>
        <c:noMultiLvlLbl val="0"/>
      </c:catAx>
      <c:valAx>
        <c:axId val="1519918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199073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40480</xdr:colOff>
      <xdr:row>17</xdr:row>
      <xdr:rowOff>9525</xdr:rowOff>
    </xdr:from>
    <xdr:to>
      <xdr:col>4</xdr:col>
      <xdr:colOff>864392</xdr:colOff>
      <xdr:row>32</xdr:row>
      <xdr:rowOff>109538</xdr:rowOff>
    </xdr:to>
    <xdr:graphicFrame macro="">
      <xdr:nvGraphicFramePr>
        <xdr:cNvPr id="3" name="图表 2">
          <a:extLst>
            <a:ext uri="{FF2B5EF4-FFF2-40B4-BE49-F238E27FC236}">
              <a16:creationId xmlns:a16="http://schemas.microsoft.com/office/drawing/2014/main" id="{322D880A-68C2-D192-E74A-B8232CF88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169068</xdr:colOff>
      <xdr:row>17</xdr:row>
      <xdr:rowOff>33337</xdr:rowOff>
    </xdr:from>
    <xdr:to>
      <xdr:col>9</xdr:col>
      <xdr:colOff>688181</xdr:colOff>
      <xdr:row>32</xdr:row>
      <xdr:rowOff>133350</xdr:rowOff>
    </xdr:to>
    <xdr:graphicFrame macro="">
      <xdr:nvGraphicFramePr>
        <xdr:cNvPr id="4" name="图表 3">
          <a:extLst>
            <a:ext uri="{FF2B5EF4-FFF2-40B4-BE49-F238E27FC236}">
              <a16:creationId xmlns:a16="http://schemas.microsoft.com/office/drawing/2014/main" id="{0ED7410E-F6CD-2EC9-9D1C-6142E0A17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854868</xdr:colOff>
      <xdr:row>17</xdr:row>
      <xdr:rowOff>14287</xdr:rowOff>
    </xdr:from>
    <xdr:to>
      <xdr:col>15</xdr:col>
      <xdr:colOff>602455</xdr:colOff>
      <xdr:row>32</xdr:row>
      <xdr:rowOff>114300</xdr:rowOff>
    </xdr:to>
    <xdr:graphicFrame macro="">
      <xdr:nvGraphicFramePr>
        <xdr:cNvPr id="5" name="图表 4">
          <a:extLst>
            <a:ext uri="{FF2B5EF4-FFF2-40B4-BE49-F238E27FC236}">
              <a16:creationId xmlns:a16="http://schemas.microsoft.com/office/drawing/2014/main" id="{43A8818D-719D-3BB4-4579-E14F544DD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CBB-D1DB-477C-9705-72CF1FC288E1}">
  <dimension ref="A1:N68"/>
  <sheetViews>
    <sheetView zoomScale="78" workbookViewId="0">
      <selection activeCell="F24" sqref="F24"/>
    </sheetView>
  </sheetViews>
  <sheetFormatPr defaultRowHeight="13.9"/>
  <cols>
    <col min="2" max="2" width="23.59765625" customWidth="1"/>
    <col min="3" max="3" width="16.1328125" customWidth="1"/>
    <col min="4" max="4" width="14.86328125" customWidth="1"/>
    <col min="5" max="5" width="12.59765625" customWidth="1"/>
    <col min="6" max="6" width="14.46484375" customWidth="1"/>
    <col min="8" max="8" width="23" customWidth="1"/>
    <col min="9" max="9" width="14" customWidth="1"/>
    <col min="10" max="10" width="11.9296875" customWidth="1"/>
    <col min="11" max="11" width="11.796875" customWidth="1"/>
    <col min="12" max="12" width="13.796875" customWidth="1"/>
  </cols>
  <sheetData>
    <row r="1" spans="2:14" ht="16.899999999999999">
      <c r="B1" s="122" t="s">
        <v>123</v>
      </c>
      <c r="C1" s="122"/>
      <c r="D1" s="122"/>
      <c r="E1" s="122"/>
      <c r="F1" s="122"/>
      <c r="H1" s="122" t="s">
        <v>225</v>
      </c>
      <c r="I1" s="122"/>
      <c r="J1" s="122"/>
      <c r="K1" s="122"/>
      <c r="L1" s="122"/>
      <c r="N1" s="110" t="s">
        <v>227</v>
      </c>
    </row>
    <row r="2" spans="2:14">
      <c r="B2" s="47" t="s">
        <v>124</v>
      </c>
      <c r="C2" s="17">
        <v>2023</v>
      </c>
      <c r="D2" s="17">
        <v>2022</v>
      </c>
      <c r="E2" s="17">
        <v>2021</v>
      </c>
      <c r="F2" s="17">
        <v>2020</v>
      </c>
      <c r="H2" s="47" t="s">
        <v>124</v>
      </c>
      <c r="I2" s="17">
        <v>2020</v>
      </c>
      <c r="J2" s="17">
        <v>2021</v>
      </c>
      <c r="K2" s="17">
        <v>2022</v>
      </c>
      <c r="L2" s="17">
        <v>2023</v>
      </c>
      <c r="N2" s="112" t="s">
        <v>254</v>
      </c>
    </row>
    <row r="3" spans="2:14">
      <c r="B3" s="48" t="s">
        <v>125</v>
      </c>
      <c r="C3" s="49">
        <f>'CF NVDA'!B4/'IS NVDA'!B4</f>
        <v>0.46108138275171529</v>
      </c>
      <c r="D3" s="49">
        <f>'CF NVDA'!C4/'IS NVDA'!C4</f>
        <v>0.20912730777786015</v>
      </c>
      <c r="E3" s="49">
        <f>'CF NVDA'!D4/'IS NVDA'!D4</f>
        <v>0.3384112357880657</v>
      </c>
      <c r="F3" s="49">
        <f>'CF NVDA'!E4/'IS NVDA'!E4</f>
        <v>0.34914542728635684</v>
      </c>
      <c r="H3" s="48" t="s">
        <v>125</v>
      </c>
      <c r="I3" s="49">
        <f>'TSMC CASH FLOW'!C12/'TSMC INCOME STATEMENT'!C3</f>
        <v>0.61427908471866655</v>
      </c>
      <c r="J3" s="49">
        <f>'TSMC CASH FLOW'!D12/'TSMC INCOME STATEMENT'!D3</f>
        <v>0.70061118233102238</v>
      </c>
      <c r="K3" s="49">
        <f>'TSMC CASH FLOW'!E12/'TSMC INCOME STATEMENT'!E3</f>
        <v>0.71142956377808431</v>
      </c>
      <c r="L3" s="49">
        <f>'TSMC CASH FLOW'!F12/'TSMC INCOME STATEMENT'!F3</f>
        <v>0.57452316790978808</v>
      </c>
      <c r="N3" s="118" t="s">
        <v>255</v>
      </c>
    </row>
    <row r="4" spans="2:14">
      <c r="B4" s="48" t="s">
        <v>126</v>
      </c>
      <c r="C4" s="50">
        <f>'CF NVDA'!B4/'IS NVDA'!B19</f>
        <v>0.9438844086021505</v>
      </c>
      <c r="D4" s="50">
        <f>'CF NVDA'!C4/'IS NVDA'!C19</f>
        <v>1.291437728937729</v>
      </c>
      <c r="E4" s="50">
        <f>'CF NVDA'!D4/'IS NVDA'!D19</f>
        <v>0.93396226415094341</v>
      </c>
      <c r="F4" s="50">
        <f>'CF NVDA'!E4/'IS NVDA'!E19</f>
        <v>1.3439519852262234</v>
      </c>
      <c r="H4" s="48" t="s">
        <v>126</v>
      </c>
      <c r="I4" s="49">
        <f>'TSMC CASH FLOW'!C12/'TSMC INCOME STATEMENT'!C17</f>
        <v>1.6098890819713194</v>
      </c>
      <c r="J4" s="49">
        <f>'TSMC CASH FLOW'!D12/'TSMC INCOME STATEMENT'!D17</f>
        <v>1.8758594900895729</v>
      </c>
      <c r="K4" s="49">
        <f>'TSMC CASH FLOW'!E12/'TSMC INCOME STATEMENT'!E17</f>
        <v>1.6214716538807668</v>
      </c>
      <c r="L4" s="49">
        <f>'TSMC CASH FLOW'!F12/'TSMC INCOME STATEMENT'!F17</f>
        <v>1.4593735315548484</v>
      </c>
      <c r="N4" s="118" t="s">
        <v>256</v>
      </c>
    </row>
    <row r="5" spans="2:14">
      <c r="B5" s="48" t="s">
        <v>127</v>
      </c>
      <c r="C5" s="50">
        <f>'CF NVDA'!B4/'IS NVDA'!B12</f>
        <v>0.85193497513041372</v>
      </c>
      <c r="D5" s="50">
        <f>'CF NVDA'!C4/'IS NVDA'!C12</f>
        <v>1.3354640151515151</v>
      </c>
      <c r="E5" s="50">
        <f>'CF NVDA'!D4/'IS NVDA'!D12</f>
        <v>0.90708096803107263</v>
      </c>
      <c r="F5" s="50">
        <f>'CF NVDA'!E4/'IS NVDA'!E12</f>
        <v>1.2846425419240952</v>
      </c>
      <c r="H5" s="48" t="s">
        <v>127</v>
      </c>
      <c r="I5" s="49">
        <f>'TSMC CASH FLOW'!C12/'TSMC INCOME STATEMENT'!B13</f>
        <v>2.2034836131437694</v>
      </c>
      <c r="J5" s="49">
        <f>'TSMC CASH FLOW'!D12/'TSMC INCOME STATEMENT'!C13</f>
        <v>1.9622440805956456</v>
      </c>
      <c r="K5" s="49">
        <f>'TSMC CASH FLOW'!E12/'TSMC INCOME STATEMENT'!D13</f>
        <v>2.4779074425877821</v>
      </c>
      <c r="L5" s="49">
        <f>'TSMC CASH FLOW'!F12/'TSMC INCOME STATEMENT'!E13</f>
        <v>1.1076863595357407</v>
      </c>
      <c r="N5" s="112" t="s">
        <v>257</v>
      </c>
    </row>
    <row r="6" spans="2:14">
      <c r="B6" s="48" t="s">
        <v>128</v>
      </c>
      <c r="C6" s="49">
        <f>'CF NVDA'!B4/AVERAGE('BS NVDA'!B3:C3)</f>
        <v>0.52548872883733977</v>
      </c>
      <c r="D6" s="49">
        <f>'CF NVDA'!C4/AVERAGE('BS NVDA'!C3:D3)</f>
        <v>0.13215570054703699</v>
      </c>
      <c r="E6" s="49">
        <f>'CF NVDA'!D4/AVERAGE('BS NVDA'!D3:E3)</f>
        <v>0.24960947134752939</v>
      </c>
      <c r="F6" s="49">
        <f>'CF NVDA'!E4/AVERAGE('BS NVDA'!E3:F3)</f>
        <v>0.25254847525267859</v>
      </c>
      <c r="H6" s="48" t="s">
        <v>128</v>
      </c>
      <c r="I6" s="49">
        <f>'TSMC CASH FLOW'!C12/AVERAGE('TSMC BALANCE SHEET'!A17:F18)</f>
        <v>0.21370969162328643</v>
      </c>
      <c r="J6" s="49">
        <f>'TSMC CASH FLOW'!D12/AVERAGE('TSMC BALANCE SHEET'!B17:G18)</f>
        <v>0.28891368118993876</v>
      </c>
      <c r="K6" s="49">
        <f>'TSMC CASH FLOW'!E12/AVERAGE('TSMC BALANCE SHEET'!C17:H18)</f>
        <v>0.37935372564359915</v>
      </c>
      <c r="L6" s="49">
        <f>'TSMC CASH FLOW'!F12/AVERAGE('TSMC BALANCE SHEET'!D17:I18)</f>
        <v>0.34930977054082191</v>
      </c>
      <c r="N6" s="118" t="s">
        <v>258</v>
      </c>
    </row>
    <row r="7" spans="2:14">
      <c r="B7" s="48" t="s">
        <v>129</v>
      </c>
      <c r="C7" s="49">
        <f>'CF NVDA'!B4/AVERAGE('BS NVDA'!B29:C29)</f>
        <v>0.86325850120622627</v>
      </c>
      <c r="D7" s="49">
        <f>'CF NVDA'!C4/AVERAGE('BS NVDA'!C29:D29)</f>
        <v>0.23160142056535216</v>
      </c>
      <c r="E7" s="49">
        <f>'CF NVDA'!D4/AVERAGE('BS NVDA'!D29:E29)</f>
        <v>0.41871049304677621</v>
      </c>
      <c r="F7" s="49">
        <f>'CF NVDA'!E4/AVERAGE('BS NVDA'!E29:F29)</f>
        <v>0.40017871258205312</v>
      </c>
      <c r="H7" s="48" t="s">
        <v>129</v>
      </c>
      <c r="I7" s="49">
        <f>'TSMC CASH FLOW'!C12/AVERAGE('TSMC BALANCE SHEET'!B34:C34)</f>
        <v>0.47698130037042791</v>
      </c>
      <c r="J7" s="49">
        <f>'TSMC CASH FLOW'!D12/AVERAGE('TSMC BALANCE SHEET'!C34:D34)</f>
        <v>0.55517860115707063</v>
      </c>
      <c r="K7" s="49">
        <f>'TSMC CASH FLOW'!E12/AVERAGE('TSMC BALANCE SHEET'!D34:E34)</f>
        <v>0.62776437192865431</v>
      </c>
      <c r="L7" s="49">
        <f>'TSMC CASH FLOW'!F12/AVERAGE('TSMC BALANCE SHEET'!E34:F34)</f>
        <v>0.38547956404732425</v>
      </c>
      <c r="N7" s="118" t="s">
        <v>259</v>
      </c>
    </row>
    <row r="8" spans="2:14">
      <c r="B8" s="48"/>
      <c r="C8" s="48"/>
      <c r="D8" s="48"/>
      <c r="E8" s="48"/>
      <c r="F8" s="16"/>
      <c r="H8" s="48"/>
      <c r="I8" s="48"/>
      <c r="J8" s="48"/>
      <c r="K8" s="48"/>
      <c r="L8" s="16"/>
      <c r="N8" s="112" t="s">
        <v>260</v>
      </c>
    </row>
    <row r="9" spans="2:14">
      <c r="B9" s="48" t="s">
        <v>130</v>
      </c>
      <c r="C9" s="49">
        <f>'CF NVDA'!B4/('BS NVDA'!B19+'BS NVDA'!B23)</f>
        <v>1.2347252747252748</v>
      </c>
      <c r="D9" s="49">
        <f>'CF NVDA'!C4/('BS NVDA'!C19+'BS NVDA'!C23)</f>
        <v>0.29563440071275088</v>
      </c>
      <c r="E9" s="49">
        <f>'CF NVDA'!D4/('BS NVDA'!D19+'BS NVDA'!D23)</f>
        <v>0.51823613086770981</v>
      </c>
      <c r="F9" s="49">
        <f>'CF NVDA'!E4/('BS NVDA'!E19+'BS NVDA'!E23)</f>
        <v>0.48932593713229117</v>
      </c>
      <c r="H9" s="48" t="s">
        <v>130</v>
      </c>
      <c r="I9" s="49">
        <f>'TSMC CASH FLOW'!C12/('TSMC BALANCE SHEET'!C23+'TSMC BALANCE SHEET'!C27)</f>
        <v>0.88952590224847239</v>
      </c>
      <c r="J9" s="49">
        <f>'TSMC CASH FLOW'!D12/('TSMC BALANCE SHEET'!D23+'TSMC BALANCE SHEET'!D27)</f>
        <v>0.71541417589055223</v>
      </c>
      <c r="K9" s="49">
        <f>'TSMC CASH FLOW'!E12/('TSMC BALANCE SHEET'!E23+'TSMC BALANCE SHEET'!E27)</f>
        <v>0.80370415482669122</v>
      </c>
      <c r="L9" s="49">
        <f>'TSMC CASH FLOW'!F12/('TSMC BALANCE SHEET'!F23+'TSMC BALANCE SHEET'!F27)</f>
        <v>0.60615297782979582</v>
      </c>
      <c r="N9" s="118" t="s">
        <v>261</v>
      </c>
    </row>
    <row r="10" spans="2:14">
      <c r="B10" s="48" t="s">
        <v>131</v>
      </c>
      <c r="C10" s="50">
        <f>('CF NVDA'!B4+('IS NVDA'!B13)+'IS NVDA'!B18)/'IS NVDA'!B13</f>
        <v>39</v>
      </c>
      <c r="D10" s="50">
        <f>('CF NVDA'!C4+('IS NVDA'!C13)+'IS NVDA'!C18)/-'IS NVDA'!C13</f>
        <v>125.83720930232558</v>
      </c>
      <c r="E10" s="50">
        <f>('CF NVDA'!D4+('IS NVDA'!D13)+'IS NVDA'!D18)/-'IS NVDA'!D13</f>
        <v>91.97</v>
      </c>
      <c r="F10" s="50">
        <f>('CF NVDA'!E4+('IS NVDA'!E13)+'IS NVDA'!E18)/-'IS NVDA'!E13</f>
        <v>46.959349593495936</v>
      </c>
      <c r="H10" s="48" t="s">
        <v>131</v>
      </c>
      <c r="I10" s="50">
        <f>('TSMC CASH FLOW'!C12+'TSMC INCOME STATEMENT'!B14+'TSMC INCOME STATEMENT'!B16)/'TSMC INCOME STATEMENT'!B14</f>
        <v>52.985957454538848</v>
      </c>
      <c r="J10" s="50">
        <f>('TSMC CASH FLOW'!D12+'TSMC INCOME STATEMENT'!C14+'TSMC INCOME STATEMENT'!C16)/'TSMC INCOME STATEMENT'!C14</f>
        <v>67.00685728280169</v>
      </c>
      <c r="K10" s="50">
        <f>('TSMC CASH FLOW'!E12+'TSMC INCOME STATEMENT'!D14+'TSMC INCOME STATEMENT'!D16)/'TSMC INCOME STATEMENT'!D14</f>
        <v>129.7697741411541</v>
      </c>
      <c r="L10" s="50">
        <f>('TSMC CASH FLOW'!F12+'TSMC INCOME STATEMENT'!E14+'TSMC INCOME STATEMENT'!E16)/'TSMC INCOME STATEMENT'!E14</f>
        <v>61.963104654267539</v>
      </c>
      <c r="N10" s="112" t="s">
        <v>262</v>
      </c>
    </row>
    <row r="11" spans="2:14">
      <c r="B11" s="48" t="s">
        <v>132</v>
      </c>
      <c r="C11" s="50">
        <f>'CF NVDA'!B4/-'CF NVDA'!B35</f>
        <v>22.472000000000001</v>
      </c>
      <c r="D11" s="50" t="e">
        <f>'CF NVDA'!C4/-'CF NVDA'!C35</f>
        <v>#DIV/0!</v>
      </c>
      <c r="E11" s="50">
        <f>'CF NVDA'!D4/-'CF NVDA'!D35</f>
        <v>9.1080000000000005</v>
      </c>
      <c r="F11" s="50">
        <f>'CF NVDA'!E4/-'CF NVDA'!E35</f>
        <v>14.739240506329114</v>
      </c>
      <c r="H11" s="48" t="s">
        <v>132</v>
      </c>
      <c r="I11" s="50"/>
      <c r="J11" s="50"/>
      <c r="K11" s="50"/>
      <c r="L11" s="50"/>
      <c r="N11" s="118" t="s">
        <v>263</v>
      </c>
    </row>
    <row r="12" spans="2:14">
      <c r="B12" s="48"/>
      <c r="C12" s="49"/>
      <c r="D12" s="49"/>
      <c r="E12" s="49"/>
      <c r="F12" s="16"/>
      <c r="H12" s="48"/>
      <c r="I12" s="49"/>
      <c r="J12" s="49"/>
      <c r="K12" s="49"/>
      <c r="L12" s="16"/>
      <c r="N12" s="118" t="s">
        <v>264</v>
      </c>
    </row>
    <row r="13" spans="2:14">
      <c r="B13" s="48" t="s">
        <v>133</v>
      </c>
      <c r="C13" s="66">
        <f>'CF NVDA'!B4/-SUM('CF NVDA'!B26:B28)</f>
        <v>13.144595226953673</v>
      </c>
      <c r="D13" s="66">
        <f>'CF NVDA'!C4/-SUM('CF NVDA'!C26:C28)</f>
        <v>2.8795303726391017</v>
      </c>
      <c r="E13" s="66">
        <f>'CF NVDA'!D4/-SUM('CF NVDA'!D26:D28)</f>
        <v>7.2114014251781473</v>
      </c>
      <c r="F13" s="66">
        <f>'CF NVDA'!E4/-SUM('CF NVDA'!E26:E28)</f>
        <v>0.60107371463968617</v>
      </c>
      <c r="H13" s="48" t="s">
        <v>133</v>
      </c>
      <c r="I13" s="66">
        <f>'TSMC CASH FLOW'!C12/-'TSMC CASH FLOW'!C14</f>
        <v>1.606983035445521</v>
      </c>
      <c r="J13" s="66">
        <f>'TSMC CASH FLOW'!D12/-'TSMC CASH FLOW'!D14</f>
        <v>1.3233774280377684</v>
      </c>
      <c r="K13" s="66">
        <f>'TSMC CASH FLOW'!E12/-'TSMC CASH FLOW'!E14</f>
        <v>1.4876149482377903</v>
      </c>
      <c r="L13" s="66">
        <f>'TSMC CASH FLOW'!F12/-'TSMC CASH FLOW'!F14</f>
        <v>1.3074991577883524</v>
      </c>
      <c r="N13" s="112" t="s">
        <v>265</v>
      </c>
    </row>
    <row r="14" spans="2:14">
      <c r="B14" s="48"/>
      <c r="C14" s="49"/>
      <c r="D14" s="49"/>
      <c r="E14" s="49"/>
      <c r="F14" s="16"/>
      <c r="H14" s="48"/>
      <c r="I14" s="49"/>
      <c r="J14" s="49"/>
      <c r="K14" s="49"/>
      <c r="L14" s="16"/>
      <c r="N14" s="118" t="s">
        <v>266</v>
      </c>
    </row>
    <row r="15" spans="2:14">
      <c r="B15" s="48" t="s">
        <v>134</v>
      </c>
      <c r="C15" s="50">
        <f>'CF NVDA'!B4/-('CF NVDA'!B34)</f>
        <v>71.113924050632917</v>
      </c>
      <c r="D15" s="50">
        <f>'CF NVDA'!C4/-('CF NVDA'!C34)</f>
        <v>14.173366834170855</v>
      </c>
      <c r="E15" s="50">
        <f>'CF NVDA'!D4/-('CF NVDA'!D34)</f>
        <v>22.827067669172934</v>
      </c>
      <c r="F15" s="50">
        <f>'CF NVDA'!E4/-('CF NVDA'!E34)</f>
        <v>342.47058823529414</v>
      </c>
      <c r="H15" s="48" t="s">
        <v>134</v>
      </c>
      <c r="I15" s="50">
        <f>'TSMC CASH FLOW'!C12/-'TSMC CASH FLOW'!C23</f>
        <v>3.1725960051491726</v>
      </c>
      <c r="J15" s="50">
        <f>'TSMC CASH FLOW'!D12/-'TSMC CASH FLOW'!D23</f>
        <v>4.1844153801699404</v>
      </c>
      <c r="K15" s="50">
        <f>'TSMC CASH FLOW'!E12/-'TSMC CASH FLOW'!E23</f>
        <v>5.6465851570393726</v>
      </c>
      <c r="L15" s="50">
        <f>'TSMC CASH FLOW'!F12/-'TSMC CASH FLOW'!F23</f>
        <v>4.2573673762580047</v>
      </c>
      <c r="N15" s="118" t="s">
        <v>267</v>
      </c>
    </row>
    <row r="16" spans="2:14">
      <c r="N16" s="112" t="s">
        <v>268</v>
      </c>
    </row>
    <row r="17" spans="8:14">
      <c r="H17" s="122" t="s">
        <v>226</v>
      </c>
      <c r="I17" s="122"/>
      <c r="J17" s="122"/>
      <c r="K17" s="122"/>
      <c r="L17" s="122"/>
      <c r="N17" s="118" t="s">
        <v>269</v>
      </c>
    </row>
    <row r="18" spans="8:14">
      <c r="H18" s="47" t="s">
        <v>124</v>
      </c>
      <c r="I18" s="17">
        <v>2020</v>
      </c>
      <c r="J18" s="17">
        <v>2021</v>
      </c>
      <c r="K18" s="17">
        <v>2022</v>
      </c>
      <c r="L18" s="17">
        <v>2023</v>
      </c>
      <c r="N18" s="118" t="s">
        <v>270</v>
      </c>
    </row>
    <row r="19" spans="8:14">
      <c r="H19" s="48" t="s">
        <v>125</v>
      </c>
      <c r="I19" s="49">
        <f>'ASML CF'!C12/'ASML IS'!C3</f>
        <v>0.33105125728797802</v>
      </c>
      <c r="J19" s="49">
        <f>'ASML CF'!D12/'ASML IS'!D3</f>
        <v>0.58276288216646066</v>
      </c>
      <c r="K19" s="49">
        <f>'ASML CF'!E12/'ASML IS'!E3</f>
        <v>0.4008236749884288</v>
      </c>
      <c r="L19" s="49">
        <f>'ASML CF'!F12/'ASML IS'!F3</f>
        <v>0.19752163579294954</v>
      </c>
    </row>
    <row r="20" spans="8:14" ht="16.899999999999999">
      <c r="H20" s="48" t="s">
        <v>126</v>
      </c>
      <c r="I20" s="50">
        <f>'ASML CF'!C12/'ASML IS'!C17</f>
        <v>1.3021920814925292</v>
      </c>
      <c r="J20" s="50">
        <f>'ASML CF'!D12/'ASML IS'!D17</f>
        <v>1.8435205330432418</v>
      </c>
      <c r="K20" s="50">
        <f>'ASML CF'!E12/'ASML IS'!E17</f>
        <v>1.5089790547989046</v>
      </c>
      <c r="L20" s="50">
        <f>'ASML CF'!F12/'ASML IS'!F17</f>
        <v>0.69439979589233314</v>
      </c>
      <c r="N20" s="110" t="s">
        <v>228</v>
      </c>
    </row>
    <row r="21" spans="8:14">
      <c r="H21" s="48" t="s">
        <v>127</v>
      </c>
      <c r="I21" s="50">
        <f>'ASML CF'!C12/'ASML IS'!C12</f>
        <v>1.1421942490435641</v>
      </c>
      <c r="J21" s="50">
        <f>'ASML CF'!D12/'ASML IS'!D12</f>
        <v>1.6592925769536748</v>
      </c>
      <c r="K21" s="50">
        <f>'ASML CF'!E12/'ASML IS'!E12</f>
        <v>1.3055209438983493</v>
      </c>
      <c r="L21" s="50">
        <f>'ASML CF'!F12/'ASML IS'!F12</f>
        <v>0.60199285579996242</v>
      </c>
      <c r="N21" s="111"/>
    </row>
    <row r="22" spans="8:14">
      <c r="H22" s="48" t="s">
        <v>128</v>
      </c>
      <c r="I22" s="49">
        <f>'ASML CF'!C12/AVERAGE('ASML BS'!B13:C13)</f>
        <v>0.18548610136881979</v>
      </c>
      <c r="J22" s="49">
        <f>'ASML CF'!D12/AVERAGE('ASML BS'!C13:D13)</f>
        <v>0.37725571494163312</v>
      </c>
      <c r="K22" s="49">
        <f>'ASML CF'!E12/AVERAGE('ASML BS'!D13:E13)</f>
        <v>0.25512164181123498</v>
      </c>
      <c r="L22" s="49">
        <f>'ASML CF'!F12/AVERAGE('ASML BS'!E13:F13)</f>
        <v>0.14276291374401864</v>
      </c>
      <c r="N22" s="112" t="s">
        <v>254</v>
      </c>
    </row>
    <row r="23" spans="8:14">
      <c r="H23" s="48" t="s">
        <v>129</v>
      </c>
      <c r="I23" s="49">
        <f>'ASML CF'!C12/AVERAGE('ASML BS'!B29:C29)</f>
        <v>0.34981253023705861</v>
      </c>
      <c r="J23" s="49">
        <f>'ASML CF'!D12/AVERAGE('ASML BS'!C29:D29)</f>
        <v>0.90359076897442303</v>
      </c>
      <c r="K23" s="49">
        <f>'ASML CF'!E12/AVERAGE('ASML BS'!D29:E29)</f>
        <v>0.8956383169581138</v>
      </c>
      <c r="L23" s="49">
        <f>'ASML CF'!F12/AVERAGE('ASML BS'!E29:F29)</f>
        <v>0.48900427611484426</v>
      </c>
      <c r="N23" s="118" t="s">
        <v>271</v>
      </c>
    </row>
    <row r="24" spans="8:14">
      <c r="H24" s="48"/>
      <c r="I24" s="48"/>
      <c r="J24" s="48"/>
      <c r="K24" s="48"/>
      <c r="L24" s="16"/>
      <c r="N24" s="112" t="s">
        <v>257</v>
      </c>
    </row>
    <row r="25" spans="8:14">
      <c r="H25" s="48" t="s">
        <v>130</v>
      </c>
      <c r="I25" s="49">
        <f>'ASML CF'!C12/'ASML BS'!C23</f>
        <v>0.34529174750037306</v>
      </c>
      <c r="J25" s="49">
        <f>'ASML CF'!D12/'ASML BS'!D23</f>
        <v>0.53984987854895861</v>
      </c>
      <c r="K25" s="49">
        <f>'ASML CF'!E12/'ASML BS'!E23</f>
        <v>0.30872766428030957</v>
      </c>
      <c r="L25" s="49">
        <f>'ASML CF'!F12/'ASML BS'!F23</f>
        <v>0.2053717963712644</v>
      </c>
      <c r="N25" s="118" t="s">
        <v>272</v>
      </c>
    </row>
    <row r="26" spans="8:14">
      <c r="H26" s="48" t="s">
        <v>131</v>
      </c>
      <c r="I26" s="50">
        <f>('ASML CF'!C12+'ASML IS'!C13+'ASML IS'!C16)/'ASML IS'!C13</f>
        <v>97.445065176908756</v>
      </c>
      <c r="J26" s="50">
        <f>('ASML CF'!D12+'ASML IS'!D13+'ASML IS'!D16)/'ASML IS'!D13</f>
        <v>77.810355987055004</v>
      </c>
      <c r="K26" s="50">
        <f>('ASML CF'!E12+'ASML IS'!E13+'ASML IS'!E16)/'ASML IS'!E13</f>
        <v>102.24946466809419</v>
      </c>
      <c r="L26" s="50">
        <f>('ASML CF'!F12+'ASML IS'!F13+'ASML IS'!F16)/'ASML IS'!F13</f>
        <v>30.58795698924731</v>
      </c>
      <c r="N26" s="112" t="s">
        <v>260</v>
      </c>
    </row>
    <row r="27" spans="8:14">
      <c r="H27" s="48" t="s">
        <v>132</v>
      </c>
      <c r="I27" s="50"/>
      <c r="J27" s="50"/>
      <c r="K27" s="50"/>
      <c r="L27" s="50"/>
      <c r="N27" s="118" t="s">
        <v>273</v>
      </c>
    </row>
    <row r="28" spans="8:14">
      <c r="H28" s="48"/>
      <c r="I28" s="49"/>
      <c r="J28" s="49"/>
      <c r="K28" s="49"/>
      <c r="L28" s="16"/>
      <c r="N28" s="112" t="s">
        <v>262</v>
      </c>
    </row>
    <row r="29" spans="8:14">
      <c r="H29" s="48" t="s">
        <v>133</v>
      </c>
      <c r="I29" s="66">
        <f>'ASML CF'!C12/-'ASML CF'!C14</f>
        <v>4.8103950103950108</v>
      </c>
      <c r="J29" s="66">
        <f>'ASML CF'!D12/-'ASML CF'!D14</f>
        <v>12.041523259686908</v>
      </c>
      <c r="K29" s="66">
        <f>'ASML CF'!E12/-'ASML CF'!E14</f>
        <v>6.6210017163364014</v>
      </c>
      <c r="L29" s="66">
        <f>'ASML CF'!F12/-'ASML CF'!F14</f>
        <v>2.5252365930599368</v>
      </c>
      <c r="N29" s="118" t="s">
        <v>274</v>
      </c>
    </row>
    <row r="30" spans="8:14">
      <c r="H30" s="48"/>
      <c r="I30" s="49"/>
      <c r="J30" s="49"/>
      <c r="K30" s="49"/>
      <c r="L30" s="16"/>
      <c r="N30" s="118" t="s">
        <v>275</v>
      </c>
    </row>
    <row r="31" spans="8:14">
      <c r="H31" s="48" t="s">
        <v>134</v>
      </c>
      <c r="I31" s="50">
        <f>'ASML CF'!C12/-'ASML CF'!C23</f>
        <v>4.3394598649662415</v>
      </c>
      <c r="J31" s="50">
        <f>'ASML CF'!D12/-'ASML CF'!D23</f>
        <v>7.9264781115252498</v>
      </c>
      <c r="K31" s="50">
        <f>'ASML CF'!E12/-'ASML CF'!E23</f>
        <v>3.3154152668177197</v>
      </c>
      <c r="L31" s="50">
        <f>'ASML CF'!F12/-'ASML CF'!F23</f>
        <v>2.3180172891027548</v>
      </c>
      <c r="N31" s="112" t="s">
        <v>265</v>
      </c>
    </row>
    <row r="32" spans="8:14">
      <c r="N32" s="118" t="s">
        <v>276</v>
      </c>
    </row>
    <row r="33" spans="1:14">
      <c r="N33" s="118" t="s">
        <v>277</v>
      </c>
    </row>
    <row r="34" spans="1:14">
      <c r="A34" t="s">
        <v>290</v>
      </c>
      <c r="N34" s="112" t="s">
        <v>268</v>
      </c>
    </row>
    <row r="35" spans="1:14">
      <c r="N35" s="118" t="s">
        <v>278</v>
      </c>
    </row>
    <row r="36" spans="1:14">
      <c r="A36" t="s">
        <v>296</v>
      </c>
      <c r="N36" s="118" t="s">
        <v>279</v>
      </c>
    </row>
    <row r="37" spans="1:14" ht="16.899999999999999">
      <c r="N37" s="110" t="s">
        <v>229</v>
      </c>
    </row>
    <row r="38" spans="1:14">
      <c r="A38" t="s">
        <v>291</v>
      </c>
      <c r="N38" s="112" t="s">
        <v>254</v>
      </c>
    </row>
    <row r="39" spans="1:14">
      <c r="N39" s="118" t="s">
        <v>280</v>
      </c>
    </row>
    <row r="40" spans="1:14">
      <c r="A40" t="s">
        <v>292</v>
      </c>
      <c r="N40" s="112" t="s">
        <v>257</v>
      </c>
    </row>
    <row r="41" spans="1:14">
      <c r="N41" s="118" t="s">
        <v>281</v>
      </c>
    </row>
    <row r="42" spans="1:14">
      <c r="A42" t="s">
        <v>293</v>
      </c>
      <c r="N42" s="112" t="s">
        <v>260</v>
      </c>
    </row>
    <row r="43" spans="1:14">
      <c r="N43" s="118" t="s">
        <v>282</v>
      </c>
    </row>
    <row r="44" spans="1:14">
      <c r="A44" t="s">
        <v>297</v>
      </c>
      <c r="N44" s="112" t="s">
        <v>262</v>
      </c>
    </row>
    <row r="45" spans="1:14">
      <c r="N45" s="118" t="s">
        <v>283</v>
      </c>
    </row>
    <row r="46" spans="1:14">
      <c r="A46" t="s">
        <v>294</v>
      </c>
      <c r="N46" s="119" t="s">
        <v>284</v>
      </c>
    </row>
    <row r="47" spans="1:14">
      <c r="N47" s="119" t="s">
        <v>285</v>
      </c>
    </row>
    <row r="48" spans="1:14">
      <c r="A48" t="s">
        <v>298</v>
      </c>
      <c r="N48" s="112" t="s">
        <v>265</v>
      </c>
    </row>
    <row r="49" spans="1:14">
      <c r="N49" s="118" t="s">
        <v>286</v>
      </c>
    </row>
    <row r="50" spans="1:14">
      <c r="A50" t="s">
        <v>295</v>
      </c>
      <c r="N50" s="118" t="s">
        <v>287</v>
      </c>
    </row>
    <row r="51" spans="1:14">
      <c r="N51" s="112" t="s">
        <v>268</v>
      </c>
    </row>
    <row r="52" spans="1:14">
      <c r="N52" s="118" t="s">
        <v>288</v>
      </c>
    </row>
    <row r="53" spans="1:14">
      <c r="N53" s="118" t="s">
        <v>289</v>
      </c>
    </row>
    <row r="54" spans="1:14">
      <c r="N54" s="111"/>
    </row>
    <row r="55" spans="1:14">
      <c r="N55" s="111"/>
    </row>
    <row r="59" spans="1:14">
      <c r="N59" s="111"/>
    </row>
    <row r="61" spans="1:14">
      <c r="N61" s="111"/>
    </row>
    <row r="62" spans="1:14">
      <c r="N62" s="111"/>
    </row>
    <row r="65" spans="14:14">
      <c r="N65" s="111"/>
    </row>
    <row r="67" spans="14:14">
      <c r="N67" s="111"/>
    </row>
    <row r="68" spans="14:14">
      <c r="N68" s="111"/>
    </row>
  </sheetData>
  <mergeCells count="3">
    <mergeCell ref="B1:F1"/>
    <mergeCell ref="H1:L1"/>
    <mergeCell ref="H17:L17"/>
  </mergeCells>
  <phoneticPr fontId="1" type="noConversion"/>
  <pageMargins left="0.7" right="0.7" top="0.75" bottom="0.75" header="0.3" footer="0.3"/>
  <ignoredErrors>
    <ignoredError sqref="C6:F7 I7:L7 I22:L23"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C436-7BDD-4804-9174-0FBBD94B3408}">
  <dimension ref="A1:F33"/>
  <sheetViews>
    <sheetView topLeftCell="A9" workbookViewId="0">
      <selection activeCell="A16" sqref="A16"/>
    </sheetView>
  </sheetViews>
  <sheetFormatPr defaultRowHeight="13.9"/>
  <cols>
    <col min="1" max="1" width="20.46484375" customWidth="1"/>
    <col min="2" max="2" width="24.6640625" customWidth="1"/>
    <col min="3" max="3" width="15.9296875" customWidth="1"/>
    <col min="4" max="4" width="14.53125" customWidth="1"/>
    <col min="5" max="5" width="14.59765625" customWidth="1"/>
    <col min="6" max="6" width="13.06640625" customWidth="1"/>
  </cols>
  <sheetData>
    <row r="1" spans="1:6">
      <c r="A1" s="131" t="s">
        <v>189</v>
      </c>
      <c r="B1" s="129"/>
      <c r="C1" s="129"/>
      <c r="D1" s="129"/>
      <c r="E1" s="129"/>
      <c r="F1" s="129"/>
    </row>
    <row r="2" spans="1:6">
      <c r="A2" s="68"/>
      <c r="B2" s="69">
        <v>2019</v>
      </c>
      <c r="C2" s="69">
        <v>2020</v>
      </c>
      <c r="D2" s="69">
        <v>2021</v>
      </c>
      <c r="E2" s="69">
        <v>2022</v>
      </c>
      <c r="F2" s="69">
        <v>2023</v>
      </c>
    </row>
    <row r="3" spans="1:6" ht="13.9" customHeight="1">
      <c r="A3" s="134" t="s">
        <v>190</v>
      </c>
      <c r="B3" s="134"/>
      <c r="C3" s="134"/>
      <c r="D3" s="134"/>
      <c r="E3" s="134"/>
      <c r="F3" s="134"/>
    </row>
    <row r="4" spans="1:6">
      <c r="A4" s="70" t="s">
        <v>146</v>
      </c>
      <c r="B4" s="74" t="s">
        <v>161</v>
      </c>
      <c r="C4" s="74" t="s">
        <v>161</v>
      </c>
      <c r="D4" s="74" t="s">
        <v>161</v>
      </c>
      <c r="E4" s="74" t="s">
        <v>161</v>
      </c>
      <c r="F4" s="74" t="s">
        <v>161</v>
      </c>
    </row>
    <row r="5" spans="1:6" ht="27.4">
      <c r="A5" s="70" t="s">
        <v>80</v>
      </c>
      <c r="B5" s="71">
        <v>286884.2</v>
      </c>
      <c r="C5" s="71">
        <v>331724.59999999998</v>
      </c>
      <c r="D5" s="71">
        <v>422394.9</v>
      </c>
      <c r="E5" s="71">
        <v>437254.3</v>
      </c>
      <c r="F5" s="71">
        <v>532190.9</v>
      </c>
    </row>
    <row r="6" spans="1:6">
      <c r="A6" s="70" t="s">
        <v>79</v>
      </c>
      <c r="B6" s="74" t="s">
        <v>161</v>
      </c>
      <c r="C6" s="74" t="s">
        <v>161</v>
      </c>
      <c r="D6" s="74" t="s">
        <v>161</v>
      </c>
      <c r="E6" s="74" t="s">
        <v>161</v>
      </c>
      <c r="F6" s="74" t="s">
        <v>161</v>
      </c>
    </row>
    <row r="7" spans="1:6">
      <c r="A7" s="70" t="s">
        <v>77</v>
      </c>
      <c r="B7" s="71">
        <v>-18383.900000000001</v>
      </c>
      <c r="C7" s="71">
        <v>-7771.1</v>
      </c>
      <c r="D7" s="71">
        <v>-52274</v>
      </c>
      <c r="E7" s="71">
        <v>-33046.1</v>
      </c>
      <c r="F7" s="71">
        <v>29398.6</v>
      </c>
    </row>
    <row r="8" spans="1:6">
      <c r="A8" s="70" t="s">
        <v>148</v>
      </c>
      <c r="B8" s="71">
        <v>20249.8</v>
      </c>
      <c r="C8" s="71">
        <v>-54372.2</v>
      </c>
      <c r="D8" s="71">
        <v>-55748.9</v>
      </c>
      <c r="E8" s="71">
        <v>-28046.799999999999</v>
      </c>
      <c r="F8" s="71">
        <v>-29847.9</v>
      </c>
    </row>
    <row r="9" spans="1:6">
      <c r="A9" s="70" t="s">
        <v>191</v>
      </c>
      <c r="B9" s="71">
        <v>7719.4</v>
      </c>
      <c r="C9" s="71">
        <v>4876.3</v>
      </c>
      <c r="D9" s="71">
        <v>11358.7</v>
      </c>
      <c r="E9" s="71">
        <v>20432.900000000001</v>
      </c>
      <c r="F9" s="71">
        <v>-2464.1999999999998</v>
      </c>
    </row>
    <row r="10" spans="1:6">
      <c r="A10" s="70" t="s">
        <v>192</v>
      </c>
      <c r="B10" s="71">
        <v>1236.8</v>
      </c>
      <c r="C10" s="71">
        <v>28930.5</v>
      </c>
      <c r="D10" s="71">
        <v>229130.5</v>
      </c>
      <c r="E10" s="71">
        <v>163168.5</v>
      </c>
      <c r="F10" s="71">
        <v>-53938.5</v>
      </c>
    </row>
    <row r="11" spans="1:6">
      <c r="A11" s="70" t="s">
        <v>193</v>
      </c>
      <c r="B11" s="71">
        <v>317432.40000000002</v>
      </c>
      <c r="C11" s="71">
        <v>519278.1</v>
      </c>
      <c r="D11" s="71">
        <v>557299.5</v>
      </c>
      <c r="E11" s="71">
        <v>1050836.3999999999</v>
      </c>
      <c r="F11" s="71">
        <v>766628.4</v>
      </c>
    </row>
    <row r="12" spans="1:6" ht="28.15" thickBot="1">
      <c r="A12" s="72" t="s">
        <v>75</v>
      </c>
      <c r="B12" s="73">
        <v>615138.69999999995</v>
      </c>
      <c r="C12" s="73">
        <v>822666.2</v>
      </c>
      <c r="D12" s="73">
        <v>1112160.7</v>
      </c>
      <c r="E12" s="73">
        <v>1610599.2</v>
      </c>
      <c r="F12" s="73">
        <v>1241967.3</v>
      </c>
    </row>
    <row r="13" spans="1:6" ht="13.9" customHeight="1">
      <c r="A13" s="135" t="s">
        <v>194</v>
      </c>
      <c r="B13" s="135"/>
      <c r="C13" s="135"/>
      <c r="D13" s="135"/>
      <c r="E13" s="135"/>
      <c r="F13" s="135"/>
    </row>
    <row r="14" spans="1:6" ht="27.4">
      <c r="A14" s="70" t="s">
        <v>195</v>
      </c>
      <c r="B14" s="71">
        <v>-460422.2</v>
      </c>
      <c r="C14" s="71">
        <v>-511932.1</v>
      </c>
      <c r="D14" s="71">
        <v>-840395.7</v>
      </c>
      <c r="E14" s="71">
        <v>-1082672.1000000001</v>
      </c>
      <c r="F14" s="71">
        <v>-949880</v>
      </c>
    </row>
    <row r="15" spans="1:6">
      <c r="A15" s="70" t="s">
        <v>196</v>
      </c>
      <c r="B15" s="74">
        <v>0</v>
      </c>
      <c r="C15" s="74" t="s">
        <v>161</v>
      </c>
      <c r="D15" s="74" t="s">
        <v>161</v>
      </c>
      <c r="E15" s="74" t="s">
        <v>161</v>
      </c>
      <c r="F15" s="74" t="s">
        <v>161</v>
      </c>
    </row>
    <row r="16" spans="1:6" ht="27.4">
      <c r="A16" s="70" t="s">
        <v>197</v>
      </c>
      <c r="B16" s="71">
        <v>-258433.4</v>
      </c>
      <c r="C16" s="71">
        <v>-267249.09999999998</v>
      </c>
      <c r="D16" s="71">
        <v>-259688.4</v>
      </c>
      <c r="E16" s="71">
        <v>-237818.1</v>
      </c>
      <c r="F16" s="71">
        <v>-226282</v>
      </c>
    </row>
    <row r="17" spans="1:6" ht="27.4">
      <c r="A17" s="70" t="s">
        <v>198</v>
      </c>
      <c r="B17" s="71">
        <v>247213</v>
      </c>
      <c r="C17" s="71">
        <v>267298.2</v>
      </c>
      <c r="D17" s="71">
        <v>264364.7</v>
      </c>
      <c r="E17" s="71">
        <v>108980.4</v>
      </c>
      <c r="F17" s="71">
        <v>170500.6</v>
      </c>
    </row>
    <row r="18" spans="1:6" ht="27.4">
      <c r="A18" s="70" t="s">
        <v>199</v>
      </c>
      <c r="B18" s="71">
        <v>-9329.9</v>
      </c>
      <c r="C18" s="71">
        <v>-9542.4</v>
      </c>
      <c r="D18" s="71">
        <v>-9040.7000000000007</v>
      </c>
      <c r="E18" s="71">
        <v>-6941.7</v>
      </c>
      <c r="F18" s="71">
        <v>-5515.3</v>
      </c>
    </row>
    <row r="19" spans="1:6" ht="27.4">
      <c r="A19" s="70" t="s">
        <v>200</v>
      </c>
      <c r="B19" s="71">
        <v>22170.9</v>
      </c>
      <c r="C19" s="71">
        <v>15643.7</v>
      </c>
      <c r="D19" s="71">
        <v>8394.2999999999993</v>
      </c>
      <c r="E19" s="71">
        <v>27523.200000000001</v>
      </c>
      <c r="F19" s="71">
        <v>105056.1</v>
      </c>
    </row>
    <row r="20" spans="1:6" ht="28.15" thickBot="1">
      <c r="A20" s="72" t="s">
        <v>201</v>
      </c>
      <c r="B20" s="73">
        <v>-458801.6</v>
      </c>
      <c r="C20" s="73">
        <v>-505781.7</v>
      </c>
      <c r="D20" s="73">
        <v>-836365.8</v>
      </c>
      <c r="E20" s="73">
        <v>-1190928.3</v>
      </c>
      <c r="F20" s="73">
        <v>-906120.6</v>
      </c>
    </row>
    <row r="21" spans="1:6" ht="13.9" customHeight="1">
      <c r="A21" s="135" t="s">
        <v>202</v>
      </c>
      <c r="B21" s="135"/>
      <c r="C21" s="135"/>
      <c r="D21" s="135"/>
      <c r="E21" s="135"/>
      <c r="F21" s="135"/>
    </row>
    <row r="22" spans="1:6">
      <c r="A22" s="70" t="s">
        <v>203</v>
      </c>
      <c r="B22" s="74" t="s">
        <v>161</v>
      </c>
      <c r="C22" s="74" t="s">
        <v>161</v>
      </c>
      <c r="D22" s="74" t="s">
        <v>161</v>
      </c>
      <c r="E22" s="74">
        <v>-871.6</v>
      </c>
      <c r="F22" s="74">
        <v>0</v>
      </c>
    </row>
    <row r="23" spans="1:6">
      <c r="A23" s="70" t="s">
        <v>204</v>
      </c>
      <c r="B23" s="71">
        <v>-259303.8</v>
      </c>
      <c r="C23" s="71">
        <v>-259303.8</v>
      </c>
      <c r="D23" s="71">
        <v>-265786.40000000002</v>
      </c>
      <c r="E23" s="71">
        <v>-285234.2</v>
      </c>
      <c r="F23" s="71">
        <v>-291721.90000000002</v>
      </c>
    </row>
    <row r="24" spans="1:6" ht="27.4">
      <c r="A24" s="70" t="s">
        <v>205</v>
      </c>
      <c r="B24" s="71">
        <v>-10334.4</v>
      </c>
      <c r="C24" s="71">
        <v>170688.7</v>
      </c>
      <c r="D24" s="71">
        <v>402394.9</v>
      </c>
      <c r="E24" s="71">
        <v>85861.8</v>
      </c>
      <c r="F24" s="71">
        <v>86827.7</v>
      </c>
    </row>
    <row r="25" spans="1:6" ht="42" thickBot="1">
      <c r="A25" s="72" t="s">
        <v>206</v>
      </c>
      <c r="B25" s="73">
        <v>-269638.2</v>
      </c>
      <c r="C25" s="73">
        <v>-88615.1</v>
      </c>
      <c r="D25" s="73">
        <v>136608.5</v>
      </c>
      <c r="E25" s="73">
        <v>-200244</v>
      </c>
      <c r="F25" s="73">
        <v>-204894.2</v>
      </c>
    </row>
    <row r="26" spans="1:6">
      <c r="A26" s="70" t="s">
        <v>207</v>
      </c>
      <c r="B26" s="71">
        <v>-113301.1</v>
      </c>
      <c r="C26" s="71">
        <v>228269.4</v>
      </c>
      <c r="D26" s="71">
        <v>412403.4</v>
      </c>
      <c r="E26" s="71">
        <v>219426.9</v>
      </c>
      <c r="F26" s="71">
        <v>130952.5</v>
      </c>
    </row>
    <row r="27" spans="1:6" ht="27.4">
      <c r="A27" s="70" t="s">
        <v>208</v>
      </c>
      <c r="B27" s="71">
        <v>577814.6</v>
      </c>
      <c r="C27" s="71">
        <v>455399.3</v>
      </c>
      <c r="D27" s="71">
        <v>660170.6</v>
      </c>
      <c r="E27" s="71">
        <v>1064990.2</v>
      </c>
      <c r="F27" s="71">
        <v>1342814.1</v>
      </c>
    </row>
    <row r="28" spans="1:6">
      <c r="A28" s="70" t="s">
        <v>209</v>
      </c>
      <c r="B28" s="71">
        <f>SUM(B26:B27)</f>
        <v>464513.5</v>
      </c>
      <c r="C28" s="71">
        <f t="shared" ref="C28:F28" si="0">SUM(C26:C27)</f>
        <v>683668.7</v>
      </c>
      <c r="D28" s="71">
        <f t="shared" si="0"/>
        <v>1072574</v>
      </c>
      <c r="E28" s="71">
        <f t="shared" si="0"/>
        <v>1284417.0999999999</v>
      </c>
      <c r="F28" s="71">
        <f t="shared" si="0"/>
        <v>1473766.6</v>
      </c>
    </row>
    <row r="29" spans="1:6" ht="13.9" customHeight="1">
      <c r="A29" s="134" t="s">
        <v>210</v>
      </c>
      <c r="B29" s="134"/>
      <c r="C29" s="134"/>
      <c r="D29" s="134"/>
      <c r="E29" s="134"/>
      <c r="F29" s="134"/>
    </row>
    <row r="30" spans="1:6">
      <c r="A30" s="70" t="s">
        <v>141</v>
      </c>
      <c r="B30" s="71">
        <v>615138.69999999995</v>
      </c>
      <c r="C30" s="71">
        <v>822666.2</v>
      </c>
      <c r="D30" s="71">
        <v>1112160.7</v>
      </c>
      <c r="E30" s="71">
        <v>1610599.2</v>
      </c>
      <c r="F30" s="71">
        <v>1241967.3</v>
      </c>
    </row>
    <row r="31" spans="1:6">
      <c r="A31" s="70" t="s">
        <v>153</v>
      </c>
      <c r="B31" s="71">
        <v>-469752.1</v>
      </c>
      <c r="C31" s="71">
        <v>-521474.5</v>
      </c>
      <c r="D31" s="71">
        <v>-849436.4</v>
      </c>
      <c r="E31" s="71">
        <v>-1089626.3999999999</v>
      </c>
      <c r="F31" s="71">
        <v>-955398.4</v>
      </c>
    </row>
    <row r="32" spans="1:6">
      <c r="A32" s="70" t="s">
        <v>154</v>
      </c>
      <c r="B32" s="71">
        <v>145386.6</v>
      </c>
      <c r="C32" s="71">
        <v>301191.7</v>
      </c>
      <c r="D32" s="71">
        <v>262724.3</v>
      </c>
      <c r="E32" s="71">
        <v>520972.79999999999</v>
      </c>
      <c r="F32" s="71">
        <v>286568.90000000002</v>
      </c>
    </row>
    <row r="33" spans="1:1">
      <c r="A33" s="75" t="s">
        <v>212</v>
      </c>
    </row>
  </sheetData>
  <mergeCells count="5">
    <mergeCell ref="A1:F1"/>
    <mergeCell ref="A3:F3"/>
    <mergeCell ref="A13:F13"/>
    <mergeCell ref="A21:F21"/>
    <mergeCell ref="A29:F29"/>
  </mergeCells>
  <phoneticPr fontId="1" type="noConversion"/>
  <pageMargins left="0.75" right="0.75" top="1" bottom="1" header="0.5" footer="0.5"/>
  <ignoredErrors>
    <ignoredError sqref="B28:F28"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F4FB-72DE-4F38-87E6-93E92D257CD6}">
  <dimension ref="A1:F22"/>
  <sheetViews>
    <sheetView workbookViewId="0">
      <selection activeCell="A6" sqref="A6:F6"/>
    </sheetView>
  </sheetViews>
  <sheetFormatPr defaultRowHeight="13.9"/>
  <cols>
    <col min="1" max="1" width="15.06640625" customWidth="1"/>
    <col min="2" max="2" width="20.1328125" customWidth="1"/>
    <col min="3" max="3" width="16.86328125" customWidth="1"/>
    <col min="4" max="4" width="15.59765625" customWidth="1"/>
    <col min="5" max="5" width="13.53125" customWidth="1"/>
    <col min="6" max="6" width="13.33203125" customWidth="1"/>
    <col min="7" max="7" width="14" customWidth="1"/>
  </cols>
  <sheetData>
    <row r="1" spans="1:6" ht="16.5" customHeight="1">
      <c r="A1" s="131" t="s">
        <v>176</v>
      </c>
      <c r="B1" s="129"/>
      <c r="C1" s="129"/>
      <c r="D1" s="129"/>
      <c r="E1" s="129"/>
      <c r="F1" s="129"/>
    </row>
    <row r="2" spans="1:6">
      <c r="A2" s="68"/>
      <c r="B2" s="69">
        <v>2019</v>
      </c>
      <c r="C2" s="69">
        <v>2020</v>
      </c>
      <c r="D2" s="69">
        <v>2021</v>
      </c>
      <c r="E2" s="69">
        <v>2022</v>
      </c>
      <c r="F2" s="69">
        <v>2023</v>
      </c>
    </row>
    <row r="3" spans="1:6">
      <c r="A3" s="70" t="s">
        <v>52</v>
      </c>
      <c r="B3" s="71">
        <v>1069988.8</v>
      </c>
      <c r="C3" s="71">
        <v>1339238.5</v>
      </c>
      <c r="D3" s="71">
        <v>1587415</v>
      </c>
      <c r="E3" s="71">
        <v>2263891.2999999998</v>
      </c>
      <c r="F3" s="71">
        <v>2161735.7999999998</v>
      </c>
    </row>
    <row r="4" spans="1:6">
      <c r="A4" s="70" t="s">
        <v>177</v>
      </c>
      <c r="B4" s="71">
        <v>577286.9</v>
      </c>
      <c r="C4" s="71">
        <v>628108.4</v>
      </c>
      <c r="D4" s="71">
        <v>767877.7</v>
      </c>
      <c r="E4" s="71">
        <v>915536.5</v>
      </c>
      <c r="F4" s="71">
        <v>986625.2</v>
      </c>
    </row>
    <row r="5" spans="1:6" ht="42" thickBot="1">
      <c r="A5" s="72" t="s">
        <v>178</v>
      </c>
      <c r="B5" s="73">
        <v>492701.9</v>
      </c>
      <c r="C5" s="73">
        <v>711130.1</v>
      </c>
      <c r="D5" s="73">
        <v>819537.3</v>
      </c>
      <c r="E5" s="73">
        <v>1348354.8</v>
      </c>
      <c r="F5" s="73">
        <v>1175110.6000000001</v>
      </c>
    </row>
    <row r="6" spans="1:6">
      <c r="A6" s="133" t="s">
        <v>179</v>
      </c>
      <c r="B6" s="133"/>
      <c r="C6" s="133"/>
      <c r="D6" s="133"/>
      <c r="E6" s="133"/>
      <c r="F6" s="133"/>
    </row>
    <row r="7" spans="1:6" ht="27.4">
      <c r="A7" s="70" t="s">
        <v>49</v>
      </c>
      <c r="B7" s="71">
        <v>91418.7</v>
      </c>
      <c r="C7" s="71">
        <v>109486</v>
      </c>
      <c r="D7" s="71">
        <v>124734.8</v>
      </c>
      <c r="E7" s="71">
        <v>163262.20000000001</v>
      </c>
      <c r="F7" s="71">
        <v>182370.2</v>
      </c>
    </row>
    <row r="8" spans="1:6" ht="40.9">
      <c r="A8" s="70" t="s">
        <v>48</v>
      </c>
      <c r="B8" s="71">
        <v>28085.8</v>
      </c>
      <c r="C8" s="71">
        <v>35570.400000000001</v>
      </c>
      <c r="D8" s="71">
        <v>44488.2</v>
      </c>
      <c r="E8" s="71">
        <v>63445.3</v>
      </c>
      <c r="F8" s="71">
        <v>71463.5</v>
      </c>
    </row>
    <row r="9" spans="1:6">
      <c r="A9" s="70" t="s">
        <v>180</v>
      </c>
      <c r="B9" s="74" t="s">
        <v>161</v>
      </c>
      <c r="C9" s="74" t="s">
        <v>161</v>
      </c>
      <c r="D9" s="74" t="s">
        <v>161</v>
      </c>
      <c r="E9" s="74" t="s">
        <v>161</v>
      </c>
      <c r="F9" s="74" t="s">
        <v>161</v>
      </c>
    </row>
    <row r="10" spans="1:6" ht="27.4">
      <c r="A10" s="70" t="s">
        <v>80</v>
      </c>
      <c r="B10" s="74" t="s">
        <v>161</v>
      </c>
      <c r="C10" s="74" t="s">
        <v>161</v>
      </c>
      <c r="D10" s="74" t="s">
        <v>161</v>
      </c>
      <c r="E10" s="74" t="s">
        <v>161</v>
      </c>
      <c r="F10" s="74" t="s">
        <v>161</v>
      </c>
    </row>
    <row r="11" spans="1:6" ht="27.4">
      <c r="A11" s="70" t="s">
        <v>145</v>
      </c>
      <c r="B11" s="74">
        <v>-150.6</v>
      </c>
      <c r="C11" s="74">
        <v>-706.3</v>
      </c>
      <c r="D11" s="74">
        <v>330.7</v>
      </c>
      <c r="E11" s="74">
        <v>420.8</v>
      </c>
      <c r="F11" s="74">
        <v>-153</v>
      </c>
    </row>
    <row r="12" spans="1:6" s="8" customFormat="1" ht="27.75">
      <c r="A12" s="68" t="s">
        <v>181</v>
      </c>
      <c r="B12" s="79">
        <v>119353.9</v>
      </c>
      <c r="C12" s="79">
        <v>144350.1</v>
      </c>
      <c r="D12" s="79">
        <v>169553.7</v>
      </c>
      <c r="E12" s="79">
        <v>227128.3</v>
      </c>
      <c r="F12" s="79">
        <v>253680.7</v>
      </c>
    </row>
    <row r="13" spans="1:6" ht="55.9" thickBot="1">
      <c r="A13" s="72" t="s">
        <v>223</v>
      </c>
      <c r="B13" s="73">
        <v>373348</v>
      </c>
      <c r="C13" s="73">
        <v>566780</v>
      </c>
      <c r="D13" s="73">
        <v>649983.6</v>
      </c>
      <c r="E13" s="73">
        <v>1121226.5</v>
      </c>
      <c r="F13" s="73">
        <v>921429.9</v>
      </c>
    </row>
    <row r="14" spans="1:6" ht="27.4">
      <c r="A14" s="70" t="s">
        <v>182</v>
      </c>
      <c r="B14" s="71">
        <v>16514.099999999999</v>
      </c>
      <c r="C14" s="71">
        <v>17966.3</v>
      </c>
      <c r="D14" s="71">
        <v>13052.4</v>
      </c>
      <c r="E14" s="71">
        <v>22845.7</v>
      </c>
      <c r="F14" s="71">
        <v>57886.6</v>
      </c>
    </row>
    <row r="15" spans="1:6" s="8" customFormat="1" ht="41.65">
      <c r="A15" s="68" t="s">
        <v>222</v>
      </c>
      <c r="B15" s="79">
        <v>389862.1</v>
      </c>
      <c r="C15" s="79">
        <v>584746.30000000005</v>
      </c>
      <c r="D15" s="79">
        <v>663036</v>
      </c>
      <c r="E15" s="79">
        <v>1144072.2</v>
      </c>
      <c r="F15" s="79">
        <v>979316.5</v>
      </c>
    </row>
    <row r="16" spans="1:6" ht="27.4">
      <c r="A16" s="70" t="s">
        <v>183</v>
      </c>
      <c r="B16" s="71">
        <v>35835.1</v>
      </c>
      <c r="C16" s="71">
        <v>73738.3</v>
      </c>
      <c r="D16" s="71">
        <v>70155.399999999994</v>
      </c>
      <c r="E16" s="71">
        <v>150777.5</v>
      </c>
      <c r="F16" s="71">
        <v>128288.8</v>
      </c>
    </row>
    <row r="17" spans="1:6" ht="14.25" thickBot="1">
      <c r="A17" s="72" t="s">
        <v>146</v>
      </c>
      <c r="B17" s="73">
        <v>354027</v>
      </c>
      <c r="C17" s="73">
        <v>511008</v>
      </c>
      <c r="D17" s="73">
        <v>592880.6</v>
      </c>
      <c r="E17" s="73">
        <v>993294.7</v>
      </c>
      <c r="F17" s="73">
        <v>851027.7</v>
      </c>
    </row>
    <row r="18" spans="1:6" ht="54.4">
      <c r="A18" s="70" t="s">
        <v>184</v>
      </c>
      <c r="B18" s="71">
        <v>353948</v>
      </c>
      <c r="C18" s="71">
        <v>510744</v>
      </c>
      <c r="D18" s="71">
        <v>592359.19999999995</v>
      </c>
      <c r="E18" s="71">
        <v>992923.4</v>
      </c>
      <c r="F18" s="71">
        <v>851740</v>
      </c>
    </row>
    <row r="19" spans="1:6" ht="13.9" customHeight="1">
      <c r="A19" s="134" t="s">
        <v>185</v>
      </c>
      <c r="B19" s="134"/>
      <c r="C19" s="134"/>
      <c r="D19" s="134"/>
      <c r="E19" s="134"/>
      <c r="F19" s="134"/>
    </row>
    <row r="20" spans="1:6">
      <c r="A20" s="70" t="s">
        <v>186</v>
      </c>
      <c r="B20" s="74">
        <v>8.5299999999999994</v>
      </c>
      <c r="C20" s="74">
        <v>12.31</v>
      </c>
      <c r="D20" s="74">
        <v>14.28</v>
      </c>
      <c r="E20" s="74">
        <v>23.93</v>
      </c>
      <c r="F20" s="74">
        <v>20.53</v>
      </c>
    </row>
    <row r="21" spans="1:6">
      <c r="A21" s="70" t="s">
        <v>187</v>
      </c>
      <c r="B21" s="74">
        <v>8.5299999999999994</v>
      </c>
      <c r="C21" s="74">
        <v>12.31</v>
      </c>
      <c r="D21" s="74">
        <v>14.28</v>
      </c>
      <c r="E21" s="74">
        <v>23.93</v>
      </c>
      <c r="F21" s="74">
        <v>20.53</v>
      </c>
    </row>
    <row r="22" spans="1:6" ht="15">
      <c r="A22" s="75" t="s">
        <v>212</v>
      </c>
    </row>
  </sheetData>
  <mergeCells count="3">
    <mergeCell ref="A1:F1"/>
    <mergeCell ref="A6:F6"/>
    <mergeCell ref="A19:F19"/>
  </mergeCells>
  <phoneticPr fontId="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6CDC-E339-4218-AB58-F970476F2E15}">
  <dimension ref="A1:S112"/>
  <sheetViews>
    <sheetView zoomScale="116" workbookViewId="0">
      <selection activeCell="A92" sqref="A92:A112"/>
    </sheetView>
  </sheetViews>
  <sheetFormatPr defaultRowHeight="13.9"/>
  <cols>
    <col min="1" max="1" width="32.06640625" customWidth="1"/>
    <col min="2" max="2" width="13.73046875" customWidth="1"/>
    <col min="3" max="6" width="9.796875" bestFit="1" customWidth="1"/>
  </cols>
  <sheetData>
    <row r="1" spans="1:19">
      <c r="A1" s="136" t="s">
        <v>155</v>
      </c>
      <c r="B1" s="129"/>
      <c r="C1" s="129"/>
      <c r="D1" s="129"/>
      <c r="E1" s="129"/>
      <c r="F1" s="129"/>
      <c r="I1" t="s">
        <v>215</v>
      </c>
      <c r="O1" t="s">
        <v>220</v>
      </c>
    </row>
    <row r="2" spans="1:19">
      <c r="A2" s="90" t="s">
        <v>221</v>
      </c>
      <c r="B2" s="94">
        <v>2019</v>
      </c>
      <c r="C2" s="94">
        <v>2020</v>
      </c>
      <c r="D2" s="94">
        <v>2021</v>
      </c>
      <c r="E2" s="94">
        <v>2022</v>
      </c>
      <c r="F2" s="94">
        <v>2023</v>
      </c>
      <c r="I2" s="94">
        <v>2019</v>
      </c>
      <c r="J2" s="94">
        <v>2020</v>
      </c>
      <c r="K2" s="94">
        <v>2021</v>
      </c>
      <c r="L2" s="94">
        <v>2022</v>
      </c>
      <c r="M2" s="94">
        <v>2023</v>
      </c>
      <c r="O2" s="69">
        <v>2019</v>
      </c>
      <c r="P2" s="69">
        <v>2020</v>
      </c>
      <c r="Q2" s="69">
        <v>2021</v>
      </c>
      <c r="R2" s="69">
        <v>2022</v>
      </c>
      <c r="S2" s="69">
        <v>2023</v>
      </c>
    </row>
    <row r="3" spans="1:19" ht="21">
      <c r="A3" s="91" t="s">
        <v>157</v>
      </c>
      <c r="B3" s="95">
        <v>4718.1000000000004</v>
      </c>
      <c r="C3" s="95">
        <v>7351.6</v>
      </c>
      <c r="D3" s="95">
        <v>7590.3</v>
      </c>
      <c r="E3" s="95">
        <v>7376</v>
      </c>
      <c r="F3" s="95">
        <v>7010.1</v>
      </c>
      <c r="I3" s="82">
        <f>IFERROR(B3/$B$13,0)</f>
        <v>0.20849241701134799</v>
      </c>
      <c r="J3" s="82">
        <f>IFERROR(C3/$C$13,0)</f>
        <v>0.26961133074660582</v>
      </c>
      <c r="K3" s="82">
        <f>IFERROR(D3/$D$13,0)</f>
        <v>0.25107670933809667</v>
      </c>
      <c r="L3" s="82">
        <f>IFERROR(E3/$E$13,0)</f>
        <v>0.2031933532412866</v>
      </c>
      <c r="M3" s="82">
        <f>IFERROR(F3/$F$13,0)</f>
        <v>0.17543890383532504</v>
      </c>
      <c r="O3" s="82">
        <f>IFERROR(B3/$B3,0)</f>
        <v>1</v>
      </c>
      <c r="P3" s="82">
        <f t="shared" ref="P3:S18" si="0">IFERROR(C3/$B3,0)</f>
        <v>1.558169602170365</v>
      </c>
      <c r="Q3" s="82">
        <f t="shared" si="0"/>
        <v>1.6087620016532078</v>
      </c>
      <c r="R3" s="82">
        <f t="shared" si="0"/>
        <v>1.5633411754731776</v>
      </c>
      <c r="S3" s="82">
        <f t="shared" si="0"/>
        <v>1.4857887709035416</v>
      </c>
    </row>
    <row r="4" spans="1:19">
      <c r="A4" s="92" t="s">
        <v>77</v>
      </c>
      <c r="B4" s="96">
        <v>1786.8</v>
      </c>
      <c r="C4" s="96">
        <v>1310.3</v>
      </c>
      <c r="D4" s="96">
        <v>3028</v>
      </c>
      <c r="E4" s="96">
        <v>5323.8</v>
      </c>
      <c r="F4" s="96">
        <v>4334.1000000000004</v>
      </c>
      <c r="I4" s="82">
        <f t="shared" ref="I4:I30" si="1">IFERROR(B4/$B$13,0)</f>
        <v>7.8958532187930849E-2</v>
      </c>
      <c r="J4" s="82">
        <f t="shared" ref="J4:J30" si="2">IFERROR(C4/$C$13,0)</f>
        <v>4.8053719826606126E-2</v>
      </c>
      <c r="K4" s="82">
        <f t="shared" ref="K4:K30" si="3">IFERROR(D4/$D$13,0)</f>
        <v>0.10016208527670273</v>
      </c>
      <c r="L4" s="82">
        <f t="shared" ref="L4:L30" si="4">IFERROR(E4/$E$13,0)</f>
        <v>0.14665954094169761</v>
      </c>
      <c r="M4" s="82">
        <f t="shared" ref="M4:M30" si="5">IFERROR(F4/$F$13,0)</f>
        <v>0.1084677469811675</v>
      </c>
      <c r="O4" s="82">
        <f t="shared" ref="O4:S30" si="6">IFERROR(B4/$B4,0)</f>
        <v>1</v>
      </c>
      <c r="P4" s="82">
        <f t="shared" si="0"/>
        <v>0.7333221401387956</v>
      </c>
      <c r="Q4" s="82">
        <f t="shared" si="0"/>
        <v>1.6946496530109694</v>
      </c>
      <c r="R4" s="82">
        <f t="shared" si="0"/>
        <v>2.9795164539959704</v>
      </c>
      <c r="S4" s="82">
        <f t="shared" si="0"/>
        <v>2.4256212222968436</v>
      </c>
    </row>
    <row r="5" spans="1:19">
      <c r="A5" s="92" t="s">
        <v>148</v>
      </c>
      <c r="B5" s="96">
        <v>3809.2</v>
      </c>
      <c r="C5" s="96">
        <v>4569.3999999999996</v>
      </c>
      <c r="D5" s="96">
        <v>5179.2</v>
      </c>
      <c r="E5" s="96">
        <v>7199.7</v>
      </c>
      <c r="F5" s="96">
        <v>8850.7000000000007</v>
      </c>
      <c r="I5" s="82">
        <f t="shared" si="1"/>
        <v>0.16832820730370843</v>
      </c>
      <c r="J5" s="82">
        <f t="shared" si="2"/>
        <v>0.16757740011882319</v>
      </c>
      <c r="K5" s="82">
        <f t="shared" si="3"/>
        <v>0.17132082961198769</v>
      </c>
      <c r="L5" s="82">
        <f t="shared" si="4"/>
        <v>0.19833665744730083</v>
      </c>
      <c r="M5" s="82">
        <f t="shared" si="5"/>
        <v>0.22150284677469814</v>
      </c>
      <c r="O5" s="82">
        <f t="shared" si="6"/>
        <v>1</v>
      </c>
      <c r="P5" s="82">
        <f t="shared" si="0"/>
        <v>1.1995694634043894</v>
      </c>
      <c r="Q5" s="82">
        <f t="shared" si="0"/>
        <v>1.3596555707235116</v>
      </c>
      <c r="R5" s="82">
        <f t="shared" si="0"/>
        <v>1.8900819069620918</v>
      </c>
      <c r="S5" s="82">
        <f t="shared" si="0"/>
        <v>2.3235062480310829</v>
      </c>
    </row>
    <row r="6" spans="1:19">
      <c r="A6" s="92" t="s">
        <v>149</v>
      </c>
      <c r="B6" s="96">
        <v>1817</v>
      </c>
      <c r="C6" s="96">
        <v>2698.7</v>
      </c>
      <c r="D6" s="96">
        <v>2392.6999999999998</v>
      </c>
      <c r="E6" s="96">
        <v>3165.4</v>
      </c>
      <c r="F6" s="96">
        <v>4199</v>
      </c>
      <c r="I6" s="82">
        <f t="shared" si="1"/>
        <v>8.0293067486831418E-2</v>
      </c>
      <c r="J6" s="82">
        <f t="shared" si="2"/>
        <v>9.8971665798719341E-2</v>
      </c>
      <c r="K6" s="82">
        <f t="shared" si="3"/>
        <v>7.9147232972776288E-2</v>
      </c>
      <c r="L6" s="82">
        <f t="shared" si="4"/>
        <v>8.7200141045277735E-2</v>
      </c>
      <c r="M6" s="82">
        <f t="shared" si="5"/>
        <v>0.10508665457048114</v>
      </c>
      <c r="O6" s="82">
        <f t="shared" si="6"/>
        <v>1</v>
      </c>
      <c r="P6" s="82">
        <f t="shared" si="0"/>
        <v>1.4852504127682993</v>
      </c>
      <c r="Q6" s="82">
        <f t="shared" si="0"/>
        <v>1.3168409466152999</v>
      </c>
      <c r="R6" s="82">
        <f t="shared" si="0"/>
        <v>1.74210236653825</v>
      </c>
      <c r="S6" s="82">
        <f t="shared" si="0"/>
        <v>2.3109521188772701</v>
      </c>
    </row>
    <row r="7" spans="1:19">
      <c r="A7" s="91" t="s">
        <v>158</v>
      </c>
      <c r="B7" s="95">
        <v>12131.1</v>
      </c>
      <c r="C7" s="95">
        <v>15930</v>
      </c>
      <c r="D7" s="95">
        <v>18190.2</v>
      </c>
      <c r="E7" s="95">
        <v>23064.9</v>
      </c>
      <c r="F7" s="95">
        <v>24393.9</v>
      </c>
      <c r="I7" s="82">
        <f t="shared" si="1"/>
        <v>0.53607222398981869</v>
      </c>
      <c r="J7" s="82">
        <f t="shared" si="2"/>
        <v>0.5842141164907545</v>
      </c>
      <c r="K7" s="82">
        <f t="shared" si="3"/>
        <v>0.60170685719956341</v>
      </c>
      <c r="L7" s="82">
        <f t="shared" si="4"/>
        <v>0.63538969267556278</v>
      </c>
      <c r="M7" s="82">
        <f t="shared" si="5"/>
        <v>0.61049615216167186</v>
      </c>
      <c r="O7" s="82">
        <f t="shared" si="6"/>
        <v>1</v>
      </c>
      <c r="P7" s="82">
        <f t="shared" si="0"/>
        <v>1.3131537947918985</v>
      </c>
      <c r="Q7" s="82">
        <f t="shared" si="0"/>
        <v>1.4994683087271559</v>
      </c>
      <c r="R7" s="82">
        <f t="shared" si="0"/>
        <v>1.9013032618641343</v>
      </c>
      <c r="S7" s="82">
        <f t="shared" si="0"/>
        <v>2.0108563938966788</v>
      </c>
    </row>
    <row r="8" spans="1:19">
      <c r="A8" s="92" t="s">
        <v>218</v>
      </c>
      <c r="B8" s="96">
        <v>2323.1999999999998</v>
      </c>
      <c r="C8" s="96">
        <v>2815.2</v>
      </c>
      <c r="D8" s="96">
        <v>3147.5</v>
      </c>
      <c r="E8" s="96">
        <v>4136.8999999999996</v>
      </c>
      <c r="F8" s="96">
        <v>5799.8</v>
      </c>
      <c r="I8" s="82">
        <f t="shared" si="1"/>
        <v>0.10266200021211157</v>
      </c>
      <c r="J8" s="82">
        <f t="shared" si="2"/>
        <v>0.10324416702729265</v>
      </c>
      <c r="K8" s="82">
        <f t="shared" si="3"/>
        <v>0.10411498131057524</v>
      </c>
      <c r="L8" s="82">
        <f t="shared" si="4"/>
        <v>0.11396293153794447</v>
      </c>
      <c r="M8" s="82">
        <f t="shared" si="5"/>
        <v>0.14514922104736283</v>
      </c>
      <c r="O8" s="82">
        <f t="shared" si="6"/>
        <v>1</v>
      </c>
      <c r="P8" s="82">
        <f t="shared" si="0"/>
        <v>1.2117768595041323</v>
      </c>
      <c r="Q8" s="82">
        <f t="shared" si="0"/>
        <v>1.3548123278236917</v>
      </c>
      <c r="R8" s="82">
        <f t="shared" si="0"/>
        <v>1.7806904269972452</v>
      </c>
      <c r="S8" s="82">
        <f t="shared" si="0"/>
        <v>2.4964703856749315</v>
      </c>
    </row>
    <row r="9" spans="1:19">
      <c r="A9" s="92" t="s">
        <v>162</v>
      </c>
      <c r="B9" s="96">
        <v>5645.5</v>
      </c>
      <c r="C9" s="96">
        <v>5678</v>
      </c>
      <c r="D9" s="96">
        <v>5507.7</v>
      </c>
      <c r="E9" s="96">
        <v>5398</v>
      </c>
      <c r="F9" s="96">
        <v>5330.3</v>
      </c>
      <c r="I9" s="82">
        <f t="shared" si="1"/>
        <v>0.24947414006434052</v>
      </c>
      <c r="J9" s="82">
        <f t="shared" si="2"/>
        <v>0.20823400837630282</v>
      </c>
      <c r="K9" s="82">
        <f t="shared" si="3"/>
        <v>0.1821871588766498</v>
      </c>
      <c r="L9" s="82">
        <f t="shared" si="4"/>
        <v>0.14870359555266607</v>
      </c>
      <c r="M9" s="82">
        <f t="shared" si="5"/>
        <v>0.13339923668898204</v>
      </c>
      <c r="O9" s="82">
        <f t="shared" si="6"/>
        <v>1</v>
      </c>
      <c r="P9" s="82">
        <f t="shared" si="0"/>
        <v>1.0057567974492958</v>
      </c>
      <c r="Q9" s="82">
        <f t="shared" si="0"/>
        <v>0.97559117881498536</v>
      </c>
      <c r="R9" s="82">
        <f t="shared" si="0"/>
        <v>0.95615977327074664</v>
      </c>
      <c r="S9" s="82">
        <f t="shared" si="0"/>
        <v>0.94416792135329031</v>
      </c>
    </row>
    <row r="10" spans="1:19">
      <c r="A10" s="92" t="s">
        <v>163</v>
      </c>
      <c r="B10" s="97">
        <v>445.3</v>
      </c>
      <c r="C10" s="97">
        <v>671.5</v>
      </c>
      <c r="D10" s="96">
        <v>1098.7</v>
      </c>
      <c r="E10" s="96">
        <v>1672.8</v>
      </c>
      <c r="F10" s="96">
        <v>1872.3</v>
      </c>
      <c r="I10" s="82">
        <f t="shared" si="1"/>
        <v>1.9677767172199247E-2</v>
      </c>
      <c r="J10" s="82">
        <f t="shared" si="2"/>
        <v>2.4626477038514855E-2</v>
      </c>
      <c r="K10" s="82">
        <f t="shared" si="3"/>
        <v>3.634348847209818E-2</v>
      </c>
      <c r="L10" s="82">
        <f t="shared" si="4"/>
        <v>4.6082136835957729E-2</v>
      </c>
      <c r="M10" s="82">
        <f t="shared" si="5"/>
        <v>4.6857285866232869E-2</v>
      </c>
      <c r="O10" s="82">
        <f t="shared" si="6"/>
        <v>1</v>
      </c>
      <c r="P10" s="82">
        <f t="shared" si="0"/>
        <v>1.5079721536043116</v>
      </c>
      <c r="Q10" s="82">
        <f t="shared" si="0"/>
        <v>2.4673253986076804</v>
      </c>
      <c r="R10" s="82">
        <f t="shared" si="0"/>
        <v>3.7565686054345382</v>
      </c>
      <c r="S10" s="82">
        <f t="shared" si="0"/>
        <v>4.2045811812261391</v>
      </c>
    </row>
    <row r="11" spans="1:19">
      <c r="A11" s="92" t="s">
        <v>164</v>
      </c>
      <c r="B11" s="96">
        <v>2084.5</v>
      </c>
      <c r="C11" s="96">
        <v>2172.6999999999998</v>
      </c>
      <c r="D11" s="96">
        <v>2286.9</v>
      </c>
      <c r="E11" s="96">
        <v>2027.8</v>
      </c>
      <c r="F11" s="96">
        <v>2561.1999999999998</v>
      </c>
      <c r="I11" s="82">
        <f t="shared" si="1"/>
        <v>9.2113868561530032E-2</v>
      </c>
      <c r="J11" s="82">
        <f t="shared" si="2"/>
        <v>7.9681231067135108E-2</v>
      </c>
      <c r="K11" s="82">
        <f t="shared" si="3"/>
        <v>7.5647514141113426E-2</v>
      </c>
      <c r="L11" s="82">
        <f t="shared" si="4"/>
        <v>5.5861643397868893E-2</v>
      </c>
      <c r="M11" s="82">
        <f t="shared" si="5"/>
        <v>6.4098104235750478E-2</v>
      </c>
      <c r="O11" s="82">
        <f t="shared" si="6"/>
        <v>1</v>
      </c>
      <c r="P11" s="82">
        <f t="shared" si="0"/>
        <v>1.0423123051091387</v>
      </c>
      <c r="Q11" s="82">
        <f t="shared" si="0"/>
        <v>1.0970976253298153</v>
      </c>
      <c r="R11" s="82">
        <f t="shared" si="0"/>
        <v>0.97279923242983923</v>
      </c>
      <c r="S11" s="82">
        <f t="shared" si="0"/>
        <v>1.2286879347565363</v>
      </c>
    </row>
    <row r="12" spans="1:19">
      <c r="A12" s="91" t="s">
        <v>165</v>
      </c>
      <c r="B12" s="95">
        <v>10498.5</v>
      </c>
      <c r="C12" s="95">
        <v>11337.4</v>
      </c>
      <c r="D12" s="95">
        <v>12040.8</v>
      </c>
      <c r="E12" s="95">
        <v>13235.5</v>
      </c>
      <c r="F12" s="95">
        <v>15563.6</v>
      </c>
      <c r="I12" s="82">
        <f t="shared" si="1"/>
        <v>0.46392777601018137</v>
      </c>
      <c r="J12" s="82">
        <f t="shared" si="2"/>
        <v>0.41578588350924545</v>
      </c>
      <c r="K12" s="82">
        <f t="shared" si="3"/>
        <v>0.39829314280043659</v>
      </c>
      <c r="L12" s="82">
        <f t="shared" si="4"/>
        <v>0.36461030732443717</v>
      </c>
      <c r="M12" s="82">
        <f t="shared" si="5"/>
        <v>0.38950384783832825</v>
      </c>
      <c r="O12" s="82">
        <f t="shared" si="6"/>
        <v>1</v>
      </c>
      <c r="P12" s="82">
        <f t="shared" si="0"/>
        <v>1.0799066533314283</v>
      </c>
      <c r="Q12" s="82">
        <f t="shared" si="0"/>
        <v>1.1469067009572795</v>
      </c>
      <c r="R12" s="82">
        <f t="shared" si="0"/>
        <v>1.2607039100823927</v>
      </c>
      <c r="S12" s="82">
        <f t="shared" si="0"/>
        <v>1.4824593989617565</v>
      </c>
    </row>
    <row r="13" spans="1:19" ht="14.25" thickBot="1">
      <c r="A13" s="93" t="s">
        <v>144</v>
      </c>
      <c r="B13" s="98">
        <v>22629.599999999999</v>
      </c>
      <c r="C13" s="98">
        <v>27267.4</v>
      </c>
      <c r="D13" s="98">
        <v>30231</v>
      </c>
      <c r="E13" s="98">
        <v>36300.400000000001</v>
      </c>
      <c r="F13" s="98">
        <v>39957.5</v>
      </c>
      <c r="I13" s="82">
        <f t="shared" si="1"/>
        <v>1</v>
      </c>
      <c r="J13" s="82">
        <f t="shared" si="2"/>
        <v>1</v>
      </c>
      <c r="K13" s="82">
        <f t="shared" si="3"/>
        <v>1</v>
      </c>
      <c r="L13" s="82">
        <f t="shared" si="4"/>
        <v>1</v>
      </c>
      <c r="M13" s="82">
        <f t="shared" si="5"/>
        <v>1</v>
      </c>
      <c r="O13" s="82">
        <f t="shared" si="6"/>
        <v>1</v>
      </c>
      <c r="P13" s="82">
        <f t="shared" si="0"/>
        <v>1.2049439671934106</v>
      </c>
      <c r="Q13" s="82">
        <f t="shared" si="0"/>
        <v>1.3359051861279034</v>
      </c>
      <c r="R13" s="82">
        <f t="shared" si="0"/>
        <v>1.6041114292784673</v>
      </c>
      <c r="S13" s="82">
        <f t="shared" si="0"/>
        <v>1.7657183511860572</v>
      </c>
    </row>
    <row r="14" spans="1:19">
      <c r="A14" s="92" t="s">
        <v>150</v>
      </c>
      <c r="B14" s="96">
        <v>1062.2</v>
      </c>
      <c r="C14" s="96">
        <v>1377.9</v>
      </c>
      <c r="D14" s="96">
        <v>2116.3000000000002</v>
      </c>
      <c r="E14" s="96">
        <v>2565.1999999999998</v>
      </c>
      <c r="F14" s="96">
        <v>2347.3000000000002</v>
      </c>
      <c r="I14" s="82">
        <f t="shared" si="1"/>
        <v>4.6938522996429463E-2</v>
      </c>
      <c r="J14" s="82">
        <f t="shared" si="2"/>
        <v>5.05328707540873E-2</v>
      </c>
      <c r="K14" s="82">
        <f t="shared" si="3"/>
        <v>7.000430022162682E-2</v>
      </c>
      <c r="L14" s="82">
        <f t="shared" si="4"/>
        <v>7.0665887979195818E-2</v>
      </c>
      <c r="M14" s="82">
        <f t="shared" si="5"/>
        <v>5.8744916473753364E-2</v>
      </c>
      <c r="O14" s="82">
        <f t="shared" si="6"/>
        <v>1</v>
      </c>
      <c r="P14" s="82">
        <f t="shared" si="0"/>
        <v>1.2972133308228206</v>
      </c>
      <c r="Q14" s="82">
        <f t="shared" si="0"/>
        <v>1.9923743174543402</v>
      </c>
      <c r="R14" s="82">
        <f t="shared" si="0"/>
        <v>2.4149877612502353</v>
      </c>
      <c r="S14" s="82">
        <f t="shared" si="0"/>
        <v>2.2098474863490867</v>
      </c>
    </row>
    <row r="15" spans="1:19">
      <c r="A15" s="92" t="s">
        <v>167</v>
      </c>
      <c r="B15" s="97">
        <v>65.599999999999994</v>
      </c>
      <c r="C15" s="97">
        <v>110</v>
      </c>
      <c r="D15" s="97">
        <v>301.89999999999998</v>
      </c>
      <c r="E15" s="97">
        <v>315.3</v>
      </c>
      <c r="F15" s="97">
        <v>308.89999999999998</v>
      </c>
      <c r="I15" s="82">
        <f t="shared" si="1"/>
        <v>2.8988581327111392E-3</v>
      </c>
      <c r="J15" s="82">
        <f t="shared" si="2"/>
        <v>4.0341213317001256E-3</v>
      </c>
      <c r="K15" s="82">
        <f t="shared" si="3"/>
        <v>9.9864377625616084E-3</v>
      </c>
      <c r="L15" s="82">
        <f t="shared" si="4"/>
        <v>8.685854701325605E-3</v>
      </c>
      <c r="M15" s="82">
        <f t="shared" si="5"/>
        <v>7.7307138835012194E-3</v>
      </c>
      <c r="O15" s="82">
        <f t="shared" si="6"/>
        <v>1</v>
      </c>
      <c r="P15" s="82">
        <f t="shared" si="0"/>
        <v>1.6768292682926831</v>
      </c>
      <c r="Q15" s="82">
        <f t="shared" si="0"/>
        <v>4.6021341463414638</v>
      </c>
      <c r="R15" s="82">
        <f t="shared" si="0"/>
        <v>4.8064024390243905</v>
      </c>
      <c r="S15" s="82">
        <f t="shared" si="0"/>
        <v>4.7088414634146343</v>
      </c>
    </row>
    <row r="16" spans="1:19">
      <c r="A16" s="92" t="s">
        <v>151</v>
      </c>
      <c r="B16" s="97" t="s">
        <v>161</v>
      </c>
      <c r="C16" s="97">
        <v>15.4</v>
      </c>
      <c r="D16" s="97">
        <v>509.1</v>
      </c>
      <c r="E16" s="97">
        <v>746.2</v>
      </c>
      <c r="F16" s="97">
        <v>0.1</v>
      </c>
      <c r="I16" s="82">
        <f t="shared" si="1"/>
        <v>0</v>
      </c>
      <c r="J16" s="82">
        <f t="shared" si="2"/>
        <v>5.6477698643801755E-4</v>
      </c>
      <c r="K16" s="82">
        <f t="shared" si="3"/>
        <v>1.6840329463133869E-2</v>
      </c>
      <c r="L16" s="82">
        <f t="shared" si="4"/>
        <v>2.0556247314079183E-2</v>
      </c>
      <c r="M16" s="82">
        <f t="shared" si="5"/>
        <v>2.5026590752674719E-6</v>
      </c>
      <c r="O16" s="82">
        <f t="shared" si="6"/>
        <v>0</v>
      </c>
      <c r="P16" s="82">
        <f t="shared" si="0"/>
        <v>0</v>
      </c>
      <c r="Q16" s="82">
        <f t="shared" si="0"/>
        <v>0</v>
      </c>
      <c r="R16" s="82">
        <f t="shared" si="0"/>
        <v>0</v>
      </c>
      <c r="S16" s="82">
        <f t="shared" si="0"/>
        <v>0</v>
      </c>
    </row>
    <row r="17" spans="1:19">
      <c r="A17" s="92" t="s">
        <v>168</v>
      </c>
      <c r="B17" s="96">
        <v>3566.3</v>
      </c>
      <c r="C17" s="96">
        <v>5100.2</v>
      </c>
      <c r="D17" s="96">
        <v>9370.7000000000007</v>
      </c>
      <c r="E17" s="96">
        <v>14356.9</v>
      </c>
      <c r="F17" s="96">
        <v>13618.4</v>
      </c>
      <c r="I17" s="82">
        <f t="shared" si="1"/>
        <v>0.15759447802877649</v>
      </c>
      <c r="J17" s="82">
        <f t="shared" si="2"/>
        <v>0.18704386923579069</v>
      </c>
      <c r="K17" s="82">
        <f t="shared" si="3"/>
        <v>0.30996989844861239</v>
      </c>
      <c r="L17" s="82">
        <f t="shared" si="4"/>
        <v>0.39550252889775317</v>
      </c>
      <c r="M17" s="82">
        <f t="shared" si="5"/>
        <v>0.34082212350622537</v>
      </c>
      <c r="O17" s="82">
        <f t="shared" si="6"/>
        <v>1</v>
      </c>
      <c r="P17" s="82">
        <f t="shared" si="0"/>
        <v>1.4301096374393627</v>
      </c>
      <c r="Q17" s="82">
        <f t="shared" si="0"/>
        <v>2.6275691893559152</v>
      </c>
      <c r="R17" s="82">
        <f t="shared" si="0"/>
        <v>4.0257129237585172</v>
      </c>
      <c r="S17" s="82">
        <f t="shared" si="0"/>
        <v>3.8186355606651148</v>
      </c>
    </row>
    <row r="18" spans="1:19">
      <c r="A18" s="91" t="s">
        <v>13</v>
      </c>
      <c r="B18" s="95">
        <v>4694.1000000000004</v>
      </c>
      <c r="C18" s="95">
        <v>6603.5</v>
      </c>
      <c r="D18" s="95">
        <v>12298</v>
      </c>
      <c r="E18" s="95">
        <v>17983.599999999999</v>
      </c>
      <c r="F18" s="95">
        <v>16274.7</v>
      </c>
      <c r="I18" s="82">
        <f t="shared" si="1"/>
        <v>0.20743185915791709</v>
      </c>
      <c r="J18" s="82">
        <f t="shared" si="2"/>
        <v>0.24217563830801617</v>
      </c>
      <c r="K18" s="82">
        <f t="shared" si="3"/>
        <v>0.40680096589593462</v>
      </c>
      <c r="L18" s="82">
        <f t="shared" si="4"/>
        <v>0.49541051889235377</v>
      </c>
      <c r="M18" s="82">
        <f t="shared" si="5"/>
        <v>0.40730025652255525</v>
      </c>
      <c r="O18" s="82">
        <f t="shared" si="6"/>
        <v>1</v>
      </c>
      <c r="P18" s="82">
        <f t="shared" si="0"/>
        <v>1.4067659402228327</v>
      </c>
      <c r="Q18" s="82">
        <f t="shared" si="0"/>
        <v>2.6198845359067762</v>
      </c>
      <c r="R18" s="82">
        <f t="shared" si="0"/>
        <v>3.8311071344879735</v>
      </c>
      <c r="S18" s="82">
        <f t="shared" si="0"/>
        <v>3.4670543874225088</v>
      </c>
    </row>
    <row r="19" spans="1:19">
      <c r="A19" s="92" t="s">
        <v>214</v>
      </c>
      <c r="B19" s="97">
        <v>234.4</v>
      </c>
      <c r="C19" s="97">
        <v>238.3</v>
      </c>
      <c r="D19" s="97">
        <v>240.6</v>
      </c>
      <c r="E19" s="97">
        <v>267</v>
      </c>
      <c r="F19" s="97">
        <v>372.2</v>
      </c>
      <c r="I19" s="82">
        <f t="shared" si="1"/>
        <v>1.0358115035175169E-2</v>
      </c>
      <c r="J19" s="82">
        <f t="shared" si="2"/>
        <v>8.7393737576739981E-3</v>
      </c>
      <c r="K19" s="82">
        <f t="shared" si="3"/>
        <v>7.9587178723826528E-3</v>
      </c>
      <c r="L19" s="82">
        <f t="shared" si="4"/>
        <v>7.3552908507895226E-3</v>
      </c>
      <c r="M19" s="82">
        <f t="shared" si="5"/>
        <v>9.314897078145529E-3</v>
      </c>
      <c r="O19" s="82">
        <f t="shared" si="6"/>
        <v>1</v>
      </c>
      <c r="P19" s="82">
        <f t="shared" si="6"/>
        <v>1.0166382252559727</v>
      </c>
      <c r="Q19" s="82">
        <f t="shared" si="6"/>
        <v>1.0264505119453924</v>
      </c>
      <c r="R19" s="82">
        <f t="shared" si="6"/>
        <v>1.1390784982935154</v>
      </c>
      <c r="S19" s="82">
        <f t="shared" si="6"/>
        <v>1.5878839590443685</v>
      </c>
    </row>
    <row r="20" spans="1:19">
      <c r="A20" s="92" t="s">
        <v>152</v>
      </c>
      <c r="B20" s="96">
        <v>3108.3</v>
      </c>
      <c r="C20" s="96">
        <v>4662.8</v>
      </c>
      <c r="D20" s="96">
        <v>4075</v>
      </c>
      <c r="E20" s="96">
        <v>3514.2</v>
      </c>
      <c r="F20" s="96">
        <v>4631.5</v>
      </c>
      <c r="I20" s="82">
        <f t="shared" si="1"/>
        <v>0.13735549899247004</v>
      </c>
      <c r="J20" s="82">
        <f t="shared" si="2"/>
        <v>0.17100273586773951</v>
      </c>
      <c r="K20" s="82">
        <f t="shared" si="3"/>
        <v>0.13479540868644768</v>
      </c>
      <c r="L20" s="82">
        <f t="shared" si="4"/>
        <v>9.6808850591178053E-2</v>
      </c>
      <c r="M20" s="82">
        <f t="shared" si="5"/>
        <v>0.11591065507101295</v>
      </c>
      <c r="O20" s="82">
        <f t="shared" si="6"/>
        <v>1</v>
      </c>
      <c r="P20" s="82">
        <f t="shared" si="6"/>
        <v>1.5001126017437183</v>
      </c>
      <c r="Q20" s="82">
        <f t="shared" si="6"/>
        <v>1.3110060161503072</v>
      </c>
      <c r="R20" s="82">
        <f t="shared" si="6"/>
        <v>1.1305858507866036</v>
      </c>
      <c r="S20" s="82">
        <f t="shared" si="6"/>
        <v>1.4900427886626129</v>
      </c>
    </row>
    <row r="21" spans="1:19" ht="16.5">
      <c r="A21" s="92" t="s">
        <v>219</v>
      </c>
      <c r="B21" s="99">
        <f>B30-20629</f>
        <v>2000.5999999999985</v>
      </c>
      <c r="C21" s="99">
        <f>C30-25370</f>
        <v>1897.4000000000015</v>
      </c>
      <c r="D21" s="99">
        <f>D30-26754.2</f>
        <v>3476.7999999999993</v>
      </c>
      <c r="E21" s="99">
        <f>E30-30575.6</f>
        <v>5724.8000000000029</v>
      </c>
      <c r="F21" s="99">
        <f>F30-34730.8</f>
        <v>5226.6999999999971</v>
      </c>
      <c r="I21" s="82">
        <f t="shared" si="1"/>
        <v>8.8406335065577768E-2</v>
      </c>
      <c r="J21" s="82">
        <f t="shared" si="2"/>
        <v>6.9584925588798391E-2</v>
      </c>
      <c r="K21" s="82">
        <f t="shared" si="3"/>
        <v>0.11500777347755613</v>
      </c>
      <c r="L21" s="82">
        <f t="shared" si="4"/>
        <v>0.15770625117078607</v>
      </c>
      <c r="M21" s="82">
        <f t="shared" si="5"/>
        <v>0.13080648188700486</v>
      </c>
      <c r="O21" s="82">
        <f t="shared" si="6"/>
        <v>1</v>
      </c>
      <c r="P21" s="82">
        <f t="shared" si="6"/>
        <v>0.94841547535739423</v>
      </c>
      <c r="Q21" s="82">
        <f t="shared" si="6"/>
        <v>1.7378786364090781</v>
      </c>
      <c r="R21" s="82">
        <f t="shared" si="6"/>
        <v>2.8615415375387419</v>
      </c>
      <c r="S21" s="82">
        <f t="shared" si="6"/>
        <v>2.6125662301309611</v>
      </c>
    </row>
    <row r="22" spans="1:19">
      <c r="A22" s="91" t="s">
        <v>170</v>
      </c>
      <c r="B22" s="100">
        <f>SUM(B19:B21)</f>
        <v>5343.2999999999993</v>
      </c>
      <c r="C22" s="100">
        <f t="shared" ref="C22:F22" si="7">SUM(C19:C21)</f>
        <v>6798.5000000000018</v>
      </c>
      <c r="D22" s="100">
        <f t="shared" si="7"/>
        <v>7792.4</v>
      </c>
      <c r="E22" s="100">
        <f t="shared" si="7"/>
        <v>9506.0000000000036</v>
      </c>
      <c r="F22" s="100">
        <f t="shared" si="7"/>
        <v>10230.399999999998</v>
      </c>
      <c r="I22" s="82">
        <f t="shared" si="1"/>
        <v>0.23611994909322301</v>
      </c>
      <c r="J22" s="82">
        <f t="shared" si="2"/>
        <v>0.2493270352142119</v>
      </c>
      <c r="K22" s="82">
        <f t="shared" si="3"/>
        <v>0.25776190003638649</v>
      </c>
      <c r="L22" s="82">
        <f t="shared" si="4"/>
        <v>0.26187039261275369</v>
      </c>
      <c r="M22" s="82">
        <f t="shared" si="5"/>
        <v>0.25603203403616337</v>
      </c>
      <c r="O22" s="82">
        <f t="shared" si="6"/>
        <v>1</v>
      </c>
      <c r="P22" s="82">
        <f t="shared" si="6"/>
        <v>1.2723410626391936</v>
      </c>
      <c r="Q22" s="82">
        <f t="shared" si="6"/>
        <v>1.4583497089813413</v>
      </c>
      <c r="R22" s="82">
        <f t="shared" si="6"/>
        <v>1.7790503995658122</v>
      </c>
      <c r="S22" s="82">
        <f t="shared" si="6"/>
        <v>1.9146220500439801</v>
      </c>
    </row>
    <row r="23" spans="1:19">
      <c r="A23" s="91" t="s">
        <v>171</v>
      </c>
      <c r="B23" s="101">
        <f>B18+B22</f>
        <v>10037.4</v>
      </c>
      <c r="C23" s="101">
        <f t="shared" ref="C23:F23" si="8">C18+C22</f>
        <v>13402.000000000002</v>
      </c>
      <c r="D23" s="101">
        <f t="shared" si="8"/>
        <v>20090.400000000001</v>
      </c>
      <c r="E23" s="101">
        <f t="shared" si="8"/>
        <v>27489.600000000002</v>
      </c>
      <c r="F23" s="101">
        <f t="shared" si="8"/>
        <v>26505.1</v>
      </c>
      <c r="I23" s="82">
        <f t="shared" si="1"/>
        <v>0.4435518082511401</v>
      </c>
      <c r="J23" s="82">
        <f t="shared" si="2"/>
        <v>0.49150267352222804</v>
      </c>
      <c r="K23" s="82">
        <f t="shared" si="3"/>
        <v>0.66456286593232117</v>
      </c>
      <c r="L23" s="82">
        <f t="shared" si="4"/>
        <v>0.75728091150510746</v>
      </c>
      <c r="M23" s="82">
        <f t="shared" si="5"/>
        <v>0.66333229055871856</v>
      </c>
      <c r="O23" s="82">
        <f t="shared" si="6"/>
        <v>1</v>
      </c>
      <c r="P23" s="82">
        <f t="shared" si="6"/>
        <v>1.3352063283320383</v>
      </c>
      <c r="Q23" s="82">
        <f t="shared" si="6"/>
        <v>2.0015541873393512</v>
      </c>
      <c r="R23" s="82">
        <f t="shared" si="6"/>
        <v>2.7387171976806748</v>
      </c>
      <c r="S23" s="82">
        <f t="shared" si="6"/>
        <v>2.6406340287325403</v>
      </c>
    </row>
    <row r="24" spans="1:19">
      <c r="A24" s="92" t="s">
        <v>172</v>
      </c>
      <c r="B24" s="97">
        <v>38.200000000000003</v>
      </c>
      <c r="C24" s="97">
        <v>37.6</v>
      </c>
      <c r="D24" s="97">
        <v>36.5</v>
      </c>
      <c r="E24" s="97">
        <v>36.299999999999997</v>
      </c>
      <c r="F24" s="97">
        <v>36</v>
      </c>
      <c r="I24" s="82">
        <f t="shared" si="1"/>
        <v>1.6880545833775234E-3</v>
      </c>
      <c r="J24" s="82">
        <f t="shared" si="2"/>
        <v>1.3789360188356792E-3</v>
      </c>
      <c r="K24" s="82">
        <f t="shared" si="3"/>
        <v>1.207369918295789E-3</v>
      </c>
      <c r="L24" s="82">
        <f t="shared" si="4"/>
        <v>9.9998898083767654E-4</v>
      </c>
      <c r="M24" s="82">
        <f t="shared" si="5"/>
        <v>9.0095726709628983E-4</v>
      </c>
      <c r="O24" s="82">
        <f t="shared" si="6"/>
        <v>1</v>
      </c>
      <c r="P24" s="82">
        <f t="shared" si="6"/>
        <v>0.98429319371727741</v>
      </c>
      <c r="Q24" s="82">
        <f t="shared" si="6"/>
        <v>0.95549738219895286</v>
      </c>
      <c r="R24" s="82">
        <f t="shared" si="6"/>
        <v>0.95026178010471185</v>
      </c>
      <c r="S24" s="82">
        <f t="shared" si="6"/>
        <v>0.94240837696335067</v>
      </c>
    </row>
    <row r="25" spans="1:19">
      <c r="A25" s="92" t="s">
        <v>4</v>
      </c>
      <c r="B25" s="96">
        <v>3772</v>
      </c>
      <c r="C25" s="96">
        <v>3780.1</v>
      </c>
      <c r="D25" s="96">
        <v>3876.1</v>
      </c>
      <c r="E25" s="96">
        <v>3940.8</v>
      </c>
      <c r="F25" s="96">
        <v>3998.1</v>
      </c>
      <c r="I25" s="82">
        <f t="shared" si="1"/>
        <v>0.16668434263089052</v>
      </c>
      <c r="J25" s="82">
        <f t="shared" si="2"/>
        <v>0.13863074587236038</v>
      </c>
      <c r="K25" s="82">
        <f t="shared" si="3"/>
        <v>0.12821606959743309</v>
      </c>
      <c r="L25" s="82">
        <f t="shared" si="4"/>
        <v>0.10856078720895637</v>
      </c>
      <c r="M25" s="82">
        <f t="shared" si="5"/>
        <v>0.10005881248826878</v>
      </c>
      <c r="O25" s="82">
        <f t="shared" si="6"/>
        <v>1</v>
      </c>
      <c r="P25" s="82">
        <f t="shared" si="6"/>
        <v>1.0021474019088017</v>
      </c>
      <c r="Q25" s="82">
        <f t="shared" si="6"/>
        <v>1.0275980911983034</v>
      </c>
      <c r="R25" s="82">
        <f t="shared" si="6"/>
        <v>1.0447507953340402</v>
      </c>
      <c r="S25" s="82">
        <f t="shared" si="6"/>
        <v>1.0599416755037114</v>
      </c>
    </row>
    <row r="26" spans="1:19" ht="16.5">
      <c r="A26" s="92" t="s">
        <v>173</v>
      </c>
      <c r="B26" s="102">
        <v>-741.8</v>
      </c>
      <c r="C26" s="102">
        <v>-683.8</v>
      </c>
      <c r="D26" s="99">
        <v>-2089.3000000000002</v>
      </c>
      <c r="E26" s="103">
        <v>-4213</v>
      </c>
      <c r="F26" s="99">
        <v>-2961.2</v>
      </c>
      <c r="I26" s="82">
        <f t="shared" si="1"/>
        <v>-3.2780075653126878E-2</v>
      </c>
      <c r="J26" s="82">
        <f t="shared" si="2"/>
        <v>-2.5077565151059505E-2</v>
      </c>
      <c r="K26" s="82">
        <f t="shared" si="3"/>
        <v>-6.9111177268366908E-2</v>
      </c>
      <c r="L26" s="82">
        <f t="shared" si="4"/>
        <v>-0.11605932716994853</v>
      </c>
      <c r="M26" s="82">
        <f t="shared" si="5"/>
        <v>-7.4108740536820372E-2</v>
      </c>
      <c r="O26" s="82">
        <f t="shared" si="6"/>
        <v>1</v>
      </c>
      <c r="P26" s="82">
        <f t="shared" si="6"/>
        <v>0.92181180911296845</v>
      </c>
      <c r="Q26" s="82">
        <f t="shared" si="6"/>
        <v>2.8165273658668109</v>
      </c>
      <c r="R26" s="82">
        <f t="shared" si="6"/>
        <v>5.6794284173631713</v>
      </c>
      <c r="S26" s="82">
        <f t="shared" si="6"/>
        <v>3.991911566459962</v>
      </c>
    </row>
    <row r="27" spans="1:19">
      <c r="A27" s="92" t="s">
        <v>2</v>
      </c>
      <c r="B27" s="96">
        <v>9523.7999999999993</v>
      </c>
      <c r="C27" s="96">
        <v>10731.5</v>
      </c>
      <c r="D27" s="96">
        <v>8317.2999999999993</v>
      </c>
      <c r="E27" s="96">
        <v>9046.7000000000007</v>
      </c>
      <c r="F27" s="96">
        <v>12379.5</v>
      </c>
      <c r="I27" s="82">
        <f t="shared" si="1"/>
        <v>0.42085587018771875</v>
      </c>
      <c r="J27" s="82">
        <f t="shared" si="2"/>
        <v>0.39356520973763542</v>
      </c>
      <c r="K27" s="82">
        <f t="shared" si="3"/>
        <v>0.27512487182031686</v>
      </c>
      <c r="L27" s="82">
        <f t="shared" si="4"/>
        <v>0.2492176394750471</v>
      </c>
      <c r="M27" s="82">
        <f t="shared" si="5"/>
        <v>0.30981668022273667</v>
      </c>
      <c r="O27" s="82">
        <f t="shared" si="6"/>
        <v>1</v>
      </c>
      <c r="P27" s="82">
        <f t="shared" si="6"/>
        <v>1.1268086268086268</v>
      </c>
      <c r="Q27" s="82">
        <f t="shared" si="6"/>
        <v>0.87331737331737336</v>
      </c>
      <c r="R27" s="82">
        <f t="shared" si="6"/>
        <v>0.94990444990445</v>
      </c>
      <c r="S27" s="82">
        <f t="shared" si="6"/>
        <v>1.2998487998488</v>
      </c>
    </row>
    <row r="28" spans="1:19">
      <c r="A28" s="92" t="s">
        <v>147</v>
      </c>
      <c r="B28" s="97" t="s">
        <v>161</v>
      </c>
      <c r="C28" s="97" t="s">
        <v>161</v>
      </c>
      <c r="D28" s="97" t="s">
        <v>161</v>
      </c>
      <c r="E28" s="97" t="s">
        <v>161</v>
      </c>
      <c r="F28" s="97" t="s">
        <v>161</v>
      </c>
      <c r="I28" s="82">
        <f t="shared" si="1"/>
        <v>0</v>
      </c>
      <c r="J28" s="82">
        <f t="shared" si="2"/>
        <v>0</v>
      </c>
      <c r="K28" s="82">
        <f t="shared" si="3"/>
        <v>0</v>
      </c>
      <c r="L28" s="82">
        <f t="shared" si="4"/>
        <v>0</v>
      </c>
      <c r="M28" s="82">
        <f t="shared" si="5"/>
        <v>0</v>
      </c>
      <c r="O28" s="82">
        <f t="shared" si="6"/>
        <v>0</v>
      </c>
      <c r="P28" s="82">
        <f t="shared" si="6"/>
        <v>0</v>
      </c>
      <c r="Q28" s="82">
        <f t="shared" si="6"/>
        <v>0</v>
      </c>
      <c r="R28" s="82">
        <f t="shared" si="6"/>
        <v>0</v>
      </c>
      <c r="S28" s="82">
        <f t="shared" si="6"/>
        <v>0</v>
      </c>
    </row>
    <row r="29" spans="1:19">
      <c r="A29" s="91" t="s">
        <v>174</v>
      </c>
      <c r="B29" s="95">
        <v>12592.2</v>
      </c>
      <c r="C29" s="95">
        <v>13865.4</v>
      </c>
      <c r="D29" s="95">
        <v>10140.6</v>
      </c>
      <c r="E29" s="95">
        <v>8810.7999999999993</v>
      </c>
      <c r="F29" s="95">
        <v>13452.4</v>
      </c>
      <c r="I29" s="82">
        <f t="shared" si="1"/>
        <v>0.55644819174885995</v>
      </c>
      <c r="J29" s="82">
        <f t="shared" si="2"/>
        <v>0.5084973264777719</v>
      </c>
      <c r="K29" s="82">
        <f t="shared" si="3"/>
        <v>0.33543713406767889</v>
      </c>
      <c r="L29" s="82">
        <f t="shared" si="4"/>
        <v>0.2427190884948926</v>
      </c>
      <c r="M29" s="82">
        <f t="shared" si="5"/>
        <v>0.33666770944128133</v>
      </c>
      <c r="O29" s="82">
        <f t="shared" si="6"/>
        <v>1</v>
      </c>
      <c r="P29" s="82">
        <f t="shared" si="6"/>
        <v>1.1011102110830513</v>
      </c>
      <c r="Q29" s="82">
        <f t="shared" si="6"/>
        <v>0.80530804783913845</v>
      </c>
      <c r="R29" s="82">
        <f t="shared" si="6"/>
        <v>0.6997029907402994</v>
      </c>
      <c r="S29" s="82">
        <f t="shared" si="6"/>
        <v>1.0683121297311033</v>
      </c>
    </row>
    <row r="30" spans="1:19" ht="14.25" thickBot="1">
      <c r="A30" s="67" t="s">
        <v>175</v>
      </c>
      <c r="B30" s="98">
        <v>22629.599999999999</v>
      </c>
      <c r="C30" s="98">
        <v>27267.4</v>
      </c>
      <c r="D30" s="98">
        <v>30231</v>
      </c>
      <c r="E30" s="98">
        <v>36300.400000000001</v>
      </c>
      <c r="F30" s="98">
        <v>39957.5</v>
      </c>
      <c r="I30" s="82">
        <f t="shared" si="1"/>
        <v>1</v>
      </c>
      <c r="J30" s="82">
        <f t="shared" si="2"/>
        <v>1</v>
      </c>
      <c r="K30" s="82">
        <f t="shared" si="3"/>
        <v>1</v>
      </c>
      <c r="L30" s="82">
        <f t="shared" si="4"/>
        <v>1</v>
      </c>
      <c r="M30" s="82">
        <f t="shared" si="5"/>
        <v>1</v>
      </c>
      <c r="O30" s="82">
        <f t="shared" si="6"/>
        <v>1</v>
      </c>
      <c r="P30" s="82">
        <f t="shared" si="6"/>
        <v>1.2049439671934106</v>
      </c>
      <c r="Q30" s="82">
        <f t="shared" si="6"/>
        <v>1.3359051861279034</v>
      </c>
      <c r="R30" s="82">
        <f t="shared" si="6"/>
        <v>1.6041114292784673</v>
      </c>
      <c r="S30" s="82">
        <f t="shared" si="6"/>
        <v>1.7657183511860572</v>
      </c>
    </row>
    <row r="32" spans="1:19" ht="16.899999999999999">
      <c r="A32" s="110" t="s">
        <v>347</v>
      </c>
    </row>
    <row r="33" spans="1:1">
      <c r="A33" s="111"/>
    </row>
    <row r="34" spans="1:1">
      <c r="A34" s="112" t="s">
        <v>381</v>
      </c>
    </row>
    <row r="36" spans="1:1" ht="15">
      <c r="A36" s="121" t="s">
        <v>349</v>
      </c>
    </row>
    <row r="37" spans="1:1">
      <c r="A37" s="111"/>
    </row>
    <row r="38" spans="1:1">
      <c r="A38" s="112" t="s">
        <v>382</v>
      </c>
    </row>
    <row r="39" spans="1:1">
      <c r="A39" s="111"/>
    </row>
    <row r="40" spans="1:1">
      <c r="A40" s="111"/>
    </row>
    <row r="41" spans="1:1">
      <c r="A41" s="118" t="s">
        <v>383</v>
      </c>
    </row>
    <row r="42" spans="1:1">
      <c r="A42" s="113" t="s">
        <v>384</v>
      </c>
    </row>
    <row r="43" spans="1:1">
      <c r="A43" s="111"/>
    </row>
    <row r="44" spans="1:1">
      <c r="A44" s="112" t="s">
        <v>385</v>
      </c>
    </row>
    <row r="45" spans="1:1">
      <c r="A45" s="111"/>
    </row>
    <row r="46" spans="1:1">
      <c r="A46" s="111"/>
    </row>
    <row r="47" spans="1:1">
      <c r="A47" s="118" t="s">
        <v>386</v>
      </c>
    </row>
    <row r="48" spans="1:1">
      <c r="A48" s="111"/>
    </row>
    <row r="49" spans="1:1">
      <c r="A49" s="112" t="s">
        <v>355</v>
      </c>
    </row>
    <row r="50" spans="1:1">
      <c r="A50" s="111"/>
    </row>
    <row r="51" spans="1:1">
      <c r="A51" s="111"/>
    </row>
    <row r="52" spans="1:1">
      <c r="A52" s="118" t="s">
        <v>387</v>
      </c>
    </row>
    <row r="53" spans="1:1">
      <c r="A53" s="113" t="s">
        <v>388</v>
      </c>
    </row>
    <row r="54" spans="1:1">
      <c r="A54" s="111"/>
    </row>
    <row r="55" spans="1:1">
      <c r="A55" s="112" t="s">
        <v>358</v>
      </c>
    </row>
    <row r="56" spans="1:1">
      <c r="A56" s="111"/>
    </row>
    <row r="57" spans="1:1">
      <c r="A57" s="111"/>
    </row>
    <row r="58" spans="1:1">
      <c r="A58" s="118" t="s">
        <v>389</v>
      </c>
    </row>
    <row r="60" spans="1:1" ht="16.899999999999999">
      <c r="A60" s="110" t="s">
        <v>360</v>
      </c>
    </row>
    <row r="61" spans="1:1">
      <c r="A61" s="111"/>
    </row>
    <row r="62" spans="1:1">
      <c r="A62" s="112" t="s">
        <v>390</v>
      </c>
    </row>
    <row r="64" spans="1:1" ht="15">
      <c r="A64" s="121" t="s">
        <v>349</v>
      </c>
    </row>
    <row r="65" spans="1:1">
      <c r="A65" s="111"/>
    </row>
    <row r="66" spans="1:1">
      <c r="A66" s="112" t="s">
        <v>362</v>
      </c>
    </row>
    <row r="67" spans="1:1">
      <c r="A67" s="111"/>
    </row>
    <row r="68" spans="1:1">
      <c r="A68" s="111"/>
    </row>
    <row r="69" spans="1:1">
      <c r="A69" s="118" t="s">
        <v>391</v>
      </c>
    </row>
    <row r="70" spans="1:1">
      <c r="A70" s="111"/>
    </row>
    <row r="71" spans="1:1">
      <c r="A71" s="112" t="s">
        <v>364</v>
      </c>
    </row>
    <row r="72" spans="1:1">
      <c r="A72" s="111"/>
    </row>
    <row r="73" spans="1:1">
      <c r="A73" s="111"/>
    </row>
    <row r="74" spans="1:1">
      <c r="A74" s="118" t="s">
        <v>392</v>
      </c>
    </row>
    <row r="75" spans="1:1">
      <c r="A75" s="111"/>
    </row>
    <row r="76" spans="1:1">
      <c r="A76" s="112" t="s">
        <v>366</v>
      </c>
    </row>
    <row r="77" spans="1:1">
      <c r="A77" s="111"/>
    </row>
    <row r="78" spans="1:1">
      <c r="A78" s="111"/>
    </row>
    <row r="79" spans="1:1">
      <c r="A79" s="118" t="s">
        <v>393</v>
      </c>
    </row>
    <row r="80" spans="1:1">
      <c r="A80" s="111"/>
    </row>
    <row r="81" spans="1:1">
      <c r="A81" s="112" t="s">
        <v>368</v>
      </c>
    </row>
    <row r="82" spans="1:1">
      <c r="A82" s="111"/>
    </row>
    <row r="83" spans="1:1">
      <c r="A83" s="111"/>
    </row>
    <row r="84" spans="1:1">
      <c r="A84" s="118" t="s">
        <v>394</v>
      </c>
    </row>
    <row r="85" spans="1:1">
      <c r="A85" s="113" t="s">
        <v>395</v>
      </c>
    </row>
    <row r="86" spans="1:1">
      <c r="A86" s="111"/>
    </row>
    <row r="87" spans="1:1">
      <c r="A87" s="112" t="s">
        <v>370</v>
      </c>
    </row>
    <row r="88" spans="1:1">
      <c r="A88" s="111"/>
    </row>
    <row r="89" spans="1:1">
      <c r="A89" s="111"/>
    </row>
    <row r="90" spans="1:1">
      <c r="A90" s="118" t="s">
        <v>396</v>
      </c>
    </row>
    <row r="92" spans="1:1" ht="16.899999999999999">
      <c r="A92" s="110" t="s">
        <v>372</v>
      </c>
    </row>
    <row r="93" spans="1:1">
      <c r="A93" s="111"/>
    </row>
    <row r="94" spans="1:1">
      <c r="A94" s="112" t="s">
        <v>397</v>
      </c>
    </row>
    <row r="95" spans="1:1">
      <c r="A95" s="111"/>
    </row>
    <row r="96" spans="1:1">
      <c r="A96" s="111"/>
    </row>
    <row r="97" spans="1:1">
      <c r="A97" s="118" t="s">
        <v>398</v>
      </c>
    </row>
    <row r="98" spans="1:1">
      <c r="A98" s="111"/>
    </row>
    <row r="99" spans="1:1">
      <c r="A99" s="112" t="s">
        <v>399</v>
      </c>
    </row>
    <row r="100" spans="1:1">
      <c r="A100" s="111"/>
    </row>
    <row r="101" spans="1:1">
      <c r="A101" s="111"/>
    </row>
    <row r="102" spans="1:1">
      <c r="A102" s="118" t="s">
        <v>400</v>
      </c>
    </row>
    <row r="103" spans="1:1">
      <c r="A103" s="111"/>
    </row>
    <row r="104" spans="1:1">
      <c r="A104" s="112" t="s">
        <v>401</v>
      </c>
    </row>
    <row r="105" spans="1:1">
      <c r="A105" s="111"/>
    </row>
    <row r="106" spans="1:1">
      <c r="A106" s="111"/>
    </row>
    <row r="107" spans="1:1">
      <c r="A107" s="118" t="s">
        <v>402</v>
      </c>
    </row>
    <row r="108" spans="1:1">
      <c r="A108" s="111"/>
    </row>
    <row r="109" spans="1:1">
      <c r="A109" s="112" t="s">
        <v>403</v>
      </c>
    </row>
    <row r="110" spans="1:1">
      <c r="A110" s="111"/>
    </row>
    <row r="111" spans="1:1">
      <c r="A111" s="111"/>
    </row>
    <row r="112" spans="1:1">
      <c r="A112" s="118" t="s">
        <v>404</v>
      </c>
    </row>
  </sheetData>
  <mergeCells count="1">
    <mergeCell ref="A1:F1"/>
  </mergeCells>
  <phoneticPr fontId="1"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33A-C00A-4C5F-BDF2-73488BFDBDBB}">
  <dimension ref="A1:F33"/>
  <sheetViews>
    <sheetView workbookViewId="0">
      <selection activeCell="D28" sqref="D28"/>
    </sheetView>
  </sheetViews>
  <sheetFormatPr defaultRowHeight="13.9"/>
  <cols>
    <col min="1" max="1" width="41.06640625" customWidth="1"/>
    <col min="4" max="4" width="14.53125" customWidth="1"/>
  </cols>
  <sheetData>
    <row r="1" spans="1:6">
      <c r="A1" s="131" t="s">
        <v>189</v>
      </c>
      <c r="B1" s="129"/>
      <c r="C1" s="129"/>
      <c r="D1" s="129"/>
      <c r="E1" s="129"/>
      <c r="F1" s="129"/>
    </row>
    <row r="2" spans="1:6">
      <c r="A2" s="68"/>
      <c r="B2" s="69">
        <v>2019</v>
      </c>
      <c r="C2" s="69">
        <v>2020</v>
      </c>
      <c r="D2" s="69">
        <v>2021</v>
      </c>
      <c r="E2" s="69">
        <v>2022</v>
      </c>
      <c r="F2" s="69">
        <v>2023</v>
      </c>
    </row>
    <row r="3" spans="1:6" ht="13.9" customHeight="1">
      <c r="A3" s="134" t="s">
        <v>190</v>
      </c>
      <c r="B3" s="134"/>
      <c r="C3" s="134"/>
      <c r="D3" s="134"/>
      <c r="E3" s="134"/>
      <c r="F3" s="134"/>
    </row>
    <row r="4" spans="1:6">
      <c r="A4" s="70" t="s">
        <v>146</v>
      </c>
      <c r="B4" s="74" t="s">
        <v>161</v>
      </c>
      <c r="C4" s="74" t="s">
        <v>161</v>
      </c>
      <c r="D4" s="74" t="s">
        <v>161</v>
      </c>
      <c r="E4" s="74" t="s">
        <v>161</v>
      </c>
      <c r="F4" s="74" t="s">
        <v>161</v>
      </c>
    </row>
    <row r="5" spans="1:6">
      <c r="A5" s="70" t="s">
        <v>80</v>
      </c>
      <c r="B5" s="74">
        <v>448.5</v>
      </c>
      <c r="C5" s="74">
        <v>490.8</v>
      </c>
      <c r="D5" s="74">
        <v>471</v>
      </c>
      <c r="E5" s="74">
        <v>583.6</v>
      </c>
      <c r="F5" s="74">
        <v>739.8</v>
      </c>
    </row>
    <row r="6" spans="1:6">
      <c r="A6" s="70" t="s">
        <v>79</v>
      </c>
      <c r="B6" s="74">
        <v>-236.8</v>
      </c>
      <c r="C6" s="74">
        <v>-211.3</v>
      </c>
      <c r="D6" s="74">
        <v>-419.6</v>
      </c>
      <c r="E6" s="74">
        <v>-564.20000000000005</v>
      </c>
      <c r="F6" s="74">
        <v>-133.6</v>
      </c>
    </row>
    <row r="7" spans="1:6">
      <c r="A7" s="70" t="s">
        <v>77</v>
      </c>
      <c r="B7" s="74">
        <v>-350.3</v>
      </c>
      <c r="C7" s="74">
        <v>-617.9</v>
      </c>
      <c r="D7" s="71">
        <v>-1212.5999999999999</v>
      </c>
      <c r="E7" s="71">
        <v>-2125.8000000000002</v>
      </c>
      <c r="F7" s="74">
        <v>871.3</v>
      </c>
    </row>
    <row r="8" spans="1:6">
      <c r="A8" s="70" t="s">
        <v>148</v>
      </c>
      <c r="B8" s="74">
        <v>-404.7</v>
      </c>
      <c r="C8" s="74">
        <v>-706.7</v>
      </c>
      <c r="D8" s="74">
        <v>-483.2</v>
      </c>
      <c r="E8" s="71">
        <v>-2080.9</v>
      </c>
      <c r="F8" s="71">
        <v>-1646.9</v>
      </c>
    </row>
    <row r="9" spans="1:6">
      <c r="A9" s="70" t="s">
        <v>191</v>
      </c>
      <c r="B9" s="74">
        <v>-12.1</v>
      </c>
      <c r="C9" s="74">
        <v>334.3</v>
      </c>
      <c r="D9" s="74">
        <v>718.6</v>
      </c>
      <c r="E9" s="74">
        <v>406.2</v>
      </c>
      <c r="F9" s="74">
        <v>-261.7</v>
      </c>
    </row>
    <row r="10" spans="1:6">
      <c r="A10" s="70" t="s">
        <v>192</v>
      </c>
      <c r="B10" s="74">
        <v>878.7</v>
      </c>
      <c r="C10" s="71">
        <v>1521.9</v>
      </c>
      <c r="D10" s="71">
        <v>5869.6</v>
      </c>
      <c r="E10" s="71">
        <v>6241.7</v>
      </c>
      <c r="F10" s="71">
        <v>-2626.3</v>
      </c>
    </row>
    <row r="11" spans="1:6">
      <c r="A11" s="70" t="s">
        <v>193</v>
      </c>
      <c r="B11" s="71">
        <v>2953.1</v>
      </c>
      <c r="C11" s="71">
        <v>3816.5</v>
      </c>
      <c r="D11" s="71">
        <v>5902</v>
      </c>
      <c r="E11" s="71">
        <v>6026.2</v>
      </c>
      <c r="F11" s="71">
        <v>8500.7999999999993</v>
      </c>
    </row>
    <row r="12" spans="1:6" ht="14.25" thickBot="1">
      <c r="A12" s="72" t="s">
        <v>75</v>
      </c>
      <c r="B12" s="73">
        <v>3276.4</v>
      </c>
      <c r="C12" s="73">
        <v>4627.6000000000004</v>
      </c>
      <c r="D12" s="73">
        <v>10845.8</v>
      </c>
      <c r="E12" s="73">
        <v>8486.7999999999993</v>
      </c>
      <c r="F12" s="73">
        <v>5443.4</v>
      </c>
    </row>
    <row r="13" spans="1:6" ht="13.9" customHeight="1">
      <c r="A13" s="135" t="s">
        <v>194</v>
      </c>
      <c r="B13" s="135"/>
      <c r="C13" s="135"/>
      <c r="D13" s="135"/>
      <c r="E13" s="135"/>
      <c r="F13" s="135"/>
    </row>
    <row r="14" spans="1:6">
      <c r="A14" s="70" t="s">
        <v>195</v>
      </c>
      <c r="B14" s="74">
        <v>-766.6</v>
      </c>
      <c r="C14" s="74">
        <v>-962</v>
      </c>
      <c r="D14" s="74">
        <v>-900.7</v>
      </c>
      <c r="E14" s="71">
        <v>-1281.8</v>
      </c>
      <c r="F14" s="71">
        <v>-2155.6</v>
      </c>
    </row>
    <row r="15" spans="1:6">
      <c r="A15" s="70" t="s">
        <v>196</v>
      </c>
      <c r="B15" s="74" t="s">
        <v>161</v>
      </c>
      <c r="C15" s="74">
        <v>-222.8</v>
      </c>
      <c r="D15" s="74">
        <v>329</v>
      </c>
      <c r="E15" s="74">
        <v>0</v>
      </c>
      <c r="F15" s="74">
        <v>-33.6</v>
      </c>
    </row>
    <row r="16" spans="1:6">
      <c r="A16" s="70" t="s">
        <v>197</v>
      </c>
      <c r="B16" s="71">
        <v>-1291.5</v>
      </c>
      <c r="C16" s="71">
        <v>-1475.5</v>
      </c>
      <c r="D16" s="71">
        <v>-1162.7</v>
      </c>
      <c r="E16" s="74">
        <v>-334.3</v>
      </c>
      <c r="F16" s="74">
        <v>-23.6</v>
      </c>
    </row>
    <row r="17" spans="1:6">
      <c r="A17" s="70" t="s">
        <v>198</v>
      </c>
      <c r="B17" s="71">
        <v>1019</v>
      </c>
      <c r="C17" s="71">
        <v>1359.1</v>
      </c>
      <c r="D17" s="71">
        <v>1826.4</v>
      </c>
      <c r="E17" s="74">
        <v>864.7</v>
      </c>
      <c r="F17" s="74">
        <v>125.6</v>
      </c>
    </row>
    <row r="18" spans="1:6">
      <c r="A18" s="70" t="s">
        <v>199</v>
      </c>
      <c r="B18" s="74">
        <v>-119.3</v>
      </c>
      <c r="C18" s="74">
        <v>-38.799999999999997</v>
      </c>
      <c r="D18" s="74">
        <v>-39.6</v>
      </c>
      <c r="E18" s="74">
        <v>-37.5</v>
      </c>
      <c r="F18" s="74">
        <v>-40.6</v>
      </c>
    </row>
    <row r="19" spans="1:6">
      <c r="A19" s="70" t="s">
        <v>200</v>
      </c>
      <c r="B19" s="74">
        <v>0.9</v>
      </c>
      <c r="C19" s="74">
        <v>-12.2</v>
      </c>
      <c r="D19" s="74">
        <v>-124.4</v>
      </c>
      <c r="E19" s="74">
        <v>-240</v>
      </c>
      <c r="F19" s="74">
        <v>-561.5</v>
      </c>
    </row>
    <row r="20" spans="1:6" ht="14.25" thickBot="1">
      <c r="A20" s="72" t="s">
        <v>201</v>
      </c>
      <c r="B20" s="73">
        <v>-1157.5</v>
      </c>
      <c r="C20" s="73">
        <v>-1352.2</v>
      </c>
      <c r="D20" s="76">
        <v>-72</v>
      </c>
      <c r="E20" s="73">
        <v>-1028.9000000000001</v>
      </c>
      <c r="F20" s="73">
        <v>-2689.3</v>
      </c>
    </row>
    <row r="21" spans="1:6" ht="13.9" customHeight="1">
      <c r="A21" s="135" t="s">
        <v>202</v>
      </c>
      <c r="B21" s="135"/>
      <c r="C21" s="135"/>
      <c r="D21" s="135"/>
      <c r="E21" s="135"/>
      <c r="F21" s="135"/>
    </row>
    <row r="22" spans="1:6">
      <c r="A22" s="70" t="s">
        <v>203</v>
      </c>
      <c r="B22" s="74">
        <v>-382.8</v>
      </c>
      <c r="C22" s="71">
        <v>-1169.5999999999999</v>
      </c>
      <c r="D22" s="71">
        <v>-8511.2999999999993</v>
      </c>
      <c r="E22" s="71">
        <v>-4557.8999999999996</v>
      </c>
      <c r="F22" s="74">
        <v>-900.6</v>
      </c>
    </row>
    <row r="23" spans="1:6">
      <c r="A23" s="70" t="s">
        <v>204</v>
      </c>
      <c r="B23" s="71">
        <v>-1325.7</v>
      </c>
      <c r="C23" s="71">
        <v>-1066.4000000000001</v>
      </c>
      <c r="D23" s="71">
        <v>-1368.3</v>
      </c>
      <c r="E23" s="71">
        <v>-2559.8000000000002</v>
      </c>
      <c r="F23" s="71">
        <v>-2348.3000000000002</v>
      </c>
    </row>
    <row r="24" spans="1:6">
      <c r="A24" s="70" t="s">
        <v>205</v>
      </c>
      <c r="B24" s="74">
        <v>-3.8</v>
      </c>
      <c r="C24" s="71">
        <v>1483</v>
      </c>
      <c r="D24" s="74">
        <v>-12.1</v>
      </c>
      <c r="E24" s="74">
        <v>-20.6</v>
      </c>
      <c r="F24" s="74">
        <v>245</v>
      </c>
    </row>
    <row r="25" spans="1:6" ht="28.15" thickBot="1">
      <c r="A25" s="72" t="s">
        <v>206</v>
      </c>
      <c r="B25" s="73">
        <v>-1712.3</v>
      </c>
      <c r="C25" s="76">
        <v>-753</v>
      </c>
      <c r="D25" s="73">
        <v>-9891.7000000000007</v>
      </c>
      <c r="E25" s="73">
        <v>-7138.3</v>
      </c>
      <c r="F25" s="73">
        <v>-3003.9</v>
      </c>
    </row>
    <row r="26" spans="1:6">
      <c r="A26" s="70" t="s">
        <v>207</v>
      </c>
      <c r="B26" s="74">
        <v>406.6</v>
      </c>
      <c r="C26" s="71">
        <v>2522.4</v>
      </c>
      <c r="D26" s="74">
        <v>882.1</v>
      </c>
      <c r="E26" s="74">
        <v>319.60000000000002</v>
      </c>
      <c r="F26" s="74">
        <v>-249.8</v>
      </c>
    </row>
    <row r="27" spans="1:6">
      <c r="A27" s="70" t="s">
        <v>208</v>
      </c>
      <c r="B27" s="71">
        <v>3121.1</v>
      </c>
      <c r="C27" s="71">
        <v>3532.3</v>
      </c>
      <c r="D27" s="71">
        <v>6049.4</v>
      </c>
      <c r="E27" s="71">
        <v>6951.8</v>
      </c>
      <c r="F27" s="71">
        <v>7268.3</v>
      </c>
    </row>
    <row r="28" spans="1:6" s="8" customFormat="1">
      <c r="A28" s="68" t="s">
        <v>209</v>
      </c>
      <c r="B28" s="79">
        <f>SUM(B26:B27)</f>
        <v>3527.7</v>
      </c>
      <c r="C28" s="79">
        <f t="shared" ref="C28:F28" si="0">SUM(C26:C27)</f>
        <v>6054.7000000000007</v>
      </c>
      <c r="D28" s="79">
        <f t="shared" si="0"/>
        <v>6931.5</v>
      </c>
      <c r="E28" s="79">
        <f t="shared" si="0"/>
        <v>7271.4000000000005</v>
      </c>
      <c r="F28" s="79">
        <f t="shared" si="0"/>
        <v>7018.5</v>
      </c>
    </row>
    <row r="29" spans="1:6" ht="13.9" customHeight="1">
      <c r="A29" s="134" t="s">
        <v>210</v>
      </c>
      <c r="B29" s="134"/>
      <c r="C29" s="134"/>
      <c r="D29" s="134"/>
      <c r="E29" s="134"/>
      <c r="F29" s="134"/>
    </row>
    <row r="30" spans="1:6">
      <c r="A30" s="70" t="s">
        <v>141</v>
      </c>
      <c r="B30" s="71">
        <v>3276.4</v>
      </c>
      <c r="C30" s="71">
        <v>4627.6000000000004</v>
      </c>
      <c r="D30" s="71">
        <v>10845.8</v>
      </c>
      <c r="E30" s="71">
        <v>8486.7999999999993</v>
      </c>
      <c r="F30" s="71">
        <v>5443.4</v>
      </c>
    </row>
    <row r="31" spans="1:6">
      <c r="A31" s="70" t="s">
        <v>153</v>
      </c>
      <c r="B31" s="74">
        <v>-885.9</v>
      </c>
      <c r="C31" s="71">
        <v>-1000.8</v>
      </c>
      <c r="D31" s="74">
        <v>-940.3</v>
      </c>
      <c r="E31" s="71">
        <v>-1319.3</v>
      </c>
      <c r="F31" s="71">
        <v>-2196.1999999999998</v>
      </c>
    </row>
    <row r="32" spans="1:6" s="8" customFormat="1">
      <c r="A32" s="68" t="s">
        <v>154</v>
      </c>
      <c r="B32" s="79">
        <v>2390.5</v>
      </c>
      <c r="C32" s="79">
        <v>3626.8</v>
      </c>
      <c r="D32" s="79">
        <v>9905.5</v>
      </c>
      <c r="E32" s="79">
        <v>7167.5</v>
      </c>
      <c r="F32" s="79">
        <v>3247.2</v>
      </c>
    </row>
    <row r="33" spans="1:1">
      <c r="A33" s="75" t="s">
        <v>188</v>
      </c>
    </row>
  </sheetData>
  <mergeCells count="5">
    <mergeCell ref="A1:F1"/>
    <mergeCell ref="A3:F3"/>
    <mergeCell ref="A13:F13"/>
    <mergeCell ref="A21:F21"/>
    <mergeCell ref="A29:F29"/>
  </mergeCells>
  <phoneticPr fontId="1" type="noConversion"/>
  <pageMargins left="0.75" right="0.75" top="1" bottom="1" header="0.5" footer="0.5"/>
  <ignoredErrors>
    <ignoredError sqref="B28:F28"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AFA4-6784-4553-A7A7-A1B7B74124C9}">
  <dimension ref="A1:F22"/>
  <sheetViews>
    <sheetView workbookViewId="0">
      <selection activeCell="F14" sqref="F14"/>
    </sheetView>
  </sheetViews>
  <sheetFormatPr defaultRowHeight="13.9"/>
  <cols>
    <col min="1" max="1" width="36.6640625" customWidth="1"/>
    <col min="2" max="2" width="12.06640625" customWidth="1"/>
    <col min="3" max="3" width="11.19921875" customWidth="1"/>
    <col min="4" max="4" width="11.59765625" customWidth="1"/>
    <col min="5" max="5" width="12.6640625" customWidth="1"/>
    <col min="6" max="6" width="13.06640625" customWidth="1"/>
  </cols>
  <sheetData>
    <row r="1" spans="1:6">
      <c r="A1" s="131" t="s">
        <v>211</v>
      </c>
      <c r="B1" s="129"/>
      <c r="C1" s="129"/>
      <c r="D1" s="129"/>
      <c r="E1" s="129"/>
      <c r="F1" s="129"/>
    </row>
    <row r="2" spans="1:6">
      <c r="A2" s="68"/>
      <c r="B2" s="69">
        <v>2019</v>
      </c>
      <c r="C2" s="69">
        <v>2020</v>
      </c>
      <c r="D2" s="69">
        <v>2021</v>
      </c>
      <c r="E2" s="69">
        <v>2022</v>
      </c>
      <c r="F2" s="69">
        <v>2023</v>
      </c>
    </row>
    <row r="3" spans="1:6">
      <c r="A3" s="70" t="s">
        <v>52</v>
      </c>
      <c r="B3" s="71">
        <v>11820</v>
      </c>
      <c r="C3" s="71">
        <v>13978.5</v>
      </c>
      <c r="D3" s="71">
        <v>18611</v>
      </c>
      <c r="E3" s="71">
        <v>21173.4</v>
      </c>
      <c r="F3" s="71">
        <v>27558.5</v>
      </c>
    </row>
    <row r="4" spans="1:6">
      <c r="A4" s="70" t="s">
        <v>177</v>
      </c>
      <c r="B4" s="71">
        <v>6540.2</v>
      </c>
      <c r="C4" s="71">
        <v>7181.3</v>
      </c>
      <c r="D4" s="71">
        <v>8802</v>
      </c>
      <c r="E4" s="71">
        <v>10473.299999999999</v>
      </c>
      <c r="F4" s="71">
        <v>13422.4</v>
      </c>
    </row>
    <row r="5" spans="1:6" ht="14.25" thickBot="1">
      <c r="A5" s="72" t="s">
        <v>178</v>
      </c>
      <c r="B5" s="73">
        <v>5279.8</v>
      </c>
      <c r="C5" s="73">
        <v>6797.2</v>
      </c>
      <c r="D5" s="73">
        <v>9809</v>
      </c>
      <c r="E5" s="73">
        <v>10700.1</v>
      </c>
      <c r="F5" s="73">
        <v>14136.1</v>
      </c>
    </row>
    <row r="6" spans="1:6">
      <c r="A6" s="133" t="s">
        <v>179</v>
      </c>
      <c r="B6" s="133"/>
      <c r="C6" s="133"/>
      <c r="D6" s="133"/>
      <c r="E6" s="133"/>
      <c r="F6" s="133"/>
    </row>
    <row r="7" spans="1:6">
      <c r="A7" s="70" t="s">
        <v>49</v>
      </c>
      <c r="B7" s="71">
        <v>1968.5</v>
      </c>
      <c r="C7" s="71">
        <v>2200.8000000000002</v>
      </c>
      <c r="D7" s="71">
        <v>2547</v>
      </c>
      <c r="E7" s="71">
        <v>3253.5</v>
      </c>
      <c r="F7" s="71">
        <v>3980.6</v>
      </c>
    </row>
    <row r="8" spans="1:6">
      <c r="A8" s="70" t="s">
        <v>48</v>
      </c>
      <c r="B8" s="74">
        <v>520.5</v>
      </c>
      <c r="C8" s="74">
        <v>544.9</v>
      </c>
      <c r="D8" s="74">
        <v>725.6</v>
      </c>
      <c r="E8" s="74">
        <v>945.9</v>
      </c>
      <c r="F8" s="71">
        <v>1113.2</v>
      </c>
    </row>
    <row r="9" spans="1:6">
      <c r="A9" s="70" t="s">
        <v>80</v>
      </c>
      <c r="B9" s="74" t="s">
        <v>161</v>
      </c>
      <c r="C9" s="74" t="s">
        <v>161</v>
      </c>
      <c r="D9" s="74" t="s">
        <v>161</v>
      </c>
      <c r="E9" s="74" t="s">
        <v>161</v>
      </c>
      <c r="F9" s="74" t="s">
        <v>161</v>
      </c>
    </row>
    <row r="10" spans="1:6">
      <c r="A10" s="70" t="s">
        <v>145</v>
      </c>
      <c r="B10" s="74">
        <v>0</v>
      </c>
      <c r="C10" s="74">
        <v>0</v>
      </c>
      <c r="D10" s="74">
        <v>0</v>
      </c>
      <c r="E10" s="74">
        <v>0</v>
      </c>
      <c r="F10" s="74">
        <v>0</v>
      </c>
    </row>
    <row r="11" spans="1:6" s="8" customFormat="1">
      <c r="A11" s="68" t="s">
        <v>181</v>
      </c>
      <c r="B11" s="79">
        <v>2489</v>
      </c>
      <c r="C11" s="79">
        <v>2745.7</v>
      </c>
      <c r="D11" s="79">
        <v>3272.6</v>
      </c>
      <c r="E11" s="79">
        <v>4199.3999999999996</v>
      </c>
      <c r="F11" s="79">
        <v>5093.8</v>
      </c>
    </row>
    <row r="12" spans="1:6" ht="28.15" thickBot="1">
      <c r="A12" s="72" t="s">
        <v>223</v>
      </c>
      <c r="B12" s="73">
        <v>2790.8</v>
      </c>
      <c r="C12" s="73">
        <v>4051.5</v>
      </c>
      <c r="D12" s="73">
        <v>6536.4</v>
      </c>
      <c r="E12" s="73">
        <v>6500.7</v>
      </c>
      <c r="F12" s="73">
        <v>9042.2999999999993</v>
      </c>
    </row>
    <row r="13" spans="1:6">
      <c r="A13" s="70" t="s">
        <v>182</v>
      </c>
      <c r="B13" s="74">
        <v>6.8</v>
      </c>
      <c r="C13" s="74">
        <v>53.7</v>
      </c>
      <c r="D13" s="74">
        <v>154.5</v>
      </c>
      <c r="E13" s="74">
        <v>93.4</v>
      </c>
      <c r="F13" s="74">
        <v>232.5</v>
      </c>
    </row>
    <row r="14" spans="1:6">
      <c r="A14" s="70" t="s">
        <v>224</v>
      </c>
      <c r="B14" s="74">
        <v>0</v>
      </c>
      <c r="C14" s="74">
        <v>0</v>
      </c>
      <c r="D14" s="74">
        <v>213.7</v>
      </c>
      <c r="E14" s="74">
        <v>0</v>
      </c>
      <c r="F14" s="74">
        <v>0</v>
      </c>
    </row>
    <row r="15" spans="1:6" s="8" customFormat="1">
      <c r="A15" s="68" t="s">
        <v>222</v>
      </c>
      <c r="B15" s="79">
        <f>SUM(B16:B17)</f>
        <v>2784</v>
      </c>
      <c r="C15" s="79">
        <f t="shared" ref="C15:F15" si="0">SUM(C16:C17)</f>
        <v>4105.2</v>
      </c>
      <c r="D15" s="79">
        <f t="shared" si="0"/>
        <v>6904.5999999999995</v>
      </c>
      <c r="E15" s="79">
        <f t="shared" si="0"/>
        <v>6594.0999999999995</v>
      </c>
      <c r="F15" s="79">
        <f t="shared" si="0"/>
        <v>9274.7999999999993</v>
      </c>
    </row>
    <row r="16" spans="1:6">
      <c r="A16" s="70" t="s">
        <v>183</v>
      </c>
      <c r="B16" s="74">
        <v>191.7</v>
      </c>
      <c r="C16" s="74">
        <v>551.5</v>
      </c>
      <c r="D16" s="71">
        <v>1021.4</v>
      </c>
      <c r="E16" s="74">
        <v>969.9</v>
      </c>
      <c r="F16" s="71">
        <v>1435.8</v>
      </c>
    </row>
    <row r="17" spans="1:6" ht="16.899999999999999" thickBot="1">
      <c r="A17" s="72" t="s">
        <v>146</v>
      </c>
      <c r="B17" s="104">
        <v>2592.3000000000002</v>
      </c>
      <c r="C17" s="104">
        <v>3553.7</v>
      </c>
      <c r="D17" s="104">
        <v>5883.2</v>
      </c>
      <c r="E17" s="104">
        <v>5624.2</v>
      </c>
      <c r="F17" s="105">
        <v>7839</v>
      </c>
    </row>
    <row r="18" spans="1:6" ht="27.4">
      <c r="A18" s="70" t="s">
        <v>184</v>
      </c>
      <c r="B18" s="71">
        <v>2592.3000000000002</v>
      </c>
      <c r="C18" s="71">
        <v>3553.7</v>
      </c>
      <c r="D18" s="71">
        <v>5883.2</v>
      </c>
      <c r="E18" s="71">
        <v>5624.2</v>
      </c>
      <c r="F18" s="71">
        <v>7839</v>
      </c>
    </row>
    <row r="19" spans="1:6" ht="13.9" customHeight="1">
      <c r="A19" s="134" t="s">
        <v>185</v>
      </c>
      <c r="B19" s="134"/>
      <c r="C19" s="134"/>
      <c r="D19" s="134"/>
      <c r="E19" s="134"/>
      <c r="F19" s="134"/>
    </row>
    <row r="20" spans="1:6">
      <c r="A20" s="70" t="s">
        <v>186</v>
      </c>
      <c r="B20" s="74">
        <v>6.16</v>
      </c>
      <c r="C20" s="74">
        <v>8.49</v>
      </c>
      <c r="D20" s="74">
        <v>14.36</v>
      </c>
      <c r="E20" s="74">
        <v>14.14</v>
      </c>
      <c r="F20" s="74">
        <v>19.91</v>
      </c>
    </row>
    <row r="21" spans="1:6">
      <c r="A21" s="70" t="s">
        <v>187</v>
      </c>
      <c r="B21" s="74">
        <v>6.15</v>
      </c>
      <c r="C21" s="74">
        <v>8.48</v>
      </c>
      <c r="D21" s="74">
        <v>14.34</v>
      </c>
      <c r="E21" s="74">
        <v>14.13</v>
      </c>
      <c r="F21" s="74">
        <v>19.91</v>
      </c>
    </row>
    <row r="22" spans="1:6">
      <c r="A22" s="75"/>
    </row>
  </sheetData>
  <mergeCells count="3">
    <mergeCell ref="A1:F1"/>
    <mergeCell ref="A6:F6"/>
    <mergeCell ref="A19:F19"/>
  </mergeCells>
  <phoneticPr fontId="1" type="noConversion"/>
  <pageMargins left="0.75" right="0.75" top="1" bottom="1" header="0.5" footer="0.5"/>
  <ignoredErrors>
    <ignoredError sqref="B15:F15"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9EAA9-D099-485F-A91E-A9CAFEF202FE}">
  <dimension ref="B4"/>
  <sheetViews>
    <sheetView tabSelected="1" workbookViewId="0">
      <selection activeCell="B4" sqref="B4"/>
    </sheetView>
  </sheetViews>
  <sheetFormatPr defaultRowHeight="13.9"/>
  <cols>
    <col min="2" max="2" width="45.6640625" customWidth="1"/>
  </cols>
  <sheetData>
    <row r="4" spans="2:2" ht="166.5">
      <c r="B4" s="137" t="s">
        <v>406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48"/>
  <sheetViews>
    <sheetView zoomScale="76" workbookViewId="0">
      <selection activeCell="B47" sqref="B47"/>
    </sheetView>
  </sheetViews>
  <sheetFormatPr defaultRowHeight="13.9"/>
  <cols>
    <col min="2" max="2" width="21.59765625" customWidth="1"/>
    <col min="3" max="3" width="15.265625" customWidth="1"/>
    <col min="4" max="4" width="15.59765625" customWidth="1"/>
    <col min="5" max="5" width="14.6640625" customWidth="1"/>
    <col min="6" max="6" width="14" customWidth="1"/>
    <col min="7" max="7" width="13.6640625" customWidth="1"/>
    <col min="8" max="8" width="15.33203125" customWidth="1"/>
    <col min="9" max="9" width="13.73046875" customWidth="1"/>
    <col min="10" max="10" width="12.3984375" customWidth="1"/>
    <col min="11" max="11" width="12" customWidth="1"/>
    <col min="12" max="12" width="12.06640625" customWidth="1"/>
    <col min="13" max="13" width="12.9296875" customWidth="1"/>
  </cols>
  <sheetData>
    <row r="3" spans="2:17" ht="16.899999999999999">
      <c r="B3" s="106" t="s">
        <v>232</v>
      </c>
      <c r="C3" s="106">
        <v>2013</v>
      </c>
      <c r="D3" s="106">
        <v>2014</v>
      </c>
      <c r="E3" s="106">
        <v>2015</v>
      </c>
      <c r="F3" s="106">
        <v>2016</v>
      </c>
      <c r="G3" s="106">
        <v>2017</v>
      </c>
      <c r="H3" s="106">
        <v>2018</v>
      </c>
      <c r="I3" s="106">
        <v>2019</v>
      </c>
      <c r="J3" s="106">
        <v>2020</v>
      </c>
      <c r="K3" s="106">
        <v>2021</v>
      </c>
      <c r="L3" s="106">
        <v>2022</v>
      </c>
      <c r="M3" s="106">
        <v>2023</v>
      </c>
      <c r="Q3" s="110" t="s">
        <v>233</v>
      </c>
    </row>
    <row r="4" spans="2:17">
      <c r="B4" s="108" t="s">
        <v>141</v>
      </c>
      <c r="C4" s="107">
        <v>1.17</v>
      </c>
      <c r="D4" s="107">
        <v>1.2</v>
      </c>
      <c r="E4" s="107">
        <v>0.92</v>
      </c>
      <c r="F4" s="107">
        <v>1.2</v>
      </c>
      <c r="G4" s="107">
        <v>1.67</v>
      </c>
      <c r="H4" s="107">
        <v>3.14</v>
      </c>
      <c r="I4" s="107">
        <v>3.14</v>
      </c>
      <c r="J4" s="107">
        <v>4.76</v>
      </c>
      <c r="K4" s="107">
        <v>5.82</v>
      </c>
      <c r="L4" s="107">
        <v>9.11</v>
      </c>
      <c r="M4" s="107">
        <v>5.64</v>
      </c>
      <c r="Q4" s="111"/>
    </row>
    <row r="5" spans="2:17">
      <c r="B5" s="108" t="s">
        <v>142</v>
      </c>
      <c r="C5" s="107">
        <v>-0.83</v>
      </c>
      <c r="D5" s="107">
        <v>-0.55000000000000004</v>
      </c>
      <c r="E5" s="107">
        <v>-0.3</v>
      </c>
      <c r="F5" s="107">
        <v>-0.57999999999999996</v>
      </c>
      <c r="G5" s="107">
        <v>-0.74</v>
      </c>
      <c r="H5" s="107">
        <v>-1.41</v>
      </c>
      <c r="I5" s="107">
        <v>-3.47</v>
      </c>
      <c r="J5" s="107">
        <v>6.15</v>
      </c>
      <c r="K5" s="107">
        <v>-19.68</v>
      </c>
      <c r="L5" s="107">
        <v>-9.83</v>
      </c>
      <c r="M5" s="107">
        <v>7.38</v>
      </c>
      <c r="Q5" s="112" t="s">
        <v>234</v>
      </c>
    </row>
    <row r="6" spans="2:17">
      <c r="B6" s="108" t="s">
        <v>143</v>
      </c>
      <c r="C6" s="107">
        <v>-0.2</v>
      </c>
      <c r="D6" s="107">
        <v>-0.46</v>
      </c>
      <c r="E6" s="107">
        <v>-0.62</v>
      </c>
      <c r="F6" s="107">
        <v>-0.8</v>
      </c>
      <c r="G6" s="107">
        <v>-1</v>
      </c>
      <c r="H6" s="107">
        <v>-1.25</v>
      </c>
      <c r="I6" s="107">
        <v>-1.58</v>
      </c>
      <c r="J6" s="107">
        <v>-0.79</v>
      </c>
      <c r="K6" s="107">
        <v>3.8</v>
      </c>
      <c r="L6" s="107">
        <v>1.87</v>
      </c>
      <c r="M6" s="107">
        <v>-11.62</v>
      </c>
      <c r="Q6" s="112" t="s">
        <v>235</v>
      </c>
    </row>
    <row r="7" spans="2:17">
      <c r="Q7" s="112" t="s">
        <v>236</v>
      </c>
    </row>
    <row r="8" spans="2:17">
      <c r="B8" s="106" t="s">
        <v>230</v>
      </c>
      <c r="C8" s="106">
        <v>2013</v>
      </c>
      <c r="D8" s="106">
        <v>2014</v>
      </c>
      <c r="E8" s="106">
        <v>2015</v>
      </c>
      <c r="F8" s="106">
        <v>2016</v>
      </c>
      <c r="G8" s="106">
        <v>2017</v>
      </c>
      <c r="H8" s="106">
        <v>2018</v>
      </c>
      <c r="I8" s="106">
        <v>2019</v>
      </c>
      <c r="J8" s="106">
        <v>2020</v>
      </c>
      <c r="K8" s="106">
        <v>2021</v>
      </c>
      <c r="L8" s="106">
        <v>2022</v>
      </c>
      <c r="M8" s="106">
        <v>2023</v>
      </c>
    </row>
    <row r="9" spans="2:17" ht="16.899999999999999">
      <c r="B9" s="108" t="s">
        <v>141</v>
      </c>
      <c r="C9" s="109">
        <v>243.6</v>
      </c>
      <c r="D9" s="109">
        <v>304.8</v>
      </c>
      <c r="E9" s="109">
        <v>358.2</v>
      </c>
      <c r="F9" s="109">
        <v>436.5</v>
      </c>
      <c r="G9" s="109">
        <v>518.4</v>
      </c>
      <c r="H9" s="109">
        <v>585</v>
      </c>
      <c r="I9" s="109">
        <v>648.29999999999995</v>
      </c>
      <c r="J9" s="109">
        <v>838.5</v>
      </c>
      <c r="K9" s="109">
        <v>1067.7</v>
      </c>
      <c r="L9" s="109">
        <v>1257</v>
      </c>
      <c r="M9" s="109">
        <v>1404</v>
      </c>
      <c r="Q9" s="110" t="s">
        <v>237</v>
      </c>
    </row>
    <row r="10" spans="2:17">
      <c r="B10" s="108" t="s">
        <v>142</v>
      </c>
      <c r="C10" s="109">
        <v>-273.60000000000002</v>
      </c>
      <c r="D10" s="109">
        <v>-298.8</v>
      </c>
      <c r="E10" s="109">
        <v>-297.60000000000002</v>
      </c>
      <c r="F10" s="109">
        <v>-304.5</v>
      </c>
      <c r="G10" s="109">
        <v>-322.2</v>
      </c>
      <c r="H10" s="109">
        <v>-322.2</v>
      </c>
      <c r="I10" s="109">
        <v>-465</v>
      </c>
      <c r="J10" s="109">
        <v>-885</v>
      </c>
      <c r="K10" s="109">
        <v>-1287</v>
      </c>
      <c r="L10" s="109">
        <v>-1137</v>
      </c>
      <c r="M10" s="109">
        <v>-684</v>
      </c>
      <c r="Q10" s="111"/>
    </row>
    <row r="11" spans="2:17">
      <c r="B11" s="108" t="s">
        <v>143</v>
      </c>
      <c r="C11" s="109">
        <v>30.6</v>
      </c>
      <c r="D11" s="109">
        <v>-6</v>
      </c>
      <c r="E11" s="109">
        <v>-60.6</v>
      </c>
      <c r="F11" s="109">
        <v>-132</v>
      </c>
      <c r="G11" s="109">
        <v>-196.2</v>
      </c>
      <c r="H11" s="109">
        <v>-262.8</v>
      </c>
      <c r="I11" s="109">
        <v>-195</v>
      </c>
      <c r="J11" s="109">
        <v>144</v>
      </c>
      <c r="K11" s="109">
        <v>87</v>
      </c>
      <c r="L11" s="109">
        <v>-189</v>
      </c>
      <c r="M11" s="109">
        <v>-300</v>
      </c>
      <c r="Q11" s="112" t="s">
        <v>238</v>
      </c>
    </row>
    <row r="12" spans="2:17">
      <c r="Q12" s="112" t="s">
        <v>239</v>
      </c>
    </row>
    <row r="13" spans="2:17">
      <c r="B13" s="106" t="s">
        <v>231</v>
      </c>
      <c r="C13" s="106">
        <v>2013</v>
      </c>
      <c r="D13" s="106">
        <v>2014</v>
      </c>
      <c r="E13" s="106">
        <v>2015</v>
      </c>
      <c r="F13" s="106">
        <v>2016</v>
      </c>
      <c r="G13" s="106">
        <v>2017</v>
      </c>
      <c r="H13" s="106">
        <v>2018</v>
      </c>
      <c r="I13" s="106">
        <v>2019</v>
      </c>
      <c r="J13" s="106">
        <v>2020</v>
      </c>
      <c r="K13" s="106">
        <v>2021</v>
      </c>
      <c r="L13" s="106">
        <v>2022</v>
      </c>
      <c r="M13" s="106">
        <v>2023</v>
      </c>
      <c r="Q13" s="112" t="s">
        <v>240</v>
      </c>
    </row>
    <row r="14" spans="2:17">
      <c r="B14" s="108" t="s">
        <v>141</v>
      </c>
      <c r="C14" s="107">
        <v>1.1200000000000001</v>
      </c>
      <c r="D14" s="107">
        <v>0.89</v>
      </c>
      <c r="E14" s="107">
        <v>1.84</v>
      </c>
      <c r="F14" s="107">
        <v>1.49</v>
      </c>
      <c r="G14" s="107">
        <v>1.65</v>
      </c>
      <c r="H14" s="107">
        <v>2.95</v>
      </c>
      <c r="I14" s="107">
        <v>2.81</v>
      </c>
      <c r="J14" s="107">
        <v>4.1900000000000004</v>
      </c>
      <c r="K14" s="107">
        <v>11.77</v>
      </c>
      <c r="L14" s="107">
        <v>7.59</v>
      </c>
      <c r="M14" s="107">
        <v>3.56</v>
      </c>
    </row>
    <row r="15" spans="2:17" ht="16.899999999999999">
      <c r="B15" s="108" t="s">
        <v>142</v>
      </c>
      <c r="C15" s="107">
        <v>-0.61</v>
      </c>
      <c r="D15" s="107">
        <v>-0.6</v>
      </c>
      <c r="E15" s="107">
        <v>-0.95</v>
      </c>
      <c r="F15" s="107">
        <v>-0.88</v>
      </c>
      <c r="G15" s="107">
        <v>-1.1000000000000001</v>
      </c>
      <c r="H15" s="107">
        <v>-1.2</v>
      </c>
      <c r="I15" s="107">
        <v>-1.5</v>
      </c>
      <c r="J15" s="107">
        <v>-1.8</v>
      </c>
      <c r="K15" s="107">
        <v>-2</v>
      </c>
      <c r="L15" s="107">
        <v>-2.5</v>
      </c>
      <c r="M15" s="107">
        <v>-3</v>
      </c>
      <c r="Q15" s="110" t="s">
        <v>241</v>
      </c>
    </row>
    <row r="16" spans="2:17">
      <c r="B16" s="108" t="s">
        <v>143</v>
      </c>
      <c r="C16" s="107">
        <v>-0.3</v>
      </c>
      <c r="D16" s="107">
        <v>-0.4</v>
      </c>
      <c r="E16" s="107">
        <v>-0.8</v>
      </c>
      <c r="F16" s="107">
        <v>-0.6</v>
      </c>
      <c r="G16" s="107">
        <v>-0.8</v>
      </c>
      <c r="H16" s="107">
        <v>-1</v>
      </c>
      <c r="I16" s="107">
        <v>-1.2</v>
      </c>
      <c r="J16" s="107">
        <v>-1.5</v>
      </c>
      <c r="K16" s="107">
        <v>-2</v>
      </c>
      <c r="L16" s="107">
        <v>-2.5</v>
      </c>
      <c r="M16" s="107">
        <v>-3</v>
      </c>
      <c r="Q16" s="111"/>
    </row>
    <row r="17" spans="17:17">
      <c r="Q17" s="112" t="s">
        <v>242</v>
      </c>
    </row>
    <row r="18" spans="17:17">
      <c r="Q18" s="112" t="s">
        <v>243</v>
      </c>
    </row>
    <row r="19" spans="17:17">
      <c r="Q19" s="112" t="s">
        <v>244</v>
      </c>
    </row>
    <row r="36" spans="2:11" ht="16.899999999999999">
      <c r="B36" s="110" t="s">
        <v>245</v>
      </c>
    </row>
    <row r="37" spans="2:11">
      <c r="B37" s="111"/>
    </row>
    <row r="38" spans="2:11" ht="17.649999999999999">
      <c r="B38" s="114" t="s">
        <v>246</v>
      </c>
      <c r="C38" s="115"/>
      <c r="D38" s="115"/>
      <c r="E38" s="115"/>
      <c r="F38" s="115"/>
      <c r="G38" s="115"/>
      <c r="H38" s="115"/>
      <c r="I38" s="115"/>
      <c r="J38" s="115"/>
      <c r="K38" s="115"/>
    </row>
    <row r="39" spans="2:11" ht="17.649999999999999">
      <c r="B39" s="116"/>
      <c r="C39" s="115"/>
      <c r="D39" s="115"/>
      <c r="E39" s="115"/>
      <c r="F39" s="115"/>
      <c r="G39" s="115"/>
      <c r="H39" s="115"/>
      <c r="I39" s="115"/>
      <c r="J39" s="115"/>
      <c r="K39" s="115"/>
    </row>
    <row r="40" spans="2:11" ht="17.649999999999999">
      <c r="B40" s="117" t="s">
        <v>247</v>
      </c>
      <c r="C40" s="115"/>
      <c r="D40" s="115"/>
      <c r="E40" s="115"/>
      <c r="F40" s="115"/>
      <c r="G40" s="115"/>
      <c r="H40" s="115"/>
      <c r="I40" s="115"/>
      <c r="J40" s="115"/>
      <c r="K40" s="115"/>
    </row>
    <row r="41" spans="2:11" ht="17.649999999999999">
      <c r="B41" s="117" t="s">
        <v>248</v>
      </c>
      <c r="C41" s="115"/>
      <c r="D41" s="115"/>
      <c r="E41" s="115"/>
      <c r="F41" s="115"/>
      <c r="G41" s="115"/>
      <c r="H41" s="115"/>
      <c r="I41" s="115"/>
      <c r="J41" s="115"/>
      <c r="K41" s="115"/>
    </row>
    <row r="42" spans="2:11" ht="17.649999999999999">
      <c r="B42" s="117" t="s">
        <v>249</v>
      </c>
      <c r="C42" s="115"/>
      <c r="D42" s="115"/>
      <c r="E42" s="115"/>
      <c r="F42" s="115"/>
      <c r="G42" s="115"/>
      <c r="H42" s="115"/>
      <c r="I42" s="115"/>
      <c r="J42" s="115"/>
      <c r="K42" s="115"/>
    </row>
    <row r="44" spans="2:11" ht="17.649999999999999">
      <c r="B44" s="114" t="s">
        <v>250</v>
      </c>
      <c r="C44" s="115"/>
      <c r="D44" s="115"/>
      <c r="E44" s="115"/>
      <c r="F44" s="115"/>
      <c r="G44" s="115"/>
      <c r="H44" s="115"/>
      <c r="I44" s="115"/>
      <c r="J44" s="115"/>
      <c r="K44" s="115"/>
    </row>
    <row r="45" spans="2:11" ht="17.649999999999999">
      <c r="B45" s="116"/>
      <c r="C45" s="115"/>
      <c r="D45" s="115"/>
      <c r="E45" s="115"/>
      <c r="F45" s="115"/>
      <c r="G45" s="115"/>
      <c r="H45" s="115"/>
      <c r="I45" s="115"/>
      <c r="J45" s="115"/>
      <c r="K45" s="115"/>
    </row>
    <row r="46" spans="2:11" ht="17.649999999999999">
      <c r="B46" s="117" t="s">
        <v>251</v>
      </c>
      <c r="C46" s="115"/>
      <c r="D46" s="115"/>
      <c r="E46" s="115"/>
      <c r="F46" s="115"/>
      <c r="G46" s="115"/>
      <c r="H46" s="115"/>
      <c r="I46" s="115"/>
      <c r="J46" s="115"/>
      <c r="K46" s="115"/>
    </row>
    <row r="47" spans="2:11" ht="17.649999999999999">
      <c r="B47" s="117" t="s">
        <v>252</v>
      </c>
      <c r="C47" s="115"/>
      <c r="D47" s="115"/>
      <c r="E47" s="115"/>
      <c r="F47" s="115"/>
      <c r="G47" s="115"/>
      <c r="H47" s="115"/>
      <c r="I47" s="115"/>
      <c r="J47" s="115"/>
      <c r="K47" s="115"/>
    </row>
    <row r="48" spans="2:11" ht="17.649999999999999">
      <c r="B48" s="117" t="s">
        <v>253</v>
      </c>
      <c r="C48" s="115"/>
      <c r="D48" s="115"/>
      <c r="E48" s="115"/>
      <c r="F48" s="115"/>
      <c r="G48" s="115"/>
      <c r="H48" s="115"/>
      <c r="I48" s="115"/>
      <c r="J48" s="115"/>
      <c r="K48" s="115"/>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EE44-109C-4651-BA07-52410EC490A3}">
  <dimension ref="A3:G29"/>
  <sheetViews>
    <sheetView topLeftCell="A5" zoomScale="91" workbookViewId="0">
      <selection activeCell="F25" sqref="F25"/>
    </sheetView>
  </sheetViews>
  <sheetFormatPr defaultRowHeight="13.9"/>
  <cols>
    <col min="1" max="1" width="28.33203125" customWidth="1"/>
    <col min="2" max="2" width="22.33203125" customWidth="1"/>
    <col min="3" max="3" width="20.3984375" customWidth="1"/>
    <col min="4" max="4" width="26.265625" customWidth="1"/>
    <col min="5" max="5" width="22.59765625" customWidth="1"/>
  </cols>
  <sheetData>
    <row r="3" spans="1:7" ht="16.899999999999999">
      <c r="A3" s="18"/>
      <c r="B3" s="123" t="s">
        <v>123</v>
      </c>
      <c r="C3" s="124"/>
      <c r="D3" s="124"/>
      <c r="E3" s="125"/>
      <c r="G3" s="110" t="s">
        <v>227</v>
      </c>
    </row>
    <row r="4" spans="1:7">
      <c r="A4" s="19"/>
      <c r="B4" s="20">
        <v>2023</v>
      </c>
      <c r="C4" s="21">
        <v>2022</v>
      </c>
      <c r="D4" s="20">
        <v>2021</v>
      </c>
      <c r="E4" s="21">
        <v>2020</v>
      </c>
      <c r="G4" s="111"/>
    </row>
    <row r="5" spans="1:7">
      <c r="A5" s="18" t="s">
        <v>107</v>
      </c>
      <c r="B5" s="22">
        <f>'IS NVDA'!B4</f>
        <v>60922</v>
      </c>
      <c r="C5" s="22">
        <f>'IS NVDA'!C4</f>
        <v>26974</v>
      </c>
      <c r="D5" s="22">
        <f>'IS NVDA'!D4</f>
        <v>26914</v>
      </c>
      <c r="E5" s="22">
        <f>'IS NVDA'!E4</f>
        <v>16675</v>
      </c>
      <c r="G5" s="112" t="s">
        <v>299</v>
      </c>
    </row>
    <row r="6" spans="1:7">
      <c r="A6" s="19" t="s">
        <v>108</v>
      </c>
      <c r="B6" s="25">
        <f>'IS NVDA'!B12</f>
        <v>32972</v>
      </c>
      <c r="C6" s="25">
        <f>'IS NVDA'!C12</f>
        <v>4224</v>
      </c>
      <c r="D6" s="25">
        <f>'IS NVDA'!D12</f>
        <v>10041</v>
      </c>
      <c r="E6" s="25">
        <f>'IS NVDA'!E12</f>
        <v>4532</v>
      </c>
      <c r="G6" s="111"/>
    </row>
    <row r="7" spans="1:7">
      <c r="A7" s="19" t="s">
        <v>109</v>
      </c>
      <c r="B7" s="22">
        <f>'IS NVDA'!B17</f>
        <v>33818</v>
      </c>
      <c r="C7" s="22">
        <f>'IS NVDA'!C17</f>
        <v>4181</v>
      </c>
      <c r="D7" s="22">
        <f>'IS NVDA'!D17</f>
        <v>9941</v>
      </c>
      <c r="E7" s="22">
        <f>'IS NVDA'!E17</f>
        <v>4409</v>
      </c>
      <c r="G7" s="111"/>
    </row>
    <row r="8" spans="1:7">
      <c r="A8" s="27" t="s">
        <v>110</v>
      </c>
      <c r="B8" s="28">
        <f>'IS NVDA'!B19</f>
        <v>29760</v>
      </c>
      <c r="C8" s="28">
        <f>'IS NVDA'!C19</f>
        <v>4368</v>
      </c>
      <c r="D8" s="28">
        <f>'IS NVDA'!D19</f>
        <v>9752</v>
      </c>
      <c r="E8" s="28">
        <f>'IS NVDA'!E19</f>
        <v>4332</v>
      </c>
      <c r="G8" s="118" t="s">
        <v>300</v>
      </c>
    </row>
    <row r="9" spans="1:7">
      <c r="A9" s="19"/>
      <c r="C9" s="29"/>
      <c r="D9" s="29"/>
      <c r="E9" s="30"/>
      <c r="G9" s="118" t="s">
        <v>301</v>
      </c>
    </row>
    <row r="10" spans="1:7">
      <c r="A10" s="18" t="s">
        <v>111</v>
      </c>
      <c r="B10" s="24">
        <f>'BS NVDA'!B29</f>
        <v>42978</v>
      </c>
      <c r="C10" s="24">
        <f>'BS NVDA'!C29</f>
        <v>22101</v>
      </c>
      <c r="D10" s="24">
        <f>'BS NVDA'!D29</f>
        <v>26612</v>
      </c>
      <c r="E10" s="24">
        <f>'BS NVDA'!E29</f>
        <v>16893</v>
      </c>
      <c r="G10" s="111"/>
    </row>
    <row r="11" spans="1:7">
      <c r="A11" s="27" t="s">
        <v>112</v>
      </c>
      <c r="B11" s="28">
        <f>AVERAGE(B10:C10)</f>
        <v>32539.5</v>
      </c>
      <c r="C11" s="28">
        <f t="shared" ref="C11:D11" si="0">AVERAGE(C10:D10)</f>
        <v>24356.5</v>
      </c>
      <c r="D11" s="28">
        <f t="shared" si="0"/>
        <v>21752.5</v>
      </c>
      <c r="E11" s="31">
        <f>AVERAGE(E10,'BS NVDA'!F29)</f>
        <v>14548.5</v>
      </c>
      <c r="G11" s="112" t="s">
        <v>302</v>
      </c>
    </row>
    <row r="12" spans="1:7">
      <c r="A12" s="19"/>
      <c r="B12" s="26"/>
      <c r="C12" s="23"/>
      <c r="D12" s="23"/>
      <c r="E12" s="32"/>
      <c r="G12" s="111"/>
    </row>
    <row r="13" spans="1:7">
      <c r="A13" s="18" t="s">
        <v>113</v>
      </c>
      <c r="B13" s="24">
        <f>'BS NVDA'!B3</f>
        <v>65728</v>
      </c>
      <c r="C13" s="24">
        <f>'BS NVDA'!C3</f>
        <v>41182</v>
      </c>
      <c r="D13" s="24">
        <f>'BS NVDA'!D3</f>
        <v>44187</v>
      </c>
      <c r="E13" s="24">
        <f>'BS NVDA'!E3</f>
        <v>28791</v>
      </c>
      <c r="G13" s="111"/>
    </row>
    <row r="14" spans="1:7">
      <c r="A14" s="27" t="s">
        <v>114</v>
      </c>
      <c r="B14" s="28">
        <f>AVERAGE(B13:C13)</f>
        <v>53455</v>
      </c>
      <c r="C14" s="28">
        <f t="shared" ref="C14:D14" si="1">AVERAGE(C13:D13)</f>
        <v>42684.5</v>
      </c>
      <c r="D14" s="28">
        <f t="shared" si="1"/>
        <v>36489</v>
      </c>
      <c r="E14" s="31">
        <f>AVERAGE(E13,'BS NVDA'!F3)</f>
        <v>23053</v>
      </c>
      <c r="G14" s="118" t="s">
        <v>303</v>
      </c>
    </row>
    <row r="15" spans="1:7">
      <c r="A15" s="19"/>
      <c r="B15" s="33"/>
      <c r="C15" s="34"/>
      <c r="D15" s="34"/>
      <c r="E15" s="35"/>
      <c r="G15" s="111"/>
    </row>
    <row r="16" spans="1:7">
      <c r="A16" s="36" t="s">
        <v>115</v>
      </c>
      <c r="B16" s="44">
        <f>B8/B11</f>
        <v>0.91458074033098236</v>
      </c>
      <c r="C16" s="44">
        <f t="shared" ref="C16:E16" si="2">C8/C11</f>
        <v>0.17933611151027445</v>
      </c>
      <c r="D16" s="44">
        <f t="shared" si="2"/>
        <v>0.44831628548442709</v>
      </c>
      <c r="E16" s="44">
        <f t="shared" si="2"/>
        <v>0.29776265594391177</v>
      </c>
      <c r="G16" s="112" t="s">
        <v>304</v>
      </c>
    </row>
    <row r="17" spans="1:7">
      <c r="A17" s="19"/>
      <c r="B17" s="33"/>
      <c r="C17" s="34"/>
      <c r="D17" s="34"/>
      <c r="E17" s="37"/>
      <c r="G17" s="111"/>
    </row>
    <row r="18" spans="1:7">
      <c r="A18" s="19"/>
      <c r="B18" s="38"/>
      <c r="C18" s="39"/>
      <c r="D18" s="39"/>
      <c r="E18" s="40"/>
      <c r="G18" s="111"/>
    </row>
    <row r="19" spans="1:7">
      <c r="A19" s="19"/>
      <c r="B19" s="38"/>
      <c r="C19" s="39"/>
      <c r="D19" s="39"/>
      <c r="E19" s="40"/>
      <c r="G19" s="118" t="s">
        <v>305</v>
      </c>
    </row>
    <row r="20" spans="1:7">
      <c r="A20" s="18" t="s">
        <v>116</v>
      </c>
      <c r="B20" s="41">
        <f>B8/B5</f>
        <v>0.4884934834706674</v>
      </c>
      <c r="C20" s="41">
        <f t="shared" ref="C20:E20" si="3">C8/C5</f>
        <v>0.16193371394676356</v>
      </c>
      <c r="D20" s="41">
        <f t="shared" si="3"/>
        <v>0.36233930296499961</v>
      </c>
      <c r="E20" s="41">
        <f t="shared" si="3"/>
        <v>0.25979010494752625</v>
      </c>
      <c r="G20" s="111"/>
    </row>
    <row r="21" spans="1:7" ht="14.25" thickBot="1">
      <c r="A21" s="19" t="s">
        <v>117</v>
      </c>
      <c r="B21" s="42">
        <f>B5/B11</f>
        <v>1.8722475760229875</v>
      </c>
      <c r="C21" s="42">
        <f t="shared" ref="C21:E21" si="4">C5/C11</f>
        <v>1.1074661794592819</v>
      </c>
      <c r="D21" s="42">
        <f t="shared" si="4"/>
        <v>1.2372830709113896</v>
      </c>
      <c r="E21" s="42">
        <f t="shared" si="4"/>
        <v>1.1461662714369178</v>
      </c>
      <c r="G21" s="112" t="s">
        <v>306</v>
      </c>
    </row>
    <row r="22" spans="1:7" ht="14.25" thickTop="1">
      <c r="A22" s="43" t="s">
        <v>115</v>
      </c>
      <c r="B22" s="45">
        <f>B20*B21</f>
        <v>0.91458074033098236</v>
      </c>
      <c r="C22" s="45">
        <f t="shared" ref="C22:E22" si="5">C20*C21</f>
        <v>0.17933611151027448</v>
      </c>
      <c r="D22" s="45">
        <f t="shared" si="5"/>
        <v>0.44831628548442709</v>
      </c>
      <c r="E22" s="45">
        <f t="shared" si="5"/>
        <v>0.29776265594391177</v>
      </c>
      <c r="G22" s="111"/>
    </row>
    <row r="23" spans="1:7">
      <c r="A23" s="19"/>
      <c r="B23" s="33"/>
      <c r="C23" s="34"/>
      <c r="D23" s="34"/>
      <c r="E23" s="37"/>
      <c r="G23" s="111"/>
    </row>
    <row r="24" spans="1:7">
      <c r="A24" s="18"/>
      <c r="B24" s="15" t="s">
        <v>123</v>
      </c>
      <c r="C24" s="51"/>
      <c r="D24" s="51"/>
      <c r="E24" s="52"/>
      <c r="G24" s="118" t="s">
        <v>307</v>
      </c>
    </row>
    <row r="25" spans="1:7">
      <c r="A25" s="19"/>
      <c r="B25" s="20">
        <v>2023</v>
      </c>
      <c r="C25" s="21">
        <v>2022</v>
      </c>
      <c r="D25" s="20">
        <v>2021</v>
      </c>
      <c r="E25" s="21">
        <v>2020</v>
      </c>
      <c r="G25" s="118" t="s">
        <v>308</v>
      </c>
    </row>
    <row r="26" spans="1:7">
      <c r="A26" s="18" t="s">
        <v>116</v>
      </c>
      <c r="B26" s="41">
        <f>B8/B5</f>
        <v>0.4884934834706674</v>
      </c>
      <c r="C26" s="41">
        <f t="shared" ref="C26:E26" si="6">C8/C5</f>
        <v>0.16193371394676356</v>
      </c>
      <c r="D26" s="41">
        <f t="shared" si="6"/>
        <v>0.36233930296499961</v>
      </c>
      <c r="E26" s="41">
        <f t="shared" si="6"/>
        <v>0.25979010494752625</v>
      </c>
    </row>
    <row r="27" spans="1:7">
      <c r="A27" s="19" t="s">
        <v>118</v>
      </c>
      <c r="B27" s="42">
        <f>B5/B14</f>
        <v>1.1396875876905808</v>
      </c>
      <c r="C27" s="42">
        <f t="shared" ref="C27:E27" si="7">C5/C14</f>
        <v>0.63193899424849764</v>
      </c>
      <c r="D27" s="42">
        <f t="shared" si="7"/>
        <v>0.73759215105922338</v>
      </c>
      <c r="E27" s="42">
        <f t="shared" si="7"/>
        <v>0.72333318873899277</v>
      </c>
    </row>
    <row r="28" spans="1:7" ht="14.25" thickBot="1">
      <c r="A28" s="19" t="s">
        <v>119</v>
      </c>
      <c r="B28" s="42">
        <f>B14/B11</f>
        <v>1.6427726301879255</v>
      </c>
      <c r="C28" s="42">
        <f t="shared" ref="C28:E28" si="8">C14/C11</f>
        <v>1.7524890686264447</v>
      </c>
      <c r="D28" s="42">
        <f t="shared" si="8"/>
        <v>1.6774623606482013</v>
      </c>
      <c r="E28" s="42">
        <f t="shared" si="8"/>
        <v>1.5845619823349486</v>
      </c>
    </row>
    <row r="29" spans="1:7" ht="14.25" thickTop="1">
      <c r="A29" s="43" t="s">
        <v>115</v>
      </c>
      <c r="B29" s="46">
        <f>B26*B27*B28</f>
        <v>0.91458074033098236</v>
      </c>
      <c r="C29" s="46">
        <f t="shared" ref="C29:E29" si="9">C26*C27*C28</f>
        <v>0.17933611151027445</v>
      </c>
      <c r="D29" s="46">
        <f t="shared" si="9"/>
        <v>0.44831628548442704</v>
      </c>
      <c r="E29" s="46">
        <f t="shared" si="9"/>
        <v>0.29776265594391177</v>
      </c>
    </row>
  </sheetData>
  <mergeCells count="1">
    <mergeCell ref="B3:E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3E60-4D2F-40D0-8EF8-8F5EE5D88670}">
  <dimension ref="A1:F31"/>
  <sheetViews>
    <sheetView zoomScale="59" workbookViewId="0">
      <selection activeCell="A31" sqref="A31"/>
    </sheetView>
  </sheetViews>
  <sheetFormatPr defaultRowHeight="13.9"/>
  <cols>
    <col min="1" max="1" width="35.796875" customWidth="1"/>
    <col min="2" max="2" width="30.3984375" customWidth="1"/>
    <col min="3" max="3" width="29.46484375" customWidth="1"/>
    <col min="4" max="4" width="26.796875" customWidth="1"/>
    <col min="5" max="5" width="30.06640625" customWidth="1"/>
  </cols>
  <sheetData>
    <row r="1" spans="1:6">
      <c r="A1" s="18"/>
      <c r="B1" s="123" t="s">
        <v>405</v>
      </c>
      <c r="C1" s="124"/>
      <c r="D1" s="124"/>
      <c r="E1" s="125"/>
    </row>
    <row r="2" spans="1:6">
      <c r="A2" s="19"/>
      <c r="B2" s="20">
        <v>2020</v>
      </c>
      <c r="C2" s="21">
        <v>2021</v>
      </c>
      <c r="D2" s="20">
        <v>2022</v>
      </c>
      <c r="E2" s="21">
        <v>2023</v>
      </c>
    </row>
    <row r="3" spans="1:6">
      <c r="A3" s="18" t="s">
        <v>107</v>
      </c>
      <c r="B3" s="22">
        <f>'TSMC INCOME STATEMENT'!C3</f>
        <v>1339238.5</v>
      </c>
      <c r="C3" s="22">
        <f>'TSMC INCOME STATEMENT'!D3</f>
        <v>1587415</v>
      </c>
      <c r="D3" s="22">
        <f>'TSMC INCOME STATEMENT'!E3</f>
        <v>2263891.2999999998</v>
      </c>
      <c r="E3" s="22">
        <f>'TSMC INCOME STATEMENT'!F3</f>
        <v>2161735.7999999998</v>
      </c>
    </row>
    <row r="4" spans="1:6">
      <c r="A4" s="19" t="s">
        <v>108</v>
      </c>
      <c r="B4" s="25">
        <f>'TSMC INCOME STATEMENT'!C13</f>
        <v>566780</v>
      </c>
      <c r="C4" s="25">
        <f>'TSMC INCOME STATEMENT'!D13</f>
        <v>649983.6</v>
      </c>
      <c r="D4" s="25">
        <f>'TSMC INCOME STATEMENT'!E13</f>
        <v>1121226.5</v>
      </c>
      <c r="E4" s="25">
        <f>'TSMC INCOME STATEMENT'!F13</f>
        <v>921429.9</v>
      </c>
      <c r="F4" s="25"/>
    </row>
    <row r="5" spans="1:6">
      <c r="A5" s="19" t="s">
        <v>109</v>
      </c>
      <c r="B5" s="22">
        <f>'TSMC INCOME STATEMENT'!C15</f>
        <v>584746.30000000005</v>
      </c>
      <c r="C5" s="22">
        <f>'TSMC INCOME STATEMENT'!D15</f>
        <v>663036</v>
      </c>
      <c r="D5" s="22">
        <f>'TSMC INCOME STATEMENT'!E15</f>
        <v>1144072.2</v>
      </c>
      <c r="E5" s="22">
        <f>'TSMC INCOME STATEMENT'!F15</f>
        <v>979316.5</v>
      </c>
    </row>
    <row r="6" spans="1:6">
      <c r="A6" s="27" t="s">
        <v>110</v>
      </c>
      <c r="B6" s="28">
        <f>'TSMC INCOME STATEMENT'!C17</f>
        <v>511008</v>
      </c>
      <c r="C6" s="28">
        <f>'TSMC INCOME STATEMENT'!D17</f>
        <v>592880.6</v>
      </c>
      <c r="D6" s="28">
        <f>'TSMC INCOME STATEMENT'!E17</f>
        <v>993294.7</v>
      </c>
      <c r="E6" s="28">
        <f>'TSMC INCOME STATEMENT'!F17</f>
        <v>851027.7</v>
      </c>
    </row>
    <row r="7" spans="1:6">
      <c r="A7" s="19"/>
      <c r="C7" s="29"/>
      <c r="D7" s="29"/>
      <c r="E7" s="30"/>
    </row>
    <row r="8" spans="1:6">
      <c r="A8" s="18" t="s">
        <v>111</v>
      </c>
      <c r="B8" s="24">
        <f>'TSMC BALANCE SHEET'!C34</f>
        <v>1835763.8</v>
      </c>
      <c r="C8" s="24">
        <f>'TSMC BALANCE SHEET'!D34</f>
        <v>2170733.2000000002</v>
      </c>
      <c r="D8" s="24">
        <f>'TSMC BALANCE SHEET'!E34</f>
        <v>2960488.87</v>
      </c>
      <c r="E8" s="24">
        <f>'TSMC BALANCE SHEET'!F34</f>
        <v>3483262.84</v>
      </c>
    </row>
    <row r="9" spans="1:6">
      <c r="A9" s="27" t="s">
        <v>112</v>
      </c>
      <c r="B9" s="28">
        <f>AVERAGE('TSMC BALANCE SHEET'!B34:C34)</f>
        <v>1724734.7000000002</v>
      </c>
      <c r="C9" s="28">
        <f>AVERAGE('TSMC BALANCE SHEET'!C34:D34)</f>
        <v>2003248.5</v>
      </c>
      <c r="D9" s="28">
        <f>AVERAGE('TSMC BALANCE SHEET'!D34:E34)</f>
        <v>2565611.0350000001</v>
      </c>
      <c r="E9" s="28">
        <f>AVERAGE('TSMC BALANCE SHEET'!E34:F34)</f>
        <v>3221875.855</v>
      </c>
    </row>
    <row r="10" spans="1:6">
      <c r="A10" s="19"/>
      <c r="B10" s="26"/>
      <c r="C10" s="23"/>
      <c r="D10" s="23"/>
      <c r="E10" s="32"/>
    </row>
    <row r="11" spans="1:6">
      <c r="A11" s="18" t="s">
        <v>113</v>
      </c>
      <c r="B11" s="24">
        <f>'TSMC BALANCE SHEET'!C17</f>
        <v>2760600.5</v>
      </c>
      <c r="C11" s="24">
        <f>'TSMC BALANCE SHEET'!D17</f>
        <v>3725302.2</v>
      </c>
      <c r="D11" s="24">
        <f>'TSMC BALANCE SHEET'!E17</f>
        <v>4964459.0999999996</v>
      </c>
      <c r="E11" s="24">
        <f>'TSMC BALANCE SHEET'!F17</f>
        <v>5532196.5999999996</v>
      </c>
    </row>
    <row r="12" spans="1:6">
      <c r="A12" s="27" t="s">
        <v>114</v>
      </c>
      <c r="B12" s="28">
        <f>AVERAGE('TSMC BALANCE SHEET'!B17:C17)</f>
        <v>2512662.75</v>
      </c>
      <c r="C12" s="28">
        <f>AVERAGE('TSMC BALANCE SHEET'!C17:D17)</f>
        <v>3242951.35</v>
      </c>
      <c r="D12" s="28">
        <f>AVERAGE('TSMC BALANCE SHEET'!D17:E17)</f>
        <v>4344880.6500000004</v>
      </c>
      <c r="E12" s="28">
        <f>AVERAGE('TSMC BALANCE SHEET'!E17:F17)</f>
        <v>5248327.8499999996</v>
      </c>
    </row>
    <row r="13" spans="1:6">
      <c r="A13" s="19"/>
      <c r="B13" s="33"/>
      <c r="C13" s="34"/>
      <c r="D13" s="34"/>
      <c r="E13" s="35"/>
    </row>
    <row r="14" spans="1:6">
      <c r="A14" s="36" t="s">
        <v>115</v>
      </c>
      <c r="B14" s="44">
        <f>B6/B9</f>
        <v>0.29628208906564002</v>
      </c>
      <c r="C14" s="44">
        <f t="shared" ref="C14:E14" si="0">C6/C9</f>
        <v>0.29595958763977609</v>
      </c>
      <c r="D14" s="44">
        <f t="shared" si="0"/>
        <v>0.38715716702551517</v>
      </c>
      <c r="E14" s="44">
        <f t="shared" si="0"/>
        <v>0.26414043814857041</v>
      </c>
    </row>
    <row r="15" spans="1:6">
      <c r="A15" s="19"/>
      <c r="B15" s="33"/>
      <c r="C15" s="34"/>
      <c r="D15" s="34"/>
      <c r="E15" s="37"/>
    </row>
    <row r="16" spans="1:6">
      <c r="A16" s="19"/>
      <c r="B16" s="38"/>
      <c r="C16" s="39"/>
      <c r="D16" s="39"/>
      <c r="E16" s="40"/>
    </row>
    <row r="17" spans="1:5">
      <c r="A17" s="19"/>
      <c r="B17" s="38"/>
      <c r="C17" s="39"/>
      <c r="D17" s="39"/>
      <c r="E17" s="40"/>
    </row>
    <row r="18" spans="1:5">
      <c r="A18" s="18" t="s">
        <v>116</v>
      </c>
      <c r="B18" s="41">
        <f>B6/B3</f>
        <v>0.38156609147661152</v>
      </c>
      <c r="C18" s="41">
        <f t="shared" ref="C18:E18" si="1">C6/C3</f>
        <v>0.37348809227580687</v>
      </c>
      <c r="D18" s="41">
        <f t="shared" si="1"/>
        <v>0.43875547381625613</v>
      </c>
      <c r="E18" s="41">
        <f t="shared" si="1"/>
        <v>0.39367794158749653</v>
      </c>
    </row>
    <row r="19" spans="1:5" ht="14.25" thickBot="1">
      <c r="A19" s="19" t="s">
        <v>117</v>
      </c>
      <c r="B19" s="42">
        <f>B3/B9</f>
        <v>0.77648956677221137</v>
      </c>
      <c r="C19" s="42">
        <f t="shared" ref="C19:E19" si="2">C3/C9</f>
        <v>0.79242041114719419</v>
      </c>
      <c r="D19" s="42">
        <f t="shared" si="2"/>
        <v>0.88239848874831472</v>
      </c>
      <c r="E19" s="42">
        <f t="shared" si="2"/>
        <v>0.67095564735842372</v>
      </c>
    </row>
    <row r="20" spans="1:5" ht="14.25" thickTop="1">
      <c r="A20" s="43" t="s">
        <v>115</v>
      </c>
      <c r="B20" s="45">
        <f>B18*B19</f>
        <v>0.29628208906564008</v>
      </c>
      <c r="C20" s="45">
        <f t="shared" ref="C20:E20" si="3">C18*C19</f>
        <v>0.29595958763977609</v>
      </c>
      <c r="D20" s="45">
        <f t="shared" si="3"/>
        <v>0.38715716702551517</v>
      </c>
      <c r="E20" s="45">
        <f t="shared" si="3"/>
        <v>0.26414043814857047</v>
      </c>
    </row>
    <row r="21" spans="1:5">
      <c r="A21" s="19"/>
      <c r="B21" s="33"/>
      <c r="C21" s="34"/>
      <c r="D21" s="34"/>
      <c r="E21" s="37"/>
    </row>
    <row r="22" spans="1:5">
      <c r="A22" s="18"/>
      <c r="B22" s="15" t="s">
        <v>405</v>
      </c>
      <c r="C22" s="51"/>
      <c r="D22" s="51"/>
      <c r="E22" s="52"/>
    </row>
    <row r="23" spans="1:5">
      <c r="A23" s="19"/>
      <c r="B23" s="20">
        <v>2020</v>
      </c>
      <c r="C23" s="21">
        <v>2021</v>
      </c>
      <c r="D23" s="20">
        <v>2022</v>
      </c>
      <c r="E23" s="21">
        <v>2023</v>
      </c>
    </row>
    <row r="24" spans="1:5">
      <c r="A24" s="18" t="s">
        <v>116</v>
      </c>
      <c r="B24" s="41">
        <f>B6/B3</f>
        <v>0.38156609147661152</v>
      </c>
      <c r="C24" s="41">
        <f t="shared" ref="C24:E24" si="4">C6/C3</f>
        <v>0.37348809227580687</v>
      </c>
      <c r="D24" s="41">
        <f t="shared" si="4"/>
        <v>0.43875547381625613</v>
      </c>
      <c r="E24" s="41">
        <f t="shared" si="4"/>
        <v>0.39367794158749653</v>
      </c>
    </row>
    <row r="25" spans="1:5">
      <c r="A25" s="19" t="s">
        <v>118</v>
      </c>
      <c r="B25" s="42">
        <f>B3/B12</f>
        <v>0.53299572336160117</v>
      </c>
      <c r="C25" s="42">
        <f t="shared" ref="C25:E25" si="5">C3/C12</f>
        <v>0.48949701326848455</v>
      </c>
      <c r="D25" s="42">
        <f t="shared" si="5"/>
        <v>0.52104798321675405</v>
      </c>
      <c r="E25" s="42">
        <f t="shared" si="5"/>
        <v>0.41189038905029529</v>
      </c>
    </row>
    <row r="26" spans="1:5" ht="14.25" thickBot="1">
      <c r="A26" s="19" t="s">
        <v>119</v>
      </c>
      <c r="B26" s="42">
        <f>B12/B9</f>
        <v>1.4568401447480588</v>
      </c>
      <c r="C26" s="42">
        <f t="shared" ref="C26:E26" si="6">C12/C9</f>
        <v>1.6188462639557699</v>
      </c>
      <c r="D26" s="42">
        <f t="shared" si="6"/>
        <v>1.6935071570582017</v>
      </c>
      <c r="E26" s="42">
        <f t="shared" si="6"/>
        <v>1.6289665046699944</v>
      </c>
    </row>
    <row r="27" spans="1:5" ht="14.25" thickTop="1">
      <c r="A27" s="43" t="s">
        <v>115</v>
      </c>
      <c r="B27" s="46">
        <f>B24*B25*B26</f>
        <v>0.29628208906564008</v>
      </c>
      <c r="C27" s="46">
        <f t="shared" ref="C27:E27" si="7">C24*C25*C26</f>
        <v>0.29595958763977609</v>
      </c>
      <c r="D27" s="46">
        <f t="shared" si="7"/>
        <v>0.38715716702551517</v>
      </c>
      <c r="E27" s="46">
        <f t="shared" si="7"/>
        <v>0.26414043814857041</v>
      </c>
    </row>
    <row r="31" spans="1:5" ht="374.65">
      <c r="A31" s="120" t="s">
        <v>309</v>
      </c>
    </row>
  </sheetData>
  <mergeCells count="1">
    <mergeCell ref="B1:E1"/>
  </mergeCells>
  <phoneticPr fontId="1" type="noConversion"/>
  <pageMargins left="0.7" right="0.7" top="0.75" bottom="0.75" header="0.3" footer="0.3"/>
  <ignoredErrors>
    <ignoredError sqref="B9:E9 B12:E1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CB1A3-E993-4A4F-8687-C420BD057E73}">
  <dimension ref="A1:G27"/>
  <sheetViews>
    <sheetView zoomScale="90" workbookViewId="0">
      <selection activeCell="H13" sqref="H13"/>
    </sheetView>
  </sheetViews>
  <sheetFormatPr defaultRowHeight="13.9"/>
  <cols>
    <col min="1" max="1" width="29.6640625" customWidth="1"/>
    <col min="2" max="2" width="22" customWidth="1"/>
    <col min="3" max="3" width="22.06640625" customWidth="1"/>
    <col min="4" max="4" width="18.46484375" customWidth="1"/>
    <col min="5" max="5" width="21.33203125" customWidth="1"/>
  </cols>
  <sheetData>
    <row r="1" spans="1:7" ht="16.899999999999999">
      <c r="A1" s="18"/>
      <c r="B1" s="123" t="s">
        <v>226</v>
      </c>
      <c r="C1" s="124"/>
      <c r="D1" s="124"/>
      <c r="E1" s="125"/>
      <c r="G1" s="110" t="s">
        <v>229</v>
      </c>
    </row>
    <row r="2" spans="1:7">
      <c r="A2" s="19"/>
      <c r="B2" s="20">
        <v>2020</v>
      </c>
      <c r="C2" s="21">
        <v>2021</v>
      </c>
      <c r="D2" s="20">
        <v>2022</v>
      </c>
      <c r="E2" s="21">
        <v>2023</v>
      </c>
      <c r="G2" s="111"/>
    </row>
    <row r="3" spans="1:7">
      <c r="A3" s="18" t="s">
        <v>107</v>
      </c>
      <c r="B3" s="22">
        <f>'ASML IS'!C3</f>
        <v>13978.5</v>
      </c>
      <c r="C3" s="22">
        <f>'ASML IS'!D3</f>
        <v>18611</v>
      </c>
      <c r="D3" s="22">
        <f>'ASML IS'!E3</f>
        <v>21173.4</v>
      </c>
      <c r="E3" s="22">
        <f>'ASML IS'!F3</f>
        <v>27558.5</v>
      </c>
      <c r="G3" s="112" t="s">
        <v>299</v>
      </c>
    </row>
    <row r="4" spans="1:7">
      <c r="A4" s="19" t="s">
        <v>108</v>
      </c>
      <c r="B4" s="25">
        <f>'ASML IS'!B12</f>
        <v>2790.8</v>
      </c>
      <c r="C4" s="25">
        <f>'ASML IS'!C12</f>
        <v>4051.5</v>
      </c>
      <c r="D4" s="25">
        <f>'ASML IS'!D12</f>
        <v>6536.4</v>
      </c>
      <c r="E4" s="25">
        <f>'ASML IS'!E12</f>
        <v>6500.7</v>
      </c>
      <c r="G4" s="111"/>
    </row>
    <row r="5" spans="1:7">
      <c r="A5" s="19" t="s">
        <v>109</v>
      </c>
      <c r="B5" s="22">
        <f>'ASML IS'!B15</f>
        <v>2784</v>
      </c>
      <c r="C5" s="22">
        <f>'ASML IS'!C15</f>
        <v>4105.2</v>
      </c>
      <c r="D5" s="22">
        <f>'ASML IS'!D15</f>
        <v>6904.5999999999995</v>
      </c>
      <c r="E5" s="22">
        <f>'ASML IS'!E15</f>
        <v>6594.0999999999995</v>
      </c>
      <c r="G5" s="111"/>
    </row>
    <row r="6" spans="1:7">
      <c r="A6" s="27" t="s">
        <v>110</v>
      </c>
      <c r="B6" s="28">
        <f>'ASML IS'!B17</f>
        <v>2592.3000000000002</v>
      </c>
      <c r="C6" s="28">
        <f>'ASML IS'!C17</f>
        <v>3553.7</v>
      </c>
      <c r="D6" s="28">
        <f>'ASML IS'!D17</f>
        <v>5883.2</v>
      </c>
      <c r="E6" s="28">
        <f>'ASML IS'!E17</f>
        <v>5624.2</v>
      </c>
      <c r="G6" s="118" t="s">
        <v>310</v>
      </c>
    </row>
    <row r="7" spans="1:7">
      <c r="A7" s="19"/>
      <c r="C7" s="29"/>
      <c r="D7" s="29"/>
      <c r="E7" s="30"/>
      <c r="G7" s="118" t="s">
        <v>311</v>
      </c>
    </row>
    <row r="8" spans="1:7">
      <c r="A8" s="18" t="s">
        <v>111</v>
      </c>
      <c r="B8" s="24">
        <f>'ASML BS'!C29</f>
        <v>13865.4</v>
      </c>
      <c r="C8" s="24">
        <f>'ASML BS'!D29</f>
        <v>10140.6</v>
      </c>
      <c r="D8" s="24">
        <f>'ASML BS'!E29</f>
        <v>8810.7999999999993</v>
      </c>
      <c r="E8" s="24">
        <f>'ASML BS'!F29</f>
        <v>13452.4</v>
      </c>
      <c r="G8" s="111"/>
    </row>
    <row r="9" spans="1:7">
      <c r="A9" s="27" t="s">
        <v>112</v>
      </c>
      <c r="B9" s="28">
        <f>AVERAGE('ASML BS'!B29:C29)</f>
        <v>13228.8</v>
      </c>
      <c r="C9" s="28">
        <f>AVERAGE('ASML BS'!C29:D29)</f>
        <v>12003</v>
      </c>
      <c r="D9" s="28">
        <f>AVERAGE('ASML BS'!D29:E29)</f>
        <v>9475.7000000000007</v>
      </c>
      <c r="E9" s="28">
        <f>AVERAGE('ASML BS'!E29:F29)</f>
        <v>11131.599999999999</v>
      </c>
      <c r="G9" s="112" t="s">
        <v>302</v>
      </c>
    </row>
    <row r="10" spans="1:7">
      <c r="A10" s="19"/>
      <c r="B10" s="26"/>
      <c r="C10" s="23"/>
      <c r="D10" s="23"/>
      <c r="E10" s="32"/>
      <c r="G10" s="111"/>
    </row>
    <row r="11" spans="1:7">
      <c r="A11" s="18" t="s">
        <v>113</v>
      </c>
      <c r="B11" s="24">
        <f>'ASML BS'!C13</f>
        <v>27267.4</v>
      </c>
      <c r="C11" s="24">
        <f>'ASML BS'!D13</f>
        <v>30231</v>
      </c>
      <c r="D11" s="24">
        <f>'ASML BS'!E13</f>
        <v>36300.400000000001</v>
      </c>
      <c r="E11" s="24">
        <f>'ASML BS'!F13</f>
        <v>39957.5</v>
      </c>
      <c r="G11" s="111"/>
    </row>
    <row r="12" spans="1:7">
      <c r="A12" s="27" t="s">
        <v>114</v>
      </c>
      <c r="B12" s="28">
        <f>AVERAGE('ASML BS'!B13:C13)</f>
        <v>24948.5</v>
      </c>
      <c r="C12" s="28">
        <f>AVERAGE('ASML BS'!C13:D13)</f>
        <v>28749.200000000001</v>
      </c>
      <c r="D12" s="28">
        <f>AVERAGE('ASML BS'!D13:E13)</f>
        <v>33265.699999999997</v>
      </c>
      <c r="E12" s="28">
        <f>AVERAGE('ASML BS'!E13:F13)</f>
        <v>38128.949999999997</v>
      </c>
      <c r="G12" s="118" t="s">
        <v>312</v>
      </c>
    </row>
    <row r="13" spans="1:7">
      <c r="A13" s="19"/>
      <c r="B13" s="33"/>
      <c r="C13" s="34"/>
      <c r="D13" s="34"/>
      <c r="E13" s="35"/>
      <c r="G13" s="111"/>
    </row>
    <row r="14" spans="1:7">
      <c r="A14" s="36" t="s">
        <v>115</v>
      </c>
      <c r="B14" s="44">
        <f>B6/B9</f>
        <v>0.19595881712626997</v>
      </c>
      <c r="C14" s="44">
        <f t="shared" ref="C14:E14" si="0">C6/C9</f>
        <v>0.29606764975422811</v>
      </c>
      <c r="D14" s="44">
        <f t="shared" si="0"/>
        <v>0.62087233660837715</v>
      </c>
      <c r="E14" s="44">
        <f t="shared" si="0"/>
        <v>0.5052463257752704</v>
      </c>
      <c r="G14" s="112" t="s">
        <v>304</v>
      </c>
    </row>
    <row r="15" spans="1:7">
      <c r="A15" s="19"/>
      <c r="B15" s="33"/>
      <c r="C15" s="34"/>
      <c r="D15" s="34"/>
      <c r="E15" s="37"/>
      <c r="G15" s="111"/>
    </row>
    <row r="16" spans="1:7">
      <c r="A16" s="19"/>
      <c r="B16" s="38"/>
      <c r="C16" s="39"/>
      <c r="D16" s="39"/>
      <c r="E16" s="40"/>
      <c r="G16" s="111"/>
    </row>
    <row r="17" spans="1:7">
      <c r="A17" s="19"/>
      <c r="B17" s="38"/>
      <c r="C17" s="39"/>
      <c r="D17" s="39"/>
      <c r="E17" s="40"/>
      <c r="G17" s="118" t="s">
        <v>313</v>
      </c>
    </row>
    <row r="18" spans="1:7">
      <c r="A18" s="18" t="s">
        <v>116</v>
      </c>
      <c r="B18" s="41">
        <f>B6/B3</f>
        <v>0.18544908251958367</v>
      </c>
      <c r="C18" s="41">
        <f t="shared" ref="C18:E18" si="1">C6/C3</f>
        <v>0.19094621460426628</v>
      </c>
      <c r="D18" s="41">
        <f t="shared" si="1"/>
        <v>0.27785806719752137</v>
      </c>
      <c r="E18" s="41">
        <f t="shared" si="1"/>
        <v>0.20408222508481955</v>
      </c>
      <c r="G18" s="111"/>
    </row>
    <row r="19" spans="1:7" ht="14.25" thickBot="1">
      <c r="A19" s="19" t="s">
        <v>117</v>
      </c>
      <c r="B19" s="42">
        <f>B3/B9</f>
        <v>1.0566718069666183</v>
      </c>
      <c r="C19" s="42">
        <f t="shared" ref="C19:E19" si="2">C3/C9</f>
        <v>1.5505290344080647</v>
      </c>
      <c r="D19" s="42">
        <f t="shared" si="2"/>
        <v>2.2344945492153614</v>
      </c>
      <c r="E19" s="42">
        <f t="shared" si="2"/>
        <v>2.475699809551188</v>
      </c>
      <c r="G19" s="112" t="s">
        <v>306</v>
      </c>
    </row>
    <row r="20" spans="1:7" ht="14.25" thickTop="1">
      <c r="A20" s="43" t="s">
        <v>115</v>
      </c>
      <c r="B20" s="45">
        <f>B18*B19</f>
        <v>0.19595881712627</v>
      </c>
      <c r="C20" s="45">
        <f t="shared" ref="C20:E20" si="3">C18*C19</f>
        <v>0.29606764975422811</v>
      </c>
      <c r="D20" s="45">
        <f t="shared" si="3"/>
        <v>0.62087233660837715</v>
      </c>
      <c r="E20" s="45">
        <f t="shared" si="3"/>
        <v>0.5052463257752704</v>
      </c>
      <c r="G20" s="111"/>
    </row>
    <row r="21" spans="1:7">
      <c r="A21" s="19"/>
      <c r="B21" s="33"/>
      <c r="C21" s="34"/>
      <c r="D21" s="34"/>
      <c r="E21" s="37"/>
      <c r="G21" s="111"/>
    </row>
    <row r="22" spans="1:7">
      <c r="A22" s="18"/>
      <c r="B22" s="15" t="s">
        <v>226</v>
      </c>
      <c r="C22" s="51"/>
      <c r="D22" s="51"/>
      <c r="E22" s="52"/>
      <c r="G22" s="118" t="s">
        <v>314</v>
      </c>
    </row>
    <row r="23" spans="1:7">
      <c r="A23" s="19"/>
      <c r="B23" s="20">
        <v>2020</v>
      </c>
      <c r="C23" s="21">
        <v>2021</v>
      </c>
      <c r="D23" s="20">
        <v>2022</v>
      </c>
      <c r="E23" s="21">
        <v>2023</v>
      </c>
      <c r="G23" s="118" t="s">
        <v>315</v>
      </c>
    </row>
    <row r="24" spans="1:7">
      <c r="A24" s="18" t="s">
        <v>116</v>
      </c>
      <c r="B24" s="41">
        <f>B6/B3</f>
        <v>0.18544908251958367</v>
      </c>
      <c r="C24" s="41">
        <f t="shared" ref="C24:E24" si="4">C6/C3</f>
        <v>0.19094621460426628</v>
      </c>
      <c r="D24" s="41">
        <f t="shared" si="4"/>
        <v>0.27785806719752137</v>
      </c>
      <c r="E24" s="41">
        <f t="shared" si="4"/>
        <v>0.20408222508481955</v>
      </c>
    </row>
    <row r="25" spans="1:7">
      <c r="A25" s="19" t="s">
        <v>118</v>
      </c>
      <c r="B25" s="42">
        <f>B3/B12</f>
        <v>0.56029420606449287</v>
      </c>
      <c r="C25" s="42">
        <f t="shared" ref="C25:E25" si="5">C3/C12</f>
        <v>0.64735714385095933</v>
      </c>
      <c r="D25" s="42">
        <f t="shared" si="5"/>
        <v>0.63649344520031148</v>
      </c>
      <c r="E25" s="42">
        <f t="shared" si="5"/>
        <v>0.72277101782241582</v>
      </c>
    </row>
    <row r="26" spans="1:7" ht="14.25" thickBot="1">
      <c r="A26" s="19" t="s">
        <v>119</v>
      </c>
      <c r="B26" s="42">
        <f>B12/B9</f>
        <v>1.8859231373971941</v>
      </c>
      <c r="C26" s="42">
        <f t="shared" ref="C26:E26" si="6">C12/C9</f>
        <v>2.3951678746979921</v>
      </c>
      <c r="D26" s="42">
        <f t="shared" si="6"/>
        <v>3.5106324598710379</v>
      </c>
      <c r="E26" s="42">
        <f t="shared" si="6"/>
        <v>3.425289266592404</v>
      </c>
    </row>
    <row r="27" spans="1:7" ht="14.25" thickTop="1">
      <c r="A27" s="43" t="s">
        <v>115</v>
      </c>
      <c r="B27" s="46">
        <f>B24*B25*B26</f>
        <v>0.19595881712627</v>
      </c>
      <c r="C27" s="46">
        <f t="shared" ref="C27:E27" si="7">C24*C25*C26</f>
        <v>0.29606764975422806</v>
      </c>
      <c r="D27" s="46">
        <f t="shared" si="7"/>
        <v>0.62087233660837704</v>
      </c>
      <c r="E27" s="46">
        <f t="shared" si="7"/>
        <v>0.50524632577527051</v>
      </c>
    </row>
  </sheetData>
  <mergeCells count="1">
    <mergeCell ref="B1:E1"/>
  </mergeCells>
  <phoneticPr fontId="1" type="noConversion"/>
  <pageMargins left="0.7" right="0.7" top="0.75" bottom="0.75" header="0.3" footer="0.3"/>
  <ignoredErrors>
    <ignoredError sqref="B9:E9 B12:E1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88FBE-39C8-45FB-BD04-C34699023C86}">
  <dimension ref="A1:P118"/>
  <sheetViews>
    <sheetView zoomScale="42" workbookViewId="0">
      <selection activeCell="A3" sqref="A3:A37"/>
    </sheetView>
  </sheetViews>
  <sheetFormatPr defaultRowHeight="13.9"/>
  <cols>
    <col min="1" max="1" width="80" customWidth="1"/>
    <col min="2" max="6" width="14" customWidth="1"/>
    <col min="8" max="8" width="9.06640625" style="14"/>
  </cols>
  <sheetData>
    <row r="1" spans="1:16" ht="14.25">
      <c r="A1" s="6" t="s">
        <v>88</v>
      </c>
      <c r="H1" s="126" t="s">
        <v>94</v>
      </c>
      <c r="I1" s="127"/>
      <c r="J1" s="127"/>
      <c r="N1" s="17" t="s">
        <v>95</v>
      </c>
    </row>
    <row r="2" spans="1:16" s="8" customFormat="1">
      <c r="B2" s="5">
        <v>2023</v>
      </c>
      <c r="C2" s="5">
        <v>2022</v>
      </c>
      <c r="D2" s="5">
        <v>2021</v>
      </c>
      <c r="E2" s="5">
        <v>2020</v>
      </c>
      <c r="F2" s="5">
        <v>2019</v>
      </c>
    </row>
    <row r="3" spans="1:16" s="8" customFormat="1">
      <c r="A3" s="4" t="s">
        <v>89</v>
      </c>
      <c r="B3" s="7">
        <v>65728</v>
      </c>
      <c r="C3" s="7">
        <v>41182</v>
      </c>
      <c r="D3" s="7">
        <v>44187</v>
      </c>
      <c r="E3" s="7">
        <v>28791</v>
      </c>
      <c r="F3" s="7">
        <v>17315</v>
      </c>
      <c r="H3" s="13">
        <f t="shared" ref="H3:H16" si="0">IF(ISNUMBER(B3),B3/B$3)</f>
        <v>1</v>
      </c>
      <c r="I3" s="13">
        <f t="shared" ref="I3:I16" si="1">IF(ISNUMBER(C3),C3/C$3)</f>
        <v>1</v>
      </c>
      <c r="J3" s="13">
        <f t="shared" ref="J3:J16" si="2">IF(ISNUMBER(D3),D3/D$3)</f>
        <v>1</v>
      </c>
      <c r="K3" s="13">
        <f t="shared" ref="K3:K16" si="3">IF(ISNUMBER(E3),E3/E$3)</f>
        <v>1</v>
      </c>
      <c r="L3" s="13">
        <f t="shared" ref="L3:L16" si="4">IF(ISNUMBER(F3),F3/F$3)</f>
        <v>1</v>
      </c>
      <c r="N3" s="8">
        <f>IFERROR(B3/$D3,"")</f>
        <v>1.4874963224477789</v>
      </c>
      <c r="O3" s="8">
        <f t="shared" ref="O3:P18" si="5">IFERROR(C3/$D3,"")</f>
        <v>0.93199357277027184</v>
      </c>
      <c r="P3" s="8">
        <f t="shared" si="5"/>
        <v>1</v>
      </c>
    </row>
    <row r="4" spans="1:16">
      <c r="A4" s="11" t="s">
        <v>90</v>
      </c>
      <c r="B4" s="7">
        <v>44345</v>
      </c>
      <c r="C4" s="7">
        <v>23073</v>
      </c>
      <c r="D4" s="7">
        <v>28829</v>
      </c>
      <c r="E4" s="7">
        <v>16055</v>
      </c>
      <c r="F4" s="7">
        <v>13690</v>
      </c>
      <c r="H4" s="13">
        <f t="shared" si="0"/>
        <v>0.67467441577409937</v>
      </c>
      <c r="I4" s="13">
        <f t="shared" si="1"/>
        <v>0.56026904958477008</v>
      </c>
      <c r="J4" s="13">
        <f t="shared" si="2"/>
        <v>0.65243171068413786</v>
      </c>
      <c r="K4" s="13">
        <f t="shared" si="3"/>
        <v>0.55763954013406969</v>
      </c>
      <c r="L4" s="13">
        <f t="shared" si="4"/>
        <v>0.79064395033208201</v>
      </c>
      <c r="N4" s="8">
        <f t="shared" ref="N4:P37" si="6">IFERROR(B4/$D4,"")</f>
        <v>1.538208054389677</v>
      </c>
      <c r="O4" s="8">
        <f t="shared" si="5"/>
        <v>0.80033993548163307</v>
      </c>
      <c r="P4" s="8">
        <f t="shared" si="5"/>
        <v>1</v>
      </c>
    </row>
    <row r="5" spans="1:16">
      <c r="A5" s="10" t="s">
        <v>26</v>
      </c>
      <c r="B5" s="1">
        <v>7280</v>
      </c>
      <c r="C5" s="1">
        <v>3389</v>
      </c>
      <c r="D5" s="1">
        <v>1990</v>
      </c>
      <c r="E5" s="1">
        <v>847</v>
      </c>
      <c r="F5" s="1">
        <v>10896</v>
      </c>
      <c r="H5" s="13">
        <f t="shared" si="0"/>
        <v>0.11075949367088607</v>
      </c>
      <c r="I5" s="13">
        <f t="shared" si="1"/>
        <v>8.2293234908455151E-2</v>
      </c>
      <c r="J5" s="13">
        <f t="shared" si="2"/>
        <v>4.5035870278588727E-2</v>
      </c>
      <c r="K5" s="13">
        <f t="shared" si="3"/>
        <v>2.9418915633357648E-2</v>
      </c>
      <c r="L5" s="13">
        <f t="shared" si="4"/>
        <v>0.62928097025700258</v>
      </c>
      <c r="N5" s="8">
        <f t="shared" si="6"/>
        <v>3.658291457286432</v>
      </c>
      <c r="O5" s="8">
        <f t="shared" si="5"/>
        <v>1.7030150753768845</v>
      </c>
      <c r="P5" s="8">
        <f t="shared" si="5"/>
        <v>1</v>
      </c>
    </row>
    <row r="6" spans="1:16">
      <c r="A6" s="10" t="s">
        <v>25</v>
      </c>
      <c r="B6" s="3">
        <v>18704</v>
      </c>
      <c r="C6" s="3">
        <v>9907</v>
      </c>
      <c r="D6" s="3">
        <v>19218</v>
      </c>
      <c r="E6" s="3">
        <v>10714</v>
      </c>
      <c r="F6" s="3">
        <v>1</v>
      </c>
      <c r="H6" s="13">
        <f t="shared" si="0"/>
        <v>0.28456669912366117</v>
      </c>
      <c r="I6" s="13">
        <f t="shared" si="1"/>
        <v>0.24056626681559906</v>
      </c>
      <c r="J6" s="13">
        <f t="shared" si="2"/>
        <v>0.43492429900196888</v>
      </c>
      <c r="K6" s="13">
        <f t="shared" si="3"/>
        <v>0.37213017957000449</v>
      </c>
      <c r="L6" s="13">
        <f t="shared" si="4"/>
        <v>5.7753393011839443E-5</v>
      </c>
      <c r="N6" s="8">
        <f t="shared" si="6"/>
        <v>0.97325424081590173</v>
      </c>
      <c r="O6" s="8">
        <f t="shared" si="5"/>
        <v>0.51550629618066401</v>
      </c>
      <c r="P6" s="8">
        <f t="shared" si="5"/>
        <v>1</v>
      </c>
    </row>
    <row r="7" spans="1:16">
      <c r="A7" s="10" t="s">
        <v>24</v>
      </c>
      <c r="B7" s="3">
        <v>9999</v>
      </c>
      <c r="C7" s="3">
        <v>3827</v>
      </c>
      <c r="D7" s="3">
        <v>4650</v>
      </c>
      <c r="E7" s="3">
        <v>2429</v>
      </c>
      <c r="F7" s="3">
        <v>1657</v>
      </c>
      <c r="H7" s="13">
        <f t="shared" si="0"/>
        <v>0.15212694741966895</v>
      </c>
      <c r="I7" s="13">
        <f t="shared" si="1"/>
        <v>9.2928949541061623E-2</v>
      </c>
      <c r="J7" s="13">
        <f t="shared" si="2"/>
        <v>0.10523457125398873</v>
      </c>
      <c r="K7" s="13">
        <f t="shared" si="3"/>
        <v>8.4366642353513252E-2</v>
      </c>
      <c r="L7" s="13">
        <f t="shared" si="4"/>
        <v>9.5697372220617957E-2</v>
      </c>
      <c r="N7" s="8">
        <f t="shared" si="6"/>
        <v>2.1503225806451614</v>
      </c>
      <c r="O7" s="8">
        <f t="shared" si="5"/>
        <v>0.82301075268817203</v>
      </c>
      <c r="P7" s="8">
        <f t="shared" si="5"/>
        <v>1</v>
      </c>
    </row>
    <row r="8" spans="1:16">
      <c r="A8" s="10" t="s">
        <v>23</v>
      </c>
      <c r="B8" s="3">
        <v>5282</v>
      </c>
      <c r="C8" s="3">
        <v>5159</v>
      </c>
      <c r="D8" s="3">
        <v>2605</v>
      </c>
      <c r="E8" s="3">
        <v>1826</v>
      </c>
      <c r="F8" s="3">
        <v>979</v>
      </c>
      <c r="H8" s="13">
        <f t="shared" si="0"/>
        <v>8.0361489776046735E-2</v>
      </c>
      <c r="I8" s="13">
        <f t="shared" si="1"/>
        <v>0.1252731776018649</v>
      </c>
      <c r="J8" s="13">
        <f t="shared" si="2"/>
        <v>5.8953990992825944E-2</v>
      </c>
      <c r="K8" s="13">
        <f t="shared" si="3"/>
        <v>6.3422597339446357E-2</v>
      </c>
      <c r="L8" s="13">
        <f t="shared" si="4"/>
        <v>5.654057175859082E-2</v>
      </c>
      <c r="N8" s="8">
        <f t="shared" si="6"/>
        <v>2.0276391554702493</v>
      </c>
      <c r="O8" s="8">
        <f t="shared" si="5"/>
        <v>1.9804222648752399</v>
      </c>
      <c r="P8" s="8">
        <f t="shared" si="5"/>
        <v>1</v>
      </c>
    </row>
    <row r="9" spans="1:16" s="8" customFormat="1">
      <c r="A9" s="10" t="s">
        <v>22</v>
      </c>
      <c r="B9" s="3">
        <v>3080</v>
      </c>
      <c r="C9" s="3">
        <v>791</v>
      </c>
      <c r="D9" s="3">
        <v>366</v>
      </c>
      <c r="E9" s="3">
        <v>239</v>
      </c>
      <c r="F9" s="3">
        <v>157</v>
      </c>
      <c r="H9" s="13">
        <f t="shared" si="0"/>
        <v>4.6859785783836413E-2</v>
      </c>
      <c r="I9" s="13">
        <f t="shared" si="1"/>
        <v>1.9207420717789324E-2</v>
      </c>
      <c r="J9" s="13">
        <f t="shared" si="2"/>
        <v>8.2829791567655651E-3</v>
      </c>
      <c r="K9" s="13">
        <f t="shared" si="3"/>
        <v>8.3012052377479072E-3</v>
      </c>
      <c r="L9" s="13">
        <f t="shared" si="4"/>
        <v>9.0672827028587932E-3</v>
      </c>
      <c r="N9" s="8">
        <f t="shared" si="6"/>
        <v>8.415300546448087</v>
      </c>
      <c r="O9" s="8">
        <f t="shared" si="5"/>
        <v>2.1612021857923498</v>
      </c>
      <c r="P9" s="8">
        <f t="shared" si="5"/>
        <v>1</v>
      </c>
    </row>
    <row r="10" spans="1:16">
      <c r="A10" s="4" t="s">
        <v>92</v>
      </c>
      <c r="B10" s="9">
        <f>SUM(B11:B16)</f>
        <v>21383</v>
      </c>
      <c r="C10" s="9">
        <f t="shared" ref="C10:F10" si="7">SUM(C11:C16)</f>
        <v>18109</v>
      </c>
      <c r="D10" s="9">
        <f t="shared" si="7"/>
        <v>15358</v>
      </c>
      <c r="E10" s="9">
        <f t="shared" si="7"/>
        <v>12736</v>
      </c>
      <c r="F10" s="9">
        <f t="shared" si="7"/>
        <v>3625</v>
      </c>
      <c r="H10" s="13">
        <f t="shared" si="0"/>
        <v>0.32532558422590069</v>
      </c>
      <c r="I10" s="13">
        <f t="shared" si="1"/>
        <v>0.43973095041522997</v>
      </c>
      <c r="J10" s="13">
        <f t="shared" si="2"/>
        <v>0.34756828931586214</v>
      </c>
      <c r="K10" s="13">
        <f t="shared" si="3"/>
        <v>0.44236045986593031</v>
      </c>
      <c r="L10" s="13">
        <f t="shared" si="4"/>
        <v>0.20935604966791799</v>
      </c>
      <c r="N10" s="8">
        <f t="shared" si="6"/>
        <v>1.3923036853757</v>
      </c>
      <c r="O10" s="8">
        <f t="shared" si="5"/>
        <v>1.1791248860528714</v>
      </c>
      <c r="P10" s="8">
        <f t="shared" si="5"/>
        <v>1</v>
      </c>
    </row>
    <row r="11" spans="1:16">
      <c r="A11" s="10" t="s">
        <v>21</v>
      </c>
      <c r="B11" s="3">
        <v>3914</v>
      </c>
      <c r="C11" s="3">
        <v>3807</v>
      </c>
      <c r="D11" s="3">
        <v>2778</v>
      </c>
      <c r="E11" s="3">
        <v>2149</v>
      </c>
      <c r="F11" s="3">
        <v>1674</v>
      </c>
      <c r="H11" s="13">
        <f t="shared" si="0"/>
        <v>5.954844206426485E-2</v>
      </c>
      <c r="I11" s="13">
        <f t="shared" si="1"/>
        <v>9.2443300471079598E-2</v>
      </c>
      <c r="J11" s="13">
        <f t="shared" si="2"/>
        <v>6.2869169665286176E-2</v>
      </c>
      <c r="K11" s="13">
        <f t="shared" si="3"/>
        <v>7.4641380987114023E-2</v>
      </c>
      <c r="L11" s="13">
        <f t="shared" si="4"/>
        <v>9.6679179901819234E-2</v>
      </c>
      <c r="N11" s="8">
        <f t="shared" si="6"/>
        <v>1.4089272858171347</v>
      </c>
      <c r="O11" s="8">
        <f t="shared" si="5"/>
        <v>1.3704103671706263</v>
      </c>
      <c r="P11" s="8">
        <f t="shared" si="5"/>
        <v>1</v>
      </c>
    </row>
    <row r="12" spans="1:16">
      <c r="A12" s="10" t="s">
        <v>20</v>
      </c>
      <c r="B12" s="3">
        <v>1346</v>
      </c>
      <c r="C12" s="3">
        <v>1038</v>
      </c>
      <c r="D12" s="3">
        <v>829</v>
      </c>
      <c r="E12" s="3">
        <v>707</v>
      </c>
      <c r="F12" s="3">
        <v>618</v>
      </c>
      <c r="H12" s="13">
        <f t="shared" si="0"/>
        <v>2.0478334956183057E-2</v>
      </c>
      <c r="I12" s="13">
        <f t="shared" si="1"/>
        <v>2.5205186732067408E-2</v>
      </c>
      <c r="J12" s="13">
        <f t="shared" si="2"/>
        <v>1.8761174100979928E-2</v>
      </c>
      <c r="K12" s="13">
        <f t="shared" si="3"/>
        <v>2.4556284950158037E-2</v>
      </c>
      <c r="L12" s="13">
        <f t="shared" si="4"/>
        <v>3.5691596881316776E-2</v>
      </c>
      <c r="N12" s="8">
        <f t="shared" si="6"/>
        <v>1.6236429433051869</v>
      </c>
      <c r="O12" s="8">
        <f t="shared" si="5"/>
        <v>1.2521109770808203</v>
      </c>
      <c r="P12" s="8">
        <f t="shared" si="5"/>
        <v>1</v>
      </c>
    </row>
    <row r="13" spans="1:16">
      <c r="A13" s="10" t="s">
        <v>19</v>
      </c>
      <c r="B13" s="3">
        <v>4430</v>
      </c>
      <c r="C13" s="3">
        <v>4372</v>
      </c>
      <c r="D13" s="3">
        <v>4349</v>
      </c>
      <c r="E13" s="3">
        <v>4193</v>
      </c>
      <c r="F13" s="3">
        <v>618</v>
      </c>
      <c r="H13" s="13">
        <f t="shared" si="0"/>
        <v>6.739897760467381E-2</v>
      </c>
      <c r="I13" s="13">
        <f t="shared" si="1"/>
        <v>0.10616288669807197</v>
      </c>
      <c r="J13" s="13">
        <f t="shared" si="2"/>
        <v>9.8422612985719776E-2</v>
      </c>
      <c r="K13" s="13">
        <f t="shared" si="3"/>
        <v>0.14563578896182836</v>
      </c>
      <c r="L13" s="13">
        <f t="shared" si="4"/>
        <v>3.5691596881316776E-2</v>
      </c>
      <c r="N13" s="8">
        <f t="shared" si="6"/>
        <v>1.0186249712577604</v>
      </c>
      <c r="O13" s="8">
        <f t="shared" si="5"/>
        <v>1.0052885720855369</v>
      </c>
      <c r="P13" s="8">
        <f t="shared" si="5"/>
        <v>1</v>
      </c>
    </row>
    <row r="14" spans="1:16">
      <c r="A14" s="10" t="s">
        <v>18</v>
      </c>
      <c r="B14" s="3">
        <v>1112</v>
      </c>
      <c r="C14" s="3">
        <v>1676</v>
      </c>
      <c r="D14" s="3">
        <v>2339</v>
      </c>
      <c r="E14" s="3">
        <v>2737</v>
      </c>
      <c r="F14" s="3">
        <v>49</v>
      </c>
      <c r="H14" s="13">
        <f t="shared" si="0"/>
        <v>1.6918208373904578E-2</v>
      </c>
      <c r="I14" s="13">
        <f t="shared" si="1"/>
        <v>4.0697392064494194E-2</v>
      </c>
      <c r="J14" s="13">
        <f t="shared" si="2"/>
        <v>5.2934120895285944E-2</v>
      </c>
      <c r="K14" s="13">
        <f t="shared" si="3"/>
        <v>9.506442985655239E-2</v>
      </c>
      <c r="L14" s="13">
        <f t="shared" si="4"/>
        <v>2.829916257580133E-3</v>
      </c>
      <c r="N14" s="8">
        <f t="shared" si="6"/>
        <v>0.47541684480547242</v>
      </c>
      <c r="O14" s="8">
        <f t="shared" si="5"/>
        <v>0.71654553227875162</v>
      </c>
      <c r="P14" s="8">
        <f t="shared" si="5"/>
        <v>1</v>
      </c>
    </row>
    <row r="15" spans="1:16">
      <c r="A15" s="10" t="s">
        <v>17</v>
      </c>
      <c r="B15" s="3">
        <v>6081</v>
      </c>
      <c r="C15" s="3">
        <v>3396</v>
      </c>
      <c r="D15" s="3">
        <v>1222</v>
      </c>
      <c r="E15" s="3">
        <v>806</v>
      </c>
      <c r="F15" s="3">
        <v>548</v>
      </c>
      <c r="H15" s="13">
        <f t="shared" si="0"/>
        <v>9.2517648490749754E-2</v>
      </c>
      <c r="I15" s="13">
        <f t="shared" si="1"/>
        <v>8.2463212082948864E-2</v>
      </c>
      <c r="J15" s="13">
        <f t="shared" si="2"/>
        <v>2.7655192703736394E-2</v>
      </c>
      <c r="K15" s="13">
        <f t="shared" si="3"/>
        <v>2.7994859504706333E-2</v>
      </c>
      <c r="L15" s="13">
        <f t="shared" si="4"/>
        <v>3.1648859370488017E-2</v>
      </c>
      <c r="N15" s="8">
        <f t="shared" si="6"/>
        <v>4.9762684124386256</v>
      </c>
      <c r="O15" s="8">
        <f t="shared" si="5"/>
        <v>2.779050736497545</v>
      </c>
      <c r="P15" s="8">
        <f t="shared" si="5"/>
        <v>1</v>
      </c>
    </row>
    <row r="16" spans="1:16">
      <c r="A16" s="10" t="s">
        <v>91</v>
      </c>
      <c r="B16" s="3">
        <v>4500</v>
      </c>
      <c r="C16" s="3">
        <v>3820</v>
      </c>
      <c r="D16" s="3">
        <v>3841</v>
      </c>
      <c r="E16" s="3">
        <v>2144</v>
      </c>
      <c r="F16" s="3">
        <v>118</v>
      </c>
      <c r="H16" s="13">
        <f t="shared" si="0"/>
        <v>6.8463972736124631E-2</v>
      </c>
      <c r="I16" s="13">
        <f t="shared" si="1"/>
        <v>9.2758972366567924E-2</v>
      </c>
      <c r="J16" s="13">
        <f t="shared" si="2"/>
        <v>8.6926018964853913E-2</v>
      </c>
      <c r="K16" s="13">
        <f t="shared" si="3"/>
        <v>7.446771560557118E-2</v>
      </c>
      <c r="L16" s="13">
        <f t="shared" si="4"/>
        <v>6.8149003753970542E-3</v>
      </c>
      <c r="N16" s="8">
        <f t="shared" si="6"/>
        <v>1.1715699036709191</v>
      </c>
      <c r="O16" s="8">
        <f t="shared" si="5"/>
        <v>0.99453267378286903</v>
      </c>
      <c r="P16" s="8">
        <f t="shared" si="5"/>
        <v>1</v>
      </c>
    </row>
    <row r="17" spans="1:16" s="8" customFormat="1">
      <c r="A17" s="10"/>
      <c r="B17" s="3"/>
      <c r="C17" s="3"/>
      <c r="D17" s="3"/>
      <c r="E17" s="3"/>
      <c r="F17" s="3"/>
      <c r="H17" s="13"/>
      <c r="I17" s="13"/>
      <c r="J17" s="13"/>
      <c r="K17" s="13"/>
      <c r="L17" s="13"/>
      <c r="N17" s="8" t="str">
        <f t="shared" si="6"/>
        <v/>
      </c>
      <c r="O17" s="8" t="str">
        <f t="shared" si="5"/>
        <v/>
      </c>
      <c r="P17" s="8" t="str">
        <f t="shared" si="5"/>
        <v/>
      </c>
    </row>
    <row r="18" spans="1:16" s="8" customFormat="1">
      <c r="A18" s="4" t="s">
        <v>9</v>
      </c>
      <c r="B18" s="7">
        <v>22750</v>
      </c>
      <c r="C18" s="7">
        <v>19081</v>
      </c>
      <c r="D18" s="7">
        <v>17575</v>
      </c>
      <c r="E18" s="7">
        <v>11898</v>
      </c>
      <c r="F18" s="7">
        <v>5111</v>
      </c>
      <c r="H18" s="13">
        <f t="shared" ref="H18:H26" si="8">IF(ISNUMBER(B18),B18/B$3)</f>
        <v>0.346123417721519</v>
      </c>
      <c r="I18" s="13">
        <f t="shared" ref="I18:I26" si="9">IF(ISNUMBER(C18),C18/C$3)</f>
        <v>0.46333349521635664</v>
      </c>
      <c r="J18" s="13">
        <f t="shared" ref="J18:J26" si="10">IF(ISNUMBER(D18),D18/D$3)</f>
        <v>0.39774141715889288</v>
      </c>
      <c r="K18" s="13">
        <f t="shared" ref="K18:K26" si="11">IF(ISNUMBER(E18),E18/E$3)</f>
        <v>0.41325414191934978</v>
      </c>
      <c r="L18" s="13">
        <f t="shared" ref="L18:L26" si="12">IF(ISNUMBER(F18),F18/F$3)</f>
        <v>0.29517759168351143</v>
      </c>
      <c r="N18" s="8">
        <f t="shared" si="6"/>
        <v>1.294452347083926</v>
      </c>
      <c r="O18" s="8">
        <f t="shared" si="5"/>
        <v>1.0856899004267426</v>
      </c>
      <c r="P18" s="8">
        <f t="shared" si="5"/>
        <v>1</v>
      </c>
    </row>
    <row r="19" spans="1:16">
      <c r="A19" s="4" t="s">
        <v>13</v>
      </c>
      <c r="B19" s="7">
        <v>10631</v>
      </c>
      <c r="C19" s="7">
        <v>6563</v>
      </c>
      <c r="D19" s="7">
        <v>4335</v>
      </c>
      <c r="E19" s="7">
        <v>3925</v>
      </c>
      <c r="F19" s="7">
        <v>1784</v>
      </c>
      <c r="H19" s="13">
        <f t="shared" si="8"/>
        <v>0.16174233203505356</v>
      </c>
      <c r="I19" s="13">
        <f t="shared" si="9"/>
        <v>0.15936574231460346</v>
      </c>
      <c r="J19" s="13">
        <f t="shared" si="10"/>
        <v>9.8105777717428205E-2</v>
      </c>
      <c r="K19" s="13">
        <f t="shared" si="11"/>
        <v>0.13632732451113194</v>
      </c>
      <c r="L19" s="13">
        <f t="shared" si="12"/>
        <v>0.10303205313312157</v>
      </c>
      <c r="N19" s="8">
        <f t="shared" si="6"/>
        <v>2.4523644752018456</v>
      </c>
      <c r="O19" s="8">
        <f t="shared" si="6"/>
        <v>1.5139561707035756</v>
      </c>
      <c r="P19" s="8">
        <f t="shared" si="6"/>
        <v>1</v>
      </c>
    </row>
    <row r="20" spans="1:16">
      <c r="A20" s="2" t="s">
        <v>16</v>
      </c>
      <c r="B20" s="3">
        <v>2699</v>
      </c>
      <c r="C20" s="3">
        <v>1193</v>
      </c>
      <c r="D20" s="3">
        <v>1783</v>
      </c>
      <c r="E20" s="3">
        <v>1149</v>
      </c>
      <c r="F20" s="3">
        <v>687</v>
      </c>
      <c r="H20" s="13">
        <f t="shared" si="8"/>
        <v>4.1063169425511199E-2</v>
      </c>
      <c r="I20" s="13">
        <f t="shared" si="9"/>
        <v>2.8968967024428149E-2</v>
      </c>
      <c r="J20" s="13">
        <f t="shared" si="10"/>
        <v>4.0351234525991805E-2</v>
      </c>
      <c r="K20" s="13">
        <f t="shared" si="11"/>
        <v>3.9908304678545378E-2</v>
      </c>
      <c r="L20" s="13">
        <f t="shared" si="12"/>
        <v>3.9676580999133702E-2</v>
      </c>
      <c r="N20" s="8">
        <f t="shared" si="6"/>
        <v>1.5137408861469432</v>
      </c>
      <c r="O20" s="8">
        <f t="shared" si="6"/>
        <v>0.66909702748177224</v>
      </c>
      <c r="P20" s="8">
        <f t="shared" si="6"/>
        <v>1</v>
      </c>
    </row>
    <row r="21" spans="1:16">
      <c r="A21" s="2" t="s">
        <v>15</v>
      </c>
      <c r="B21" s="3">
        <v>6682</v>
      </c>
      <c r="C21" s="3">
        <v>4120</v>
      </c>
      <c r="D21" s="3">
        <v>2552</v>
      </c>
      <c r="E21" s="3">
        <v>1777</v>
      </c>
      <c r="F21" s="3">
        <v>1097</v>
      </c>
      <c r="H21" s="13">
        <f t="shared" si="8"/>
        <v>0.10166139240506329</v>
      </c>
      <c r="I21" s="13">
        <f t="shared" si="9"/>
        <v>0.10004370841629838</v>
      </c>
      <c r="J21" s="13">
        <f t="shared" si="10"/>
        <v>5.7754543191436393E-2</v>
      </c>
      <c r="K21" s="13">
        <f t="shared" si="11"/>
        <v>6.1720676600326492E-2</v>
      </c>
      <c r="L21" s="13">
        <f t="shared" si="12"/>
        <v>6.3355472133987872E-2</v>
      </c>
      <c r="N21" s="8">
        <f t="shared" si="6"/>
        <v>2.6183385579937304</v>
      </c>
      <c r="O21" s="8">
        <f t="shared" si="6"/>
        <v>1.6144200626959249</v>
      </c>
      <c r="P21" s="8">
        <f t="shared" si="6"/>
        <v>1</v>
      </c>
    </row>
    <row r="22" spans="1:16" s="8" customFormat="1">
      <c r="A22" s="2" t="s">
        <v>14</v>
      </c>
      <c r="B22" s="3">
        <v>1250</v>
      </c>
      <c r="C22" s="3">
        <v>1250</v>
      </c>
      <c r="D22" s="3">
        <v>0</v>
      </c>
      <c r="E22" s="3">
        <v>999</v>
      </c>
      <c r="F22" s="3">
        <v>0</v>
      </c>
      <c r="H22" s="13">
        <f t="shared" si="8"/>
        <v>1.9017770204479065E-2</v>
      </c>
      <c r="I22" s="13">
        <f t="shared" si="9"/>
        <v>3.0353066873876938E-2</v>
      </c>
      <c r="J22" s="13">
        <f t="shared" si="10"/>
        <v>0</v>
      </c>
      <c r="K22" s="13">
        <f t="shared" si="11"/>
        <v>3.4698343232260079E-2</v>
      </c>
      <c r="L22" s="13">
        <f t="shared" si="12"/>
        <v>0</v>
      </c>
      <c r="N22" s="8" t="str">
        <f t="shared" si="6"/>
        <v/>
      </c>
      <c r="O22" s="8" t="str">
        <f t="shared" si="6"/>
        <v/>
      </c>
      <c r="P22" s="8" t="str">
        <f t="shared" si="6"/>
        <v/>
      </c>
    </row>
    <row r="23" spans="1:16">
      <c r="A23" s="4" t="s">
        <v>93</v>
      </c>
      <c r="B23" s="9">
        <f>SUM(B24:B26)</f>
        <v>12119</v>
      </c>
      <c r="C23" s="9">
        <f t="shared" ref="C23:F23" si="13">SUM(C24:C26)</f>
        <v>12518</v>
      </c>
      <c r="D23" s="9">
        <f t="shared" si="13"/>
        <v>13240</v>
      </c>
      <c r="E23" s="9">
        <f t="shared" si="13"/>
        <v>7973</v>
      </c>
      <c r="F23" s="9">
        <f t="shared" si="13"/>
        <v>3327</v>
      </c>
      <c r="H23" s="13">
        <f t="shared" si="8"/>
        <v>0.18438108568646544</v>
      </c>
      <c r="I23" s="13">
        <f t="shared" si="9"/>
        <v>0.30396775290175321</v>
      </c>
      <c r="J23" s="13">
        <f t="shared" si="10"/>
        <v>0.29963563944146471</v>
      </c>
      <c r="K23" s="13">
        <f t="shared" si="11"/>
        <v>0.27692681740821784</v>
      </c>
      <c r="L23" s="13">
        <f t="shared" si="12"/>
        <v>0.19214553855038982</v>
      </c>
      <c r="N23" s="8">
        <f t="shared" si="6"/>
        <v>0.91533232628398786</v>
      </c>
      <c r="O23" s="8">
        <f t="shared" si="6"/>
        <v>0.94546827794561938</v>
      </c>
      <c r="P23" s="8">
        <f t="shared" si="6"/>
        <v>1</v>
      </c>
    </row>
    <row r="24" spans="1:16">
      <c r="A24" s="2" t="s">
        <v>12</v>
      </c>
      <c r="B24" s="3">
        <v>8459</v>
      </c>
      <c r="C24" s="3">
        <v>9703</v>
      </c>
      <c r="D24" s="3">
        <v>10946</v>
      </c>
      <c r="E24" s="3">
        <v>5964</v>
      </c>
      <c r="F24" s="3">
        <v>1991</v>
      </c>
      <c r="H24" s="13">
        <f t="shared" si="8"/>
        <v>0.12869705452775074</v>
      </c>
      <c r="I24" s="13">
        <f t="shared" si="9"/>
        <v>0.23561264630178233</v>
      </c>
      <c r="J24" s="13">
        <f t="shared" si="10"/>
        <v>0.24771991762283024</v>
      </c>
      <c r="K24" s="13">
        <f t="shared" si="11"/>
        <v>0.20714806710430342</v>
      </c>
      <c r="L24" s="13">
        <f t="shared" si="12"/>
        <v>0.11498700548657234</v>
      </c>
      <c r="N24" s="8">
        <f t="shared" si="6"/>
        <v>0.77279371459894031</v>
      </c>
      <c r="O24" s="8">
        <f t="shared" si="6"/>
        <v>0.88644253608624157</v>
      </c>
      <c r="P24" s="8">
        <f t="shared" si="6"/>
        <v>1</v>
      </c>
    </row>
    <row r="25" spans="1:16">
      <c r="A25" s="2" t="s">
        <v>11</v>
      </c>
      <c r="B25" s="3">
        <v>1119</v>
      </c>
      <c r="C25" s="3">
        <v>902</v>
      </c>
      <c r="D25" s="3">
        <v>741</v>
      </c>
      <c r="E25" s="3">
        <v>634</v>
      </c>
      <c r="F25" s="3">
        <v>561</v>
      </c>
      <c r="H25" s="13">
        <f t="shared" si="8"/>
        <v>1.7024707887049659E-2</v>
      </c>
      <c r="I25" s="13">
        <f t="shared" si="9"/>
        <v>2.1902773056189598E-2</v>
      </c>
      <c r="J25" s="13">
        <f t="shared" si="10"/>
        <v>1.6769638128861428E-2</v>
      </c>
      <c r="K25" s="13">
        <f t="shared" si="11"/>
        <v>2.2020770379632525E-2</v>
      </c>
      <c r="L25" s="13">
        <f t="shared" si="12"/>
        <v>3.2399653479641931E-2</v>
      </c>
      <c r="N25" s="8">
        <f t="shared" si="6"/>
        <v>1.5101214574898785</v>
      </c>
      <c r="O25" s="8">
        <f t="shared" si="6"/>
        <v>1.2172739541160593</v>
      </c>
      <c r="P25" s="8">
        <f t="shared" si="6"/>
        <v>1</v>
      </c>
    </row>
    <row r="26" spans="1:16">
      <c r="A26" s="2" t="s">
        <v>10</v>
      </c>
      <c r="B26" s="3">
        <v>2541</v>
      </c>
      <c r="C26" s="3">
        <v>1913</v>
      </c>
      <c r="D26" s="3">
        <v>1553</v>
      </c>
      <c r="E26" s="3">
        <v>1375</v>
      </c>
      <c r="F26" s="3">
        <v>775</v>
      </c>
      <c r="H26" s="13">
        <f t="shared" si="8"/>
        <v>3.8659323271665047E-2</v>
      </c>
      <c r="I26" s="13">
        <f t="shared" si="9"/>
        <v>4.6452333543781262E-2</v>
      </c>
      <c r="J26" s="13">
        <f t="shared" si="10"/>
        <v>3.5146083689773011E-2</v>
      </c>
      <c r="K26" s="13">
        <f t="shared" si="11"/>
        <v>4.7757979924281893E-2</v>
      </c>
      <c r="L26" s="13">
        <f t="shared" si="12"/>
        <v>4.475887958417557E-2</v>
      </c>
      <c r="N26" s="8">
        <f t="shared" si="6"/>
        <v>1.63618802318094</v>
      </c>
      <c r="O26" s="8">
        <f t="shared" si="6"/>
        <v>1.231809401159047</v>
      </c>
      <c r="P26" s="8">
        <f t="shared" si="6"/>
        <v>1</v>
      </c>
    </row>
    <row r="27" spans="1:16">
      <c r="H27" s="13"/>
      <c r="K27" s="13"/>
      <c r="L27" s="13"/>
      <c r="N27" s="8" t="str">
        <f t="shared" si="6"/>
        <v/>
      </c>
      <c r="O27" s="8" t="str">
        <f t="shared" si="6"/>
        <v/>
      </c>
      <c r="P27" s="8" t="str">
        <f t="shared" si="6"/>
        <v/>
      </c>
    </row>
    <row r="28" spans="1:16" s="8" customFormat="1">
      <c r="A28" s="2" t="s">
        <v>8</v>
      </c>
      <c r="B28" s="2" t="s">
        <v>7</v>
      </c>
      <c r="C28" s="2" t="s">
        <v>7</v>
      </c>
      <c r="D28" s="2" t="s">
        <v>7</v>
      </c>
      <c r="E28" s="2" t="s">
        <v>7</v>
      </c>
      <c r="F28" s="2" t="s">
        <v>7</v>
      </c>
      <c r="H28" s="13"/>
      <c r="I28"/>
      <c r="J28"/>
      <c r="K28" s="13"/>
      <c r="L28" s="13"/>
      <c r="N28" s="8" t="str">
        <f t="shared" si="6"/>
        <v/>
      </c>
      <c r="O28" s="8" t="str">
        <f t="shared" si="6"/>
        <v/>
      </c>
      <c r="P28" s="8" t="str">
        <f t="shared" si="6"/>
        <v/>
      </c>
    </row>
    <row r="29" spans="1:16">
      <c r="A29" s="4" t="s">
        <v>1</v>
      </c>
      <c r="B29" s="7">
        <v>42978</v>
      </c>
      <c r="C29" s="7">
        <v>22101</v>
      </c>
      <c r="D29" s="7">
        <v>26612</v>
      </c>
      <c r="E29" s="7">
        <v>16893</v>
      </c>
      <c r="F29" s="7">
        <v>12204</v>
      </c>
      <c r="H29" s="13">
        <f t="shared" ref="H29:L32" si="14">IF(ISNUMBER(B29),B29/B$3)</f>
        <v>0.653876582278481</v>
      </c>
      <c r="I29" s="13">
        <f t="shared" si="14"/>
        <v>0.53666650478364331</v>
      </c>
      <c r="J29" s="13">
        <f t="shared" si="14"/>
        <v>0.60225858284110712</v>
      </c>
      <c r="K29" s="13">
        <f t="shared" si="14"/>
        <v>0.58674585808065016</v>
      </c>
      <c r="L29" s="13">
        <f t="shared" si="14"/>
        <v>0.70482240831648857</v>
      </c>
      <c r="N29" s="8">
        <f t="shared" si="6"/>
        <v>1.6149857207274914</v>
      </c>
      <c r="O29" s="8">
        <f t="shared" si="6"/>
        <v>0.83049000450924393</v>
      </c>
      <c r="P29" s="8">
        <f t="shared" si="6"/>
        <v>1</v>
      </c>
    </row>
    <row r="30" spans="1:16">
      <c r="A30" s="2" t="s">
        <v>5</v>
      </c>
      <c r="B30" s="3">
        <v>0</v>
      </c>
      <c r="C30" s="3">
        <v>0</v>
      </c>
      <c r="D30" s="3">
        <v>0</v>
      </c>
      <c r="E30" s="3">
        <v>0</v>
      </c>
      <c r="F30" s="3">
        <v>0</v>
      </c>
      <c r="H30" s="13">
        <f t="shared" si="14"/>
        <v>0</v>
      </c>
      <c r="I30" s="13">
        <f t="shared" si="14"/>
        <v>0</v>
      </c>
      <c r="J30" s="13">
        <f t="shared" si="14"/>
        <v>0</v>
      </c>
      <c r="K30" s="13">
        <f t="shared" si="14"/>
        <v>0</v>
      </c>
      <c r="L30" s="13">
        <f t="shared" si="14"/>
        <v>0</v>
      </c>
      <c r="N30" s="8" t="str">
        <f t="shared" si="6"/>
        <v/>
      </c>
      <c r="O30" s="8" t="str">
        <f t="shared" si="6"/>
        <v/>
      </c>
      <c r="P30" s="8" t="str">
        <f t="shared" si="6"/>
        <v/>
      </c>
    </row>
    <row r="31" spans="1:16">
      <c r="A31" s="2" t="s">
        <v>33</v>
      </c>
      <c r="B31" s="3">
        <v>2</v>
      </c>
      <c r="C31" s="3">
        <v>2</v>
      </c>
      <c r="D31" s="3">
        <v>3</v>
      </c>
      <c r="E31" s="3">
        <v>3</v>
      </c>
      <c r="F31" s="3">
        <v>1</v>
      </c>
      <c r="H31" s="13">
        <f t="shared" si="14"/>
        <v>3.0428432327166505E-5</v>
      </c>
      <c r="I31" s="13">
        <f t="shared" si="14"/>
        <v>4.8564906998203096E-5</v>
      </c>
      <c r="J31" s="13">
        <f t="shared" si="14"/>
        <v>6.7893271776766926E-5</v>
      </c>
      <c r="K31" s="13">
        <f t="shared" si="14"/>
        <v>1.0419922892570594E-4</v>
      </c>
      <c r="L31" s="13">
        <f t="shared" si="14"/>
        <v>5.7753393011839443E-5</v>
      </c>
      <c r="N31" s="8">
        <f t="shared" si="6"/>
        <v>0.66666666666666663</v>
      </c>
      <c r="O31" s="8">
        <f t="shared" si="6"/>
        <v>0.66666666666666663</v>
      </c>
      <c r="P31" s="8">
        <f t="shared" si="6"/>
        <v>1</v>
      </c>
    </row>
    <row r="32" spans="1:16">
      <c r="A32" s="2" t="s">
        <v>4</v>
      </c>
      <c r="B32" s="3">
        <v>13132</v>
      </c>
      <c r="C32" s="3">
        <v>11971</v>
      </c>
      <c r="D32" s="3">
        <v>10385</v>
      </c>
      <c r="E32" s="3">
        <v>8719</v>
      </c>
      <c r="F32" s="3">
        <v>7045</v>
      </c>
      <c r="H32" s="13">
        <f t="shared" si="14"/>
        <v>0.19979308666017526</v>
      </c>
      <c r="I32" s="13">
        <f t="shared" si="14"/>
        <v>0.29068525083774466</v>
      </c>
      <c r="J32" s="13">
        <f t="shared" si="14"/>
        <v>0.23502387580057482</v>
      </c>
      <c r="K32" s="13">
        <f t="shared" si="14"/>
        <v>0.30283769233441005</v>
      </c>
      <c r="L32" s="13">
        <f t="shared" si="14"/>
        <v>0.40687265376840892</v>
      </c>
      <c r="N32" s="8">
        <f t="shared" si="6"/>
        <v>1.264516129032258</v>
      </c>
      <c r="O32" s="8">
        <f t="shared" si="6"/>
        <v>1.1527202696196437</v>
      </c>
      <c r="P32" s="8">
        <f t="shared" si="6"/>
        <v>1</v>
      </c>
    </row>
    <row r="33" spans="1:16">
      <c r="A33" s="2" t="s">
        <v>31</v>
      </c>
      <c r="B33" s="3"/>
      <c r="C33" s="3"/>
      <c r="D33" s="3"/>
      <c r="E33" s="3">
        <v>-10756</v>
      </c>
      <c r="F33" s="3">
        <v>-9814</v>
      </c>
      <c r="H33" s="13"/>
      <c r="I33" s="13"/>
      <c r="J33" s="13"/>
      <c r="K33" s="13">
        <f t="shared" ref="K33:L35" si="15">IF(ISNUMBER(E33),E33/E$3)</f>
        <v>-0.37358896877496439</v>
      </c>
      <c r="L33" s="13">
        <f t="shared" si="15"/>
        <v>-0.56679179901819232</v>
      </c>
      <c r="N33" s="8" t="str">
        <f t="shared" si="6"/>
        <v/>
      </c>
      <c r="O33" s="8" t="str">
        <f t="shared" si="6"/>
        <v/>
      </c>
      <c r="P33" s="8" t="str">
        <f t="shared" si="6"/>
        <v/>
      </c>
    </row>
    <row r="34" spans="1:16">
      <c r="A34" s="2" t="s">
        <v>3</v>
      </c>
      <c r="B34" s="3">
        <v>27</v>
      </c>
      <c r="C34" s="3">
        <v>-43</v>
      </c>
      <c r="D34" s="3">
        <v>-11</v>
      </c>
      <c r="E34" s="3">
        <v>19</v>
      </c>
      <c r="F34" s="3">
        <v>1</v>
      </c>
      <c r="H34" s="13">
        <f t="shared" ref="H34:J35" si="16">IF(ISNUMBER(B34),B34/B$3)</f>
        <v>4.1078383641674783E-4</v>
      </c>
      <c r="I34" s="13">
        <f t="shared" si="16"/>
        <v>-1.0441455004613666E-3</v>
      </c>
      <c r="J34" s="13">
        <f t="shared" si="16"/>
        <v>-2.4894199651481205E-4</v>
      </c>
      <c r="K34" s="13">
        <f t="shared" si="15"/>
        <v>6.599284498628044E-4</v>
      </c>
      <c r="L34" s="13">
        <f t="shared" si="15"/>
        <v>5.7753393011839443E-5</v>
      </c>
      <c r="N34" s="8">
        <f t="shared" si="6"/>
        <v>-2.4545454545454546</v>
      </c>
      <c r="O34" s="8">
        <f t="shared" si="6"/>
        <v>3.9090909090909092</v>
      </c>
      <c r="P34" s="8">
        <f t="shared" si="6"/>
        <v>1</v>
      </c>
    </row>
    <row r="35" spans="1:16">
      <c r="A35" s="2" t="s">
        <v>2</v>
      </c>
      <c r="B35" s="3">
        <v>29817</v>
      </c>
      <c r="C35" s="3">
        <v>10171</v>
      </c>
      <c r="D35" s="3">
        <v>16235</v>
      </c>
      <c r="E35" s="3">
        <v>18908</v>
      </c>
      <c r="F35" s="3">
        <v>14971</v>
      </c>
      <c r="H35" s="13">
        <f t="shared" si="16"/>
        <v>0.4536422833495618</v>
      </c>
      <c r="I35" s="13">
        <f t="shared" si="16"/>
        <v>0.24697683453936187</v>
      </c>
      <c r="J35" s="13">
        <f t="shared" si="16"/>
        <v>0.3674157557652703</v>
      </c>
      <c r="K35" s="13">
        <f t="shared" si="15"/>
        <v>0.65673300684241598</v>
      </c>
      <c r="L35" s="13">
        <f t="shared" si="15"/>
        <v>0.86462604678024835</v>
      </c>
      <c r="N35" s="8">
        <f t="shared" si="6"/>
        <v>1.8365876193409301</v>
      </c>
      <c r="O35" s="8">
        <f t="shared" si="6"/>
        <v>0.62648598706498304</v>
      </c>
      <c r="P35" s="8">
        <f t="shared" si="6"/>
        <v>1</v>
      </c>
    </row>
    <row r="36" spans="1:16" s="8" customFormat="1">
      <c r="A36"/>
      <c r="B36"/>
      <c r="C36"/>
      <c r="D36"/>
      <c r="E36"/>
      <c r="F36"/>
      <c r="H36" s="13"/>
      <c r="I36" s="13"/>
      <c r="J36" s="13"/>
      <c r="K36" s="13"/>
      <c r="L36" s="13"/>
      <c r="N36" s="8" t="str">
        <f t="shared" si="6"/>
        <v/>
      </c>
      <c r="O36" s="8" t="str">
        <f t="shared" si="6"/>
        <v/>
      </c>
      <c r="P36" s="8" t="str">
        <f t="shared" si="6"/>
        <v/>
      </c>
    </row>
    <row r="37" spans="1:16">
      <c r="A37" s="4" t="s">
        <v>0</v>
      </c>
      <c r="B37" s="12">
        <v>65728</v>
      </c>
      <c r="C37" s="12">
        <v>41182</v>
      </c>
      <c r="D37" s="12">
        <v>44187</v>
      </c>
      <c r="E37" s="12">
        <v>28791</v>
      </c>
      <c r="F37" s="12">
        <v>17315</v>
      </c>
      <c r="H37" s="13">
        <f>IF(ISNUMBER(B37),B37/B$3)</f>
        <v>1</v>
      </c>
      <c r="I37" s="13">
        <f>IF(ISNUMBER(C37),C37/C$3)</f>
        <v>1</v>
      </c>
      <c r="J37" s="13">
        <f>IF(ISNUMBER(D37),D37/D$3)</f>
        <v>1</v>
      </c>
      <c r="K37" s="13">
        <f>IF(ISNUMBER(E37),E37/E$3)</f>
        <v>1</v>
      </c>
      <c r="L37" s="13">
        <f>IF(ISNUMBER(F37),F37/F$3)</f>
        <v>1</v>
      </c>
      <c r="N37" s="8">
        <f t="shared" si="6"/>
        <v>1.4874963224477789</v>
      </c>
      <c r="O37" s="8">
        <f t="shared" si="6"/>
        <v>0.93199357277027184</v>
      </c>
      <c r="P37" s="8">
        <f t="shared" si="6"/>
        <v>1</v>
      </c>
    </row>
    <row r="39" spans="1:16" ht="16.899999999999999">
      <c r="A39" s="110" t="s">
        <v>347</v>
      </c>
    </row>
    <row r="40" spans="1:16">
      <c r="A40" s="111"/>
      <c r="H40"/>
    </row>
    <row r="41" spans="1:16">
      <c r="A41" s="112" t="s">
        <v>348</v>
      </c>
      <c r="H41"/>
    </row>
    <row r="42" spans="1:16">
      <c r="H42"/>
    </row>
    <row r="43" spans="1:16" ht="15">
      <c r="A43" s="121" t="s">
        <v>349</v>
      </c>
      <c r="H43"/>
    </row>
    <row r="44" spans="1:16">
      <c r="A44" s="111"/>
      <c r="H44"/>
    </row>
    <row r="45" spans="1:16">
      <c r="A45" s="112" t="s">
        <v>350</v>
      </c>
      <c r="H45"/>
    </row>
    <row r="46" spans="1:16">
      <c r="A46" s="111"/>
      <c r="H46"/>
    </row>
    <row r="47" spans="1:16">
      <c r="A47" s="111"/>
      <c r="H47"/>
    </row>
    <row r="48" spans="1:16">
      <c r="A48" s="118" t="s">
        <v>351</v>
      </c>
      <c r="H48"/>
    </row>
    <row r="49" spans="1:8">
      <c r="A49" s="113" t="s">
        <v>352</v>
      </c>
      <c r="H49"/>
    </row>
    <row r="50" spans="1:8">
      <c r="A50" s="111"/>
      <c r="H50"/>
    </row>
    <row r="51" spans="1:8">
      <c r="A51" s="112" t="s">
        <v>353</v>
      </c>
      <c r="H51"/>
    </row>
    <row r="52" spans="1:8">
      <c r="A52" s="111"/>
      <c r="H52"/>
    </row>
    <row r="53" spans="1:8">
      <c r="A53" s="111"/>
      <c r="H53"/>
    </row>
    <row r="54" spans="1:8">
      <c r="A54" s="118" t="s">
        <v>354</v>
      </c>
      <c r="H54"/>
    </row>
    <row r="55" spans="1:8">
      <c r="A55" s="111"/>
    </row>
    <row r="56" spans="1:8">
      <c r="A56" s="112" t="s">
        <v>355</v>
      </c>
      <c r="H56"/>
    </row>
    <row r="57" spans="1:8">
      <c r="A57" s="111"/>
      <c r="H57"/>
    </row>
    <row r="58" spans="1:8">
      <c r="A58" s="111"/>
      <c r="H58"/>
    </row>
    <row r="59" spans="1:8">
      <c r="A59" s="118" t="s">
        <v>356</v>
      </c>
      <c r="H59"/>
    </row>
    <row r="60" spans="1:8">
      <c r="A60" s="113" t="s">
        <v>357</v>
      </c>
      <c r="H60"/>
    </row>
    <row r="61" spans="1:8">
      <c r="A61" s="111"/>
      <c r="H61"/>
    </row>
    <row r="62" spans="1:8">
      <c r="A62" s="112" t="s">
        <v>358</v>
      </c>
      <c r="H62"/>
    </row>
    <row r="63" spans="1:8">
      <c r="A63" s="111"/>
      <c r="H63"/>
    </row>
    <row r="64" spans="1:8">
      <c r="A64" s="111"/>
      <c r="H64"/>
    </row>
    <row r="65" spans="1:8">
      <c r="A65" s="118" t="s">
        <v>359</v>
      </c>
      <c r="H65"/>
    </row>
    <row r="66" spans="1:8">
      <c r="A66" s="119"/>
      <c r="H66"/>
    </row>
    <row r="67" spans="1:8" ht="16.899999999999999">
      <c r="A67" s="110" t="s">
        <v>360</v>
      </c>
      <c r="H67"/>
    </row>
    <row r="68" spans="1:8">
      <c r="A68" s="111"/>
      <c r="H68"/>
    </row>
    <row r="69" spans="1:8">
      <c r="A69" s="112" t="s">
        <v>361</v>
      </c>
      <c r="H69"/>
    </row>
    <row r="70" spans="1:8">
      <c r="H70"/>
    </row>
    <row r="71" spans="1:8" ht="15">
      <c r="A71" s="121" t="s">
        <v>349</v>
      </c>
      <c r="H71"/>
    </row>
    <row r="72" spans="1:8">
      <c r="A72" s="111"/>
    </row>
    <row r="73" spans="1:8">
      <c r="A73" s="112" t="s">
        <v>362</v>
      </c>
    </row>
    <row r="74" spans="1:8">
      <c r="A74" s="111"/>
      <c r="H74"/>
    </row>
    <row r="75" spans="1:8">
      <c r="A75" s="111"/>
      <c r="H75"/>
    </row>
    <row r="76" spans="1:8">
      <c r="A76" s="118" t="s">
        <v>363</v>
      </c>
      <c r="H76"/>
    </row>
    <row r="77" spans="1:8">
      <c r="A77" s="111"/>
      <c r="H77"/>
    </row>
    <row r="78" spans="1:8">
      <c r="A78" s="112" t="s">
        <v>364</v>
      </c>
      <c r="H78"/>
    </row>
    <row r="79" spans="1:8">
      <c r="A79" s="111"/>
      <c r="H79"/>
    </row>
    <row r="80" spans="1:8">
      <c r="A80" s="111"/>
      <c r="H80"/>
    </row>
    <row r="81" spans="1:8">
      <c r="A81" s="118" t="s">
        <v>365</v>
      </c>
      <c r="H81"/>
    </row>
    <row r="82" spans="1:8">
      <c r="A82" s="111"/>
      <c r="H82"/>
    </row>
    <row r="83" spans="1:8">
      <c r="A83" s="112" t="s">
        <v>366</v>
      </c>
      <c r="H83"/>
    </row>
    <row r="84" spans="1:8">
      <c r="A84" s="111"/>
    </row>
    <row r="85" spans="1:8">
      <c r="A85" s="111"/>
    </row>
    <row r="86" spans="1:8">
      <c r="A86" s="118" t="s">
        <v>367</v>
      </c>
    </row>
    <row r="87" spans="1:8">
      <c r="A87" s="111"/>
    </row>
    <row r="88" spans="1:8">
      <c r="A88" s="112" t="s">
        <v>368</v>
      </c>
    </row>
    <row r="89" spans="1:8">
      <c r="A89" s="111"/>
    </row>
    <row r="90" spans="1:8">
      <c r="A90" s="111"/>
    </row>
    <row r="91" spans="1:8">
      <c r="A91" s="118" t="s">
        <v>369</v>
      </c>
    </row>
    <row r="92" spans="1:8">
      <c r="A92" s="111"/>
    </row>
    <row r="93" spans="1:8">
      <c r="A93" s="112" t="s">
        <v>370</v>
      </c>
    </row>
    <row r="94" spans="1:8">
      <c r="A94" s="111"/>
    </row>
    <row r="95" spans="1:8">
      <c r="A95" s="111"/>
    </row>
    <row r="96" spans="1:8">
      <c r="A96" s="118" t="s">
        <v>371</v>
      </c>
    </row>
    <row r="98" spans="1:1" ht="16.899999999999999">
      <c r="A98" s="110" t="s">
        <v>372</v>
      </c>
    </row>
    <row r="99" spans="1:1">
      <c r="A99" s="111"/>
    </row>
    <row r="100" spans="1:1">
      <c r="A100" s="112" t="s">
        <v>373</v>
      </c>
    </row>
    <row r="101" spans="1:1">
      <c r="A101" s="111"/>
    </row>
    <row r="102" spans="1:1">
      <c r="A102" s="111"/>
    </row>
    <row r="103" spans="1:1">
      <c r="A103" s="118" t="s">
        <v>374</v>
      </c>
    </row>
    <row r="104" spans="1:1">
      <c r="A104" s="111"/>
    </row>
    <row r="105" spans="1:1">
      <c r="A105" s="112" t="s">
        <v>375</v>
      </c>
    </row>
    <row r="106" spans="1:1">
      <c r="A106" s="111"/>
    </row>
    <row r="107" spans="1:1">
      <c r="A107" s="111"/>
    </row>
    <row r="108" spans="1:1">
      <c r="A108" s="118" t="s">
        <v>376</v>
      </c>
    </row>
    <row r="109" spans="1:1">
      <c r="A109" s="111"/>
    </row>
    <row r="110" spans="1:1">
      <c r="A110" s="112" t="s">
        <v>377</v>
      </c>
    </row>
    <row r="111" spans="1:1">
      <c r="A111" s="111"/>
    </row>
    <row r="112" spans="1:1">
      <c r="A112" s="111"/>
    </row>
    <row r="113" spans="1:1">
      <c r="A113" s="118" t="s">
        <v>378</v>
      </c>
    </row>
    <row r="114" spans="1:1">
      <c r="A114" s="111"/>
    </row>
    <row r="115" spans="1:1">
      <c r="A115" s="112" t="s">
        <v>379</v>
      </c>
    </row>
    <row r="116" spans="1:1">
      <c r="A116" s="111"/>
    </row>
    <row r="117" spans="1:1">
      <c r="A117" s="111"/>
    </row>
    <row r="118" spans="1:1">
      <c r="A118" s="118" t="s">
        <v>380</v>
      </c>
    </row>
  </sheetData>
  <mergeCells count="1">
    <mergeCell ref="H1:J1"/>
  </mergeCells>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9A23-9AE1-45C7-9D85-2BB3F3A97997}">
  <dimension ref="A1:F46"/>
  <sheetViews>
    <sheetView zoomScale="87" workbookViewId="0">
      <selection activeCell="B35" sqref="B35"/>
    </sheetView>
  </sheetViews>
  <sheetFormatPr defaultRowHeight="13.9"/>
  <cols>
    <col min="1" max="1" width="80" customWidth="1"/>
    <col min="2" max="2" width="16" customWidth="1"/>
    <col min="3" max="6" width="14" customWidth="1"/>
  </cols>
  <sheetData>
    <row r="1" spans="1:6">
      <c r="A1" s="128" t="s">
        <v>97</v>
      </c>
      <c r="B1" s="130" t="s">
        <v>54</v>
      </c>
      <c r="C1" s="129"/>
      <c r="D1" s="129"/>
    </row>
    <row r="2" spans="1:6">
      <c r="A2" s="129"/>
      <c r="B2" s="5" t="s">
        <v>28</v>
      </c>
      <c r="C2" s="5" t="s">
        <v>27</v>
      </c>
      <c r="D2" s="5" t="s">
        <v>29</v>
      </c>
      <c r="E2" s="5" t="s">
        <v>30</v>
      </c>
      <c r="F2" s="5" t="s">
        <v>32</v>
      </c>
    </row>
    <row r="3" spans="1:6">
      <c r="A3" s="4" t="s">
        <v>83</v>
      </c>
      <c r="B3" s="2" t="s">
        <v>135</v>
      </c>
      <c r="C3" s="2" t="s">
        <v>6</v>
      </c>
      <c r="D3" s="2" t="s">
        <v>6</v>
      </c>
      <c r="E3" s="2" t="s">
        <v>6</v>
      </c>
    </row>
    <row r="4" spans="1:6">
      <c r="A4" s="2" t="s">
        <v>75</v>
      </c>
      <c r="B4" s="3">
        <v>28090</v>
      </c>
      <c r="C4" s="3">
        <v>5641</v>
      </c>
      <c r="D4" s="3">
        <v>9108</v>
      </c>
      <c r="E4" s="3">
        <v>5822</v>
      </c>
      <c r="F4" s="3">
        <v>4761</v>
      </c>
    </row>
    <row r="5" spans="1:6" ht="27">
      <c r="A5" s="65" t="s">
        <v>82</v>
      </c>
      <c r="B5" s="2" t="s">
        <v>6</v>
      </c>
      <c r="C5" s="2" t="s">
        <v>6</v>
      </c>
      <c r="D5" s="2" t="s">
        <v>6</v>
      </c>
      <c r="E5" s="2" t="s">
        <v>6</v>
      </c>
    </row>
    <row r="6" spans="1:6">
      <c r="A6" s="10" t="s">
        <v>81</v>
      </c>
      <c r="B6" s="3">
        <v>3549</v>
      </c>
      <c r="C6" s="3">
        <v>2709</v>
      </c>
      <c r="D6" s="3">
        <v>2004</v>
      </c>
      <c r="E6" s="3">
        <v>1397</v>
      </c>
      <c r="F6" s="3">
        <v>844</v>
      </c>
    </row>
    <row r="7" spans="1:6">
      <c r="A7" s="10" t="s">
        <v>80</v>
      </c>
      <c r="B7" s="3">
        <v>1508</v>
      </c>
      <c r="C7" s="3">
        <v>1544</v>
      </c>
      <c r="D7" s="3">
        <v>1174</v>
      </c>
      <c r="E7" s="3">
        <v>1098</v>
      </c>
      <c r="F7" s="3">
        <v>381</v>
      </c>
    </row>
    <row r="8" spans="1:6">
      <c r="A8" s="10" t="s">
        <v>79</v>
      </c>
      <c r="B8" s="3">
        <v>-2489</v>
      </c>
      <c r="C8" s="3">
        <v>-2164</v>
      </c>
      <c r="D8" s="3">
        <v>-406</v>
      </c>
      <c r="E8" s="3">
        <v>-282</v>
      </c>
      <c r="F8" s="3">
        <v>18</v>
      </c>
    </row>
    <row r="9" spans="1:6">
      <c r="A9" s="10" t="s">
        <v>87</v>
      </c>
      <c r="B9" s="3">
        <v>-238</v>
      </c>
      <c r="C9" s="3">
        <v>45</v>
      </c>
      <c r="D9" s="3">
        <v>-100</v>
      </c>
      <c r="E9" s="3">
        <v>0</v>
      </c>
      <c r="F9" s="3">
        <v>1</v>
      </c>
    </row>
    <row r="10" spans="1:6">
      <c r="A10" s="10" t="s">
        <v>47</v>
      </c>
      <c r="B10" s="3">
        <v>0</v>
      </c>
      <c r="C10" s="3">
        <v>1353</v>
      </c>
      <c r="D10" s="3">
        <v>0</v>
      </c>
      <c r="E10" s="3">
        <v>0</v>
      </c>
      <c r="F10" s="3">
        <v>0</v>
      </c>
    </row>
    <row r="11" spans="1:6">
      <c r="A11" s="10" t="s">
        <v>62</v>
      </c>
      <c r="B11" s="3">
        <v>-278</v>
      </c>
      <c r="C11" s="3">
        <v>-7</v>
      </c>
      <c r="D11" s="3">
        <v>47</v>
      </c>
      <c r="E11" s="3">
        <v>-20</v>
      </c>
      <c r="F11" s="3">
        <v>4</v>
      </c>
    </row>
    <row r="12" spans="1:6">
      <c r="A12" s="65" t="s">
        <v>78</v>
      </c>
      <c r="B12" s="2" t="s">
        <v>6</v>
      </c>
      <c r="C12" s="2" t="s">
        <v>6</v>
      </c>
      <c r="D12" s="2" t="s">
        <v>6</v>
      </c>
      <c r="E12" s="2" t="s">
        <v>6</v>
      </c>
    </row>
    <row r="13" spans="1:6">
      <c r="A13" s="10" t="s">
        <v>77</v>
      </c>
      <c r="B13" s="3">
        <v>-6172</v>
      </c>
      <c r="C13" s="3">
        <v>822</v>
      </c>
      <c r="D13" s="3">
        <v>-2215</v>
      </c>
      <c r="E13" s="3">
        <v>-550</v>
      </c>
      <c r="F13" s="3">
        <v>-233</v>
      </c>
    </row>
    <row r="14" spans="1:6">
      <c r="A14" s="10" t="s">
        <v>23</v>
      </c>
      <c r="B14" s="3">
        <v>-98</v>
      </c>
      <c r="C14" s="3">
        <v>-2554</v>
      </c>
      <c r="D14" s="3">
        <v>-774</v>
      </c>
      <c r="E14" s="3">
        <v>-524</v>
      </c>
      <c r="F14" s="3">
        <v>597</v>
      </c>
    </row>
    <row r="15" spans="1:6">
      <c r="A15" s="10" t="s">
        <v>76</v>
      </c>
      <c r="B15" s="3">
        <v>-1522</v>
      </c>
      <c r="C15" s="3">
        <v>-1517</v>
      </c>
      <c r="D15" s="3">
        <v>-1715</v>
      </c>
      <c r="E15" s="3">
        <v>-394</v>
      </c>
      <c r="F15" s="3">
        <v>77</v>
      </c>
    </row>
    <row r="16" spans="1:6">
      <c r="A16" s="10" t="s">
        <v>16</v>
      </c>
      <c r="B16" s="3">
        <v>1531</v>
      </c>
      <c r="C16" s="3">
        <v>-551</v>
      </c>
      <c r="D16" s="3">
        <v>568</v>
      </c>
      <c r="E16" s="3">
        <v>312</v>
      </c>
      <c r="F16" s="3">
        <v>194</v>
      </c>
    </row>
    <row r="17" spans="1:6">
      <c r="A17" s="10" t="s">
        <v>15</v>
      </c>
      <c r="B17" s="3">
        <v>2025</v>
      </c>
      <c r="C17" s="3">
        <v>1341</v>
      </c>
      <c r="D17" s="3">
        <v>581</v>
      </c>
      <c r="E17" s="3">
        <v>290</v>
      </c>
      <c r="F17" s="3">
        <v>54</v>
      </c>
    </row>
    <row r="18" spans="1:6">
      <c r="A18" s="10" t="s">
        <v>10</v>
      </c>
      <c r="B18" s="3">
        <v>514</v>
      </c>
      <c r="C18" s="3">
        <v>252</v>
      </c>
      <c r="D18" s="3">
        <v>192</v>
      </c>
      <c r="E18" s="3">
        <v>163</v>
      </c>
      <c r="F18" s="3">
        <v>28</v>
      </c>
    </row>
    <row r="19" spans="1:6">
      <c r="A19" s="4" t="s">
        <v>74</v>
      </c>
      <c r="B19" s="2" t="s">
        <v>6</v>
      </c>
      <c r="C19" s="2" t="s">
        <v>6</v>
      </c>
      <c r="D19" s="2" t="s">
        <v>6</v>
      </c>
      <c r="E19" s="2" t="s">
        <v>6</v>
      </c>
    </row>
    <row r="20" spans="1:6">
      <c r="A20" s="4" t="s">
        <v>68</v>
      </c>
      <c r="B20" s="7">
        <v>-10566</v>
      </c>
      <c r="C20" s="7">
        <v>7375</v>
      </c>
      <c r="D20" s="7">
        <v>-9830</v>
      </c>
      <c r="E20" s="7">
        <v>-19675</v>
      </c>
      <c r="F20" s="7">
        <v>6145</v>
      </c>
    </row>
    <row r="21" spans="1:6">
      <c r="A21" s="4" t="s">
        <v>137</v>
      </c>
      <c r="B21" s="7"/>
      <c r="C21" s="7"/>
      <c r="D21" s="7"/>
      <c r="E21" s="7"/>
      <c r="F21" s="7"/>
    </row>
    <row r="22" spans="1:6" s="8" customFormat="1">
      <c r="A22" s="10" t="s">
        <v>73</v>
      </c>
      <c r="B22" s="3">
        <v>9732</v>
      </c>
      <c r="C22" s="3">
        <v>19425</v>
      </c>
      <c r="D22" s="3">
        <v>15197</v>
      </c>
      <c r="E22" s="3">
        <v>8792</v>
      </c>
      <c r="F22" s="3">
        <v>4744</v>
      </c>
    </row>
    <row r="23" spans="1:6">
      <c r="A23" s="10" t="s">
        <v>72</v>
      </c>
      <c r="B23" s="3">
        <v>50</v>
      </c>
      <c r="C23" s="3">
        <v>1806</v>
      </c>
      <c r="D23" s="3">
        <v>1023</v>
      </c>
      <c r="E23" s="3">
        <v>527</v>
      </c>
      <c r="F23" s="3">
        <v>3365</v>
      </c>
    </row>
    <row r="24" spans="1:6">
      <c r="A24" s="10" t="s">
        <v>71</v>
      </c>
      <c r="B24" s="3">
        <v>-18211</v>
      </c>
      <c r="C24" s="3">
        <v>-11897</v>
      </c>
      <c r="D24" s="3">
        <v>-24787</v>
      </c>
      <c r="E24" s="3">
        <v>-19308</v>
      </c>
      <c r="F24" s="3">
        <v>-1461</v>
      </c>
    </row>
    <row r="25" spans="1:6">
      <c r="A25" s="4" t="s">
        <v>136</v>
      </c>
      <c r="B25" s="3"/>
      <c r="C25" s="3"/>
      <c r="D25" s="3"/>
      <c r="E25" s="3"/>
      <c r="F25" s="3"/>
    </row>
    <row r="26" spans="1:6">
      <c r="A26" s="10" t="s">
        <v>70</v>
      </c>
      <c r="B26" s="3">
        <v>-1069</v>
      </c>
      <c r="C26" s="3">
        <v>-1833</v>
      </c>
      <c r="D26" s="3">
        <v>-976</v>
      </c>
      <c r="E26" s="3">
        <v>-1128</v>
      </c>
      <c r="F26" s="3">
        <v>-489</v>
      </c>
    </row>
    <row r="27" spans="1:6">
      <c r="A27" s="10" t="s">
        <v>69</v>
      </c>
      <c r="B27" s="3">
        <v>-83</v>
      </c>
      <c r="C27" s="3">
        <v>-49</v>
      </c>
      <c r="D27" s="3">
        <v>-263</v>
      </c>
      <c r="E27" s="3">
        <v>-8524</v>
      </c>
      <c r="F27" s="3">
        <v>-4</v>
      </c>
    </row>
    <row r="28" spans="1:6">
      <c r="A28" s="10" t="s">
        <v>86</v>
      </c>
      <c r="B28" s="3">
        <v>-985</v>
      </c>
      <c r="C28" s="3">
        <v>-77</v>
      </c>
      <c r="D28" s="3">
        <v>-24</v>
      </c>
      <c r="E28" s="3">
        <v>-34</v>
      </c>
      <c r="F28" s="3">
        <v>-10</v>
      </c>
    </row>
    <row r="29" spans="1:6">
      <c r="A29" s="4" t="s">
        <v>67</v>
      </c>
    </row>
    <row r="30" spans="1:6" s="8" customFormat="1">
      <c r="A30" s="4" t="s">
        <v>61</v>
      </c>
      <c r="B30" s="7">
        <v>-13633</v>
      </c>
      <c r="C30" s="7">
        <v>-11617</v>
      </c>
      <c r="D30" s="7">
        <v>1865</v>
      </c>
      <c r="E30" s="7">
        <v>3804</v>
      </c>
      <c r="F30" s="7">
        <v>-792</v>
      </c>
    </row>
    <row r="31" spans="1:6" s="8" customFormat="1">
      <c r="A31" s="4" t="s">
        <v>139</v>
      </c>
      <c r="B31" s="7"/>
      <c r="C31" s="7"/>
      <c r="D31" s="7"/>
      <c r="E31" s="7"/>
      <c r="F31" s="7"/>
    </row>
    <row r="32" spans="1:6">
      <c r="A32" s="10" t="s">
        <v>138</v>
      </c>
      <c r="B32" s="3">
        <v>403</v>
      </c>
      <c r="C32" s="3">
        <v>355</v>
      </c>
      <c r="D32" s="3">
        <v>281</v>
      </c>
      <c r="E32" s="3">
        <v>194</v>
      </c>
      <c r="F32" s="3">
        <v>149</v>
      </c>
    </row>
    <row r="33" spans="1:6">
      <c r="A33" s="10" t="s">
        <v>65</v>
      </c>
      <c r="B33" s="3">
        <v>-2783</v>
      </c>
      <c r="C33" s="3">
        <v>-1475</v>
      </c>
      <c r="D33" s="3">
        <v>-1904</v>
      </c>
      <c r="E33" s="3">
        <v>-942</v>
      </c>
      <c r="F33" s="3">
        <v>-551</v>
      </c>
    </row>
    <row r="34" spans="1:6">
      <c r="A34" s="10" t="s">
        <v>63</v>
      </c>
      <c r="B34" s="3">
        <v>-395</v>
      </c>
      <c r="C34" s="3">
        <v>-398</v>
      </c>
      <c r="D34" s="3">
        <v>-399</v>
      </c>
      <c r="E34" s="3">
        <v>-17</v>
      </c>
      <c r="F34" s="3">
        <v>-390</v>
      </c>
    </row>
    <row r="35" spans="1:6">
      <c r="A35" s="10" t="s">
        <v>64</v>
      </c>
      <c r="B35" s="3">
        <v>-1250</v>
      </c>
      <c r="C35" s="3">
        <v>0</v>
      </c>
      <c r="D35" s="3">
        <v>-1000</v>
      </c>
      <c r="E35" s="3">
        <v>-395</v>
      </c>
      <c r="F35" s="3">
        <v>0</v>
      </c>
    </row>
    <row r="36" spans="1:6">
      <c r="A36" s="4" t="s">
        <v>140</v>
      </c>
    </row>
    <row r="37" spans="1:6">
      <c r="A37" s="10" t="s">
        <v>85</v>
      </c>
      <c r="B37" s="3">
        <v>-9533</v>
      </c>
      <c r="C37" s="3">
        <v>-10039</v>
      </c>
      <c r="D37" s="3">
        <v>0</v>
      </c>
      <c r="E37" s="3">
        <v>0</v>
      </c>
      <c r="F37" s="3">
        <v>0</v>
      </c>
    </row>
    <row r="38" spans="1:6">
      <c r="A38" s="10" t="s">
        <v>84</v>
      </c>
      <c r="B38" s="3">
        <v>-74</v>
      </c>
      <c r="C38" s="3">
        <v>-58</v>
      </c>
      <c r="D38" s="3">
        <v>-83</v>
      </c>
      <c r="E38" s="3">
        <v>4968</v>
      </c>
      <c r="F38" s="3">
        <v>0</v>
      </c>
    </row>
    <row r="39" spans="1:6">
      <c r="A39" s="10" t="s">
        <v>66</v>
      </c>
      <c r="B39" s="3">
        <v>0</v>
      </c>
      <c r="C39" s="3">
        <v>0</v>
      </c>
      <c r="D39" s="3">
        <v>4977</v>
      </c>
      <c r="E39" s="3">
        <v>0</v>
      </c>
      <c r="F39" s="3">
        <v>0</v>
      </c>
    </row>
    <row r="40" spans="1:6">
      <c r="A40" s="10" t="s">
        <v>62</v>
      </c>
      <c r="B40" s="3">
        <v>-1</v>
      </c>
      <c r="C40" s="3">
        <v>-2</v>
      </c>
      <c r="D40" s="3">
        <v>-7</v>
      </c>
      <c r="E40" s="3">
        <v>-4</v>
      </c>
      <c r="F40" s="3">
        <v>0</v>
      </c>
    </row>
    <row r="41" spans="1:6" s="8" customFormat="1">
      <c r="A41" s="4" t="s">
        <v>58</v>
      </c>
      <c r="B41" s="7">
        <v>7280</v>
      </c>
      <c r="C41" s="7">
        <v>3389</v>
      </c>
      <c r="D41" s="7">
        <v>1990</v>
      </c>
      <c r="E41" s="7">
        <v>847</v>
      </c>
      <c r="F41" s="7">
        <v>10896</v>
      </c>
    </row>
    <row r="42" spans="1:6">
      <c r="A42" s="10" t="s">
        <v>60</v>
      </c>
      <c r="B42" s="3">
        <v>3891</v>
      </c>
      <c r="C42" s="3">
        <v>1399</v>
      </c>
      <c r="D42" s="3">
        <v>1143</v>
      </c>
      <c r="E42" s="3">
        <v>-10049</v>
      </c>
      <c r="F42" s="3">
        <v>10114</v>
      </c>
    </row>
    <row r="43" spans="1:6">
      <c r="A43" s="10" t="s">
        <v>59</v>
      </c>
      <c r="B43" s="3">
        <v>3389</v>
      </c>
      <c r="C43" s="3">
        <v>1990</v>
      </c>
      <c r="D43" s="3">
        <v>847</v>
      </c>
      <c r="E43" s="3">
        <v>10896</v>
      </c>
      <c r="F43" s="3">
        <v>782</v>
      </c>
    </row>
    <row r="44" spans="1:6">
      <c r="A44" s="4" t="s">
        <v>57</v>
      </c>
      <c r="B44" s="2" t="s">
        <v>6</v>
      </c>
      <c r="C44" s="2" t="s">
        <v>6</v>
      </c>
      <c r="D44" s="2" t="s">
        <v>6</v>
      </c>
      <c r="E44" s="2" t="s">
        <v>6</v>
      </c>
    </row>
    <row r="45" spans="1:6">
      <c r="A45" s="10" t="s">
        <v>56</v>
      </c>
      <c r="B45" s="3">
        <v>6549</v>
      </c>
      <c r="C45" s="3">
        <v>1404</v>
      </c>
      <c r="D45" s="3">
        <v>396</v>
      </c>
      <c r="E45" s="3">
        <v>249</v>
      </c>
      <c r="F45" s="3">
        <v>176</v>
      </c>
    </row>
    <row r="46" spans="1:6">
      <c r="A46" s="10" t="s">
        <v>55</v>
      </c>
      <c r="B46" s="1">
        <v>252</v>
      </c>
      <c r="C46" s="1">
        <v>254</v>
      </c>
      <c r="D46" s="1">
        <v>246</v>
      </c>
      <c r="E46" s="1">
        <v>138</v>
      </c>
      <c r="F46" s="1">
        <v>54</v>
      </c>
    </row>
  </sheetData>
  <mergeCells count="2">
    <mergeCell ref="A1:A2"/>
    <mergeCell ref="B1:D1"/>
  </mergeCells>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BF4A-0DFB-40E0-8904-5E91BB92DC0B}">
  <dimension ref="A1:F39"/>
  <sheetViews>
    <sheetView topLeftCell="A34" workbookViewId="0">
      <selection activeCell="A15" sqref="A15"/>
    </sheetView>
  </sheetViews>
  <sheetFormatPr defaultRowHeight="13.9"/>
  <cols>
    <col min="1" max="1" width="78" customWidth="1"/>
    <col min="2" max="2" width="16" customWidth="1"/>
    <col min="3" max="6" width="14" customWidth="1"/>
  </cols>
  <sheetData>
    <row r="1" spans="1:6">
      <c r="A1" s="128" t="s">
        <v>96</v>
      </c>
      <c r="B1" s="130" t="s">
        <v>54</v>
      </c>
      <c r="C1" s="129"/>
      <c r="D1" s="129"/>
    </row>
    <row r="2" spans="1:6">
      <c r="A2" s="129"/>
      <c r="B2" s="5" t="s">
        <v>28</v>
      </c>
      <c r="C2" s="5" t="s">
        <v>27</v>
      </c>
      <c r="D2" s="5" t="s">
        <v>29</v>
      </c>
      <c r="E2" s="5" t="s">
        <v>30</v>
      </c>
      <c r="F2" s="5" t="s">
        <v>32</v>
      </c>
    </row>
    <row r="3" spans="1:6" ht="14.25">
      <c r="A3" s="53" t="s">
        <v>53</v>
      </c>
      <c r="B3" s="54" t="s">
        <v>6</v>
      </c>
      <c r="C3" s="54" t="s">
        <v>6</v>
      </c>
      <c r="D3" s="54" t="s">
        <v>6</v>
      </c>
      <c r="E3" s="54" t="s">
        <v>6</v>
      </c>
      <c r="F3" s="55"/>
    </row>
    <row r="4" spans="1:6">
      <c r="A4" s="54" t="s">
        <v>52</v>
      </c>
      <c r="B4" s="56">
        <v>60922</v>
      </c>
      <c r="C4" s="56">
        <v>26974</v>
      </c>
      <c r="D4" s="56">
        <v>26914</v>
      </c>
      <c r="E4" s="56">
        <v>16675</v>
      </c>
      <c r="F4" s="56">
        <v>10918</v>
      </c>
    </row>
    <row r="5" spans="1:6">
      <c r="A5" s="54" t="s">
        <v>51</v>
      </c>
      <c r="B5" s="57">
        <v>16621</v>
      </c>
      <c r="C5" s="57">
        <v>11618</v>
      </c>
      <c r="D5" s="57">
        <v>9439</v>
      </c>
      <c r="E5" s="57">
        <v>6279</v>
      </c>
      <c r="F5" s="57">
        <v>4150</v>
      </c>
    </row>
    <row r="6" spans="1:6" s="8" customFormat="1">
      <c r="A6" s="53" t="s">
        <v>50</v>
      </c>
      <c r="B6" s="62">
        <v>44301</v>
      </c>
      <c r="C6" s="62">
        <v>15356</v>
      </c>
      <c r="D6" s="62">
        <v>17475</v>
      </c>
      <c r="E6" s="62">
        <v>10396</v>
      </c>
      <c r="F6" s="62">
        <v>6768</v>
      </c>
    </row>
    <row r="7" spans="1:6">
      <c r="A7" s="54" t="s">
        <v>46</v>
      </c>
      <c r="B7" s="57">
        <v>11329</v>
      </c>
      <c r="C7" s="57">
        <v>11132</v>
      </c>
      <c r="D7" s="57">
        <v>7434</v>
      </c>
      <c r="E7" s="57">
        <v>5864</v>
      </c>
      <c r="F7" s="57">
        <v>3922</v>
      </c>
    </row>
    <row r="8" spans="1:6">
      <c r="A8" s="58" t="s">
        <v>49</v>
      </c>
      <c r="B8" s="59">
        <v>8675</v>
      </c>
      <c r="C8" s="59">
        <v>7339</v>
      </c>
      <c r="D8" s="59">
        <v>5268</v>
      </c>
      <c r="E8" s="59">
        <v>3924</v>
      </c>
      <c r="F8" s="59">
        <v>2829</v>
      </c>
    </row>
    <row r="9" spans="1:6">
      <c r="A9" s="58" t="s">
        <v>48</v>
      </c>
      <c r="B9" s="59">
        <v>2654</v>
      </c>
      <c r="C9" s="59">
        <v>2440</v>
      </c>
      <c r="D9" s="59">
        <v>2166</v>
      </c>
      <c r="E9" s="59">
        <v>1940</v>
      </c>
      <c r="F9" s="59">
        <v>1093</v>
      </c>
    </row>
    <row r="10" spans="1:6">
      <c r="A10" s="58" t="s">
        <v>47</v>
      </c>
      <c r="B10" s="59">
        <v>0</v>
      </c>
      <c r="C10" s="59">
        <v>1353</v>
      </c>
      <c r="D10" s="59">
        <v>0</v>
      </c>
      <c r="E10" s="59">
        <v>0</v>
      </c>
      <c r="F10" s="59">
        <v>0</v>
      </c>
    </row>
    <row r="11" spans="1:6" s="8" customFormat="1" ht="14.25">
      <c r="A11" s="60" t="s">
        <v>121</v>
      </c>
      <c r="B11" s="61">
        <f>B6-B7</f>
        <v>32972</v>
      </c>
      <c r="C11" s="61">
        <f t="shared" ref="C11:F11" si="0">C6-C7</f>
        <v>4224</v>
      </c>
      <c r="D11" s="61">
        <f t="shared" si="0"/>
        <v>10041</v>
      </c>
      <c r="E11" s="61">
        <f t="shared" si="0"/>
        <v>4532</v>
      </c>
      <c r="F11" s="61">
        <f t="shared" si="0"/>
        <v>2846</v>
      </c>
    </row>
    <row r="12" spans="1:6" s="8" customFormat="1">
      <c r="A12" s="53" t="s">
        <v>122</v>
      </c>
      <c r="B12" s="62">
        <v>32972</v>
      </c>
      <c r="C12" s="62">
        <v>4224</v>
      </c>
      <c r="D12" s="62">
        <v>10041</v>
      </c>
      <c r="E12" s="62">
        <v>4532</v>
      </c>
      <c r="F12" s="62">
        <v>2846</v>
      </c>
    </row>
    <row r="13" spans="1:6" s="8" customFormat="1">
      <c r="A13" s="53" t="s">
        <v>42</v>
      </c>
      <c r="B13" s="62">
        <v>846</v>
      </c>
      <c r="C13" s="62">
        <v>-43</v>
      </c>
      <c r="D13" s="62">
        <v>-100</v>
      </c>
      <c r="E13" s="62">
        <v>-123</v>
      </c>
      <c r="F13" s="62">
        <v>124</v>
      </c>
    </row>
    <row r="14" spans="1:6">
      <c r="A14" s="58" t="s">
        <v>45</v>
      </c>
      <c r="B14" s="57">
        <v>866</v>
      </c>
      <c r="C14" s="57">
        <v>267</v>
      </c>
      <c r="D14" s="57">
        <v>29</v>
      </c>
      <c r="E14" s="57">
        <v>57</v>
      </c>
      <c r="F14" s="57">
        <v>178</v>
      </c>
    </row>
    <row r="15" spans="1:6">
      <c r="A15" s="58" t="s">
        <v>44</v>
      </c>
      <c r="B15" s="57">
        <v>-257</v>
      </c>
      <c r="C15" s="57">
        <v>-262</v>
      </c>
      <c r="D15" s="57">
        <v>-236</v>
      </c>
      <c r="E15" s="57">
        <v>-184</v>
      </c>
      <c r="F15" s="57">
        <v>-52</v>
      </c>
    </row>
    <row r="16" spans="1:6">
      <c r="A16" s="58" t="s">
        <v>43</v>
      </c>
      <c r="B16" s="57">
        <v>237</v>
      </c>
      <c r="C16" s="57">
        <v>-48</v>
      </c>
      <c r="D16" s="57">
        <v>107</v>
      </c>
      <c r="E16" s="57">
        <v>4</v>
      </c>
      <c r="F16" s="57">
        <v>-2</v>
      </c>
    </row>
    <row r="17" spans="1:6" s="8" customFormat="1">
      <c r="A17" s="53" t="s">
        <v>120</v>
      </c>
      <c r="B17" s="62">
        <v>33818</v>
      </c>
      <c r="C17" s="62">
        <v>4181</v>
      </c>
      <c r="D17" s="62">
        <v>9941</v>
      </c>
      <c r="E17" s="62">
        <v>4409</v>
      </c>
      <c r="F17" s="62">
        <v>2970</v>
      </c>
    </row>
    <row r="18" spans="1:6">
      <c r="A18" s="54" t="s">
        <v>41</v>
      </c>
      <c r="B18" s="57">
        <v>4058</v>
      </c>
      <c r="C18" s="57">
        <v>-187</v>
      </c>
      <c r="D18" s="57">
        <v>189</v>
      </c>
      <c r="E18" s="57">
        <v>77</v>
      </c>
      <c r="F18" s="57">
        <v>174</v>
      </c>
    </row>
    <row r="19" spans="1:6" s="8" customFormat="1">
      <c r="A19" s="53" t="s">
        <v>40</v>
      </c>
      <c r="B19" s="64">
        <v>29760</v>
      </c>
      <c r="C19" s="64">
        <v>4368</v>
      </c>
      <c r="D19" s="64">
        <v>9752</v>
      </c>
      <c r="E19" s="64">
        <v>4332</v>
      </c>
      <c r="F19" s="64">
        <v>2796</v>
      </c>
    </row>
    <row r="21" spans="1:6" ht="14.25">
      <c r="A21" s="53" t="s">
        <v>39</v>
      </c>
      <c r="B21" s="54" t="s">
        <v>6</v>
      </c>
      <c r="C21" s="54" t="s">
        <v>6</v>
      </c>
      <c r="D21" s="54" t="s">
        <v>6</v>
      </c>
      <c r="E21" s="54" t="s">
        <v>6</v>
      </c>
      <c r="F21" s="55"/>
    </row>
    <row r="22" spans="1:6">
      <c r="A22" s="54" t="s">
        <v>38</v>
      </c>
      <c r="B22" s="63">
        <v>12.05</v>
      </c>
      <c r="C22" s="63">
        <v>1.76</v>
      </c>
      <c r="D22" s="63">
        <v>3.91</v>
      </c>
      <c r="E22" s="63">
        <v>1.76</v>
      </c>
      <c r="F22" s="63">
        <v>1.1499999999999999</v>
      </c>
    </row>
    <row r="23" spans="1:6">
      <c r="A23" s="54" t="s">
        <v>37</v>
      </c>
      <c r="B23" s="63">
        <v>11.93</v>
      </c>
      <c r="C23" s="63">
        <v>1.74</v>
      </c>
      <c r="D23" s="63">
        <v>3.85</v>
      </c>
      <c r="E23" s="63">
        <v>1.73</v>
      </c>
      <c r="F23" s="63">
        <v>1.1299999999999999</v>
      </c>
    </row>
    <row r="24" spans="1:6" ht="14.25">
      <c r="A24" s="53" t="s">
        <v>36</v>
      </c>
      <c r="B24" s="54" t="s">
        <v>6</v>
      </c>
      <c r="C24" s="54" t="s">
        <v>6</v>
      </c>
      <c r="D24" s="54" t="s">
        <v>6</v>
      </c>
      <c r="E24" s="54" t="s">
        <v>6</v>
      </c>
      <c r="F24" s="55"/>
    </row>
    <row r="25" spans="1:6">
      <c r="A25" s="54" t="s">
        <v>35</v>
      </c>
      <c r="B25" s="57">
        <v>2469</v>
      </c>
      <c r="C25" s="57">
        <v>2487</v>
      </c>
      <c r="D25" s="57">
        <v>2496</v>
      </c>
      <c r="E25" s="57">
        <v>2467</v>
      </c>
      <c r="F25" s="57">
        <v>2439</v>
      </c>
    </row>
    <row r="26" spans="1:6">
      <c r="A26" s="54" t="s">
        <v>34</v>
      </c>
      <c r="B26" s="57">
        <v>2494</v>
      </c>
      <c r="C26" s="57">
        <v>2507</v>
      </c>
      <c r="D26" s="57">
        <v>2535</v>
      </c>
      <c r="E26" s="57">
        <v>2510</v>
      </c>
      <c r="F26" s="57">
        <v>2472</v>
      </c>
    </row>
    <row r="27" spans="1:6" ht="14.25">
      <c r="A27" s="55"/>
      <c r="B27" s="55"/>
      <c r="C27" s="55"/>
      <c r="D27" s="55"/>
      <c r="E27" s="55"/>
      <c r="F27" s="55"/>
    </row>
    <row r="28" spans="1:6" ht="14.25">
      <c r="A28" s="53" t="s">
        <v>98</v>
      </c>
      <c r="B28" s="54" t="s">
        <v>6</v>
      </c>
      <c r="C28" s="54" t="s">
        <v>6</v>
      </c>
      <c r="D28" s="54" t="s">
        <v>6</v>
      </c>
      <c r="E28" s="55"/>
      <c r="F28" s="55"/>
    </row>
    <row r="29" spans="1:6">
      <c r="A29" s="54" t="s">
        <v>40</v>
      </c>
      <c r="B29" s="56">
        <v>29760</v>
      </c>
      <c r="C29" s="56">
        <v>4368</v>
      </c>
      <c r="D29" s="56">
        <v>9752</v>
      </c>
      <c r="E29" s="56">
        <v>4332</v>
      </c>
      <c r="F29" s="56">
        <v>2796</v>
      </c>
    </row>
    <row r="30" spans="1:6" ht="14.25">
      <c r="A30" s="53" t="s">
        <v>99</v>
      </c>
      <c r="B30" s="54" t="s">
        <v>6</v>
      </c>
      <c r="C30" s="54" t="s">
        <v>6</v>
      </c>
      <c r="D30" s="54" t="s">
        <v>6</v>
      </c>
      <c r="E30" s="55"/>
      <c r="F30" s="55"/>
    </row>
    <row r="31" spans="1:6">
      <c r="A31" s="54" t="s">
        <v>100</v>
      </c>
      <c r="B31" s="57">
        <v>80</v>
      </c>
      <c r="C31" s="57">
        <v>-31</v>
      </c>
      <c r="D31" s="57">
        <v>-16</v>
      </c>
      <c r="E31" s="57">
        <v>2</v>
      </c>
      <c r="F31" s="57">
        <v>8</v>
      </c>
    </row>
    <row r="32" spans="1:6">
      <c r="A32" s="54" t="s">
        <v>101</v>
      </c>
      <c r="B32" s="57">
        <v>0</v>
      </c>
      <c r="C32" s="57">
        <v>1</v>
      </c>
      <c r="D32" s="57">
        <v>0</v>
      </c>
      <c r="E32" s="57">
        <v>-2</v>
      </c>
      <c r="F32" s="57">
        <v>0</v>
      </c>
    </row>
    <row r="33" spans="1:6">
      <c r="A33" s="54" t="s">
        <v>100</v>
      </c>
      <c r="B33" s="57">
        <v>80</v>
      </c>
      <c r="C33" s="57">
        <v>-30</v>
      </c>
      <c r="D33" s="57">
        <v>-16</v>
      </c>
      <c r="E33" s="57">
        <v>0</v>
      </c>
      <c r="F33" s="57">
        <v>8</v>
      </c>
    </row>
    <row r="34" spans="1:6" ht="14.25">
      <c r="A34" s="53" t="s">
        <v>102</v>
      </c>
      <c r="B34" s="54" t="s">
        <v>6</v>
      </c>
      <c r="C34" s="54" t="s">
        <v>6</v>
      </c>
      <c r="D34" s="54" t="s">
        <v>6</v>
      </c>
      <c r="E34" s="55"/>
      <c r="F34" s="55"/>
    </row>
    <row r="35" spans="1:6">
      <c r="A35" s="54" t="s">
        <v>100</v>
      </c>
      <c r="B35" s="57">
        <v>38</v>
      </c>
      <c r="C35" s="57">
        <v>47</v>
      </c>
      <c r="D35" s="57">
        <v>-43</v>
      </c>
      <c r="E35" s="57">
        <v>9</v>
      </c>
      <c r="F35" s="57">
        <v>10</v>
      </c>
    </row>
    <row r="36" spans="1:6" ht="27">
      <c r="A36" s="54" t="s">
        <v>103</v>
      </c>
      <c r="B36" s="57">
        <v>-48</v>
      </c>
      <c r="C36" s="57">
        <v>-49</v>
      </c>
      <c r="D36" s="57">
        <v>29</v>
      </c>
      <c r="E36" s="57">
        <v>9</v>
      </c>
      <c r="F36" s="57">
        <v>-5</v>
      </c>
    </row>
    <row r="37" spans="1:6">
      <c r="A37" s="54" t="s">
        <v>104</v>
      </c>
      <c r="B37" s="57">
        <v>-10</v>
      </c>
      <c r="C37" s="57">
        <v>-2</v>
      </c>
      <c r="D37" s="57">
        <v>-14</v>
      </c>
      <c r="E37" s="57">
        <v>18</v>
      </c>
      <c r="F37" s="57">
        <v>5</v>
      </c>
    </row>
    <row r="38" spans="1:6">
      <c r="A38" s="54" t="s">
        <v>105</v>
      </c>
      <c r="B38" s="57">
        <v>70</v>
      </c>
      <c r="C38" s="57">
        <v>-32</v>
      </c>
      <c r="D38" s="57">
        <v>-30</v>
      </c>
      <c r="E38" s="57">
        <v>18</v>
      </c>
      <c r="F38" s="57">
        <v>13</v>
      </c>
    </row>
    <row r="39" spans="1:6">
      <c r="A39" s="54" t="s">
        <v>106</v>
      </c>
      <c r="B39" s="56">
        <v>29830</v>
      </c>
      <c r="C39" s="56">
        <v>4336</v>
      </c>
      <c r="D39" s="56">
        <v>9722</v>
      </c>
      <c r="E39" s="56">
        <v>4350</v>
      </c>
      <c r="F39" s="56">
        <v>2809</v>
      </c>
    </row>
  </sheetData>
  <mergeCells count="2">
    <mergeCell ref="A1:A2"/>
    <mergeCell ref="B1:D1"/>
  </mergeCells>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95EC2-C374-4F67-80E1-8662F379BBE0}">
  <dimension ref="A1:S83"/>
  <sheetViews>
    <sheetView zoomScale="49" workbookViewId="0">
      <selection activeCell="A38" sqref="A38:A83"/>
    </sheetView>
  </sheetViews>
  <sheetFormatPr defaultRowHeight="13.9"/>
  <cols>
    <col min="1" max="1" width="62.59765625" customWidth="1"/>
    <col min="2" max="2" width="30.6640625" customWidth="1"/>
    <col min="3" max="3" width="15.3984375" customWidth="1"/>
    <col min="4" max="4" width="15.19921875" customWidth="1"/>
    <col min="5" max="5" width="15.06640625" customWidth="1"/>
    <col min="6" max="6" width="13.796875" customWidth="1"/>
  </cols>
  <sheetData>
    <row r="1" spans="1:19">
      <c r="A1" s="131" t="s">
        <v>155</v>
      </c>
      <c r="B1" s="129"/>
      <c r="C1" s="129"/>
      <c r="D1" s="129"/>
      <c r="E1" s="129"/>
      <c r="F1" s="129"/>
      <c r="I1" s="81" t="s">
        <v>215</v>
      </c>
      <c r="O1" t="s">
        <v>220</v>
      </c>
    </row>
    <row r="2" spans="1:19" ht="14.25" customHeight="1">
      <c r="A2" s="68"/>
      <c r="B2" s="69">
        <v>2019</v>
      </c>
      <c r="C2" s="69">
        <v>2020</v>
      </c>
      <c r="D2" s="69">
        <v>2021</v>
      </c>
      <c r="E2" s="69">
        <v>2022</v>
      </c>
      <c r="F2" s="69">
        <v>2023</v>
      </c>
    </row>
    <row r="3" spans="1:19">
      <c r="A3" s="132" t="s">
        <v>156</v>
      </c>
      <c r="B3" s="132"/>
      <c r="C3" s="132"/>
      <c r="D3" s="132"/>
      <c r="E3" s="132"/>
      <c r="F3" s="132"/>
      <c r="I3" s="69">
        <v>2019</v>
      </c>
      <c r="J3" s="69">
        <v>2020</v>
      </c>
      <c r="K3" s="69">
        <v>2021</v>
      </c>
      <c r="L3" s="69">
        <v>2022</v>
      </c>
      <c r="M3" s="69">
        <v>2023</v>
      </c>
      <c r="O3" s="69">
        <v>2019</v>
      </c>
      <c r="P3" s="69">
        <v>2020</v>
      </c>
      <c r="Q3" s="69">
        <v>2021</v>
      </c>
      <c r="R3" s="69">
        <v>2022</v>
      </c>
      <c r="S3" s="69">
        <v>2023</v>
      </c>
    </row>
    <row r="4" spans="1:19">
      <c r="A4" s="77" t="s">
        <v>26</v>
      </c>
      <c r="B4" s="71">
        <v>455399.3</v>
      </c>
      <c r="C4" s="71">
        <v>660170.6</v>
      </c>
      <c r="D4" s="71">
        <v>1064990.2</v>
      </c>
      <c r="E4" s="71">
        <v>1342814.1</v>
      </c>
      <c r="F4" s="71">
        <v>1465427.8</v>
      </c>
      <c r="I4" s="82">
        <f>IFERROR(B4/$B$17,0)</f>
        <v>0.2010837077349347</v>
      </c>
      <c r="J4" s="82">
        <f>IFERROR(C4/$C$17,0)</f>
        <v>0.23914021605081937</v>
      </c>
      <c r="K4" s="82">
        <f>IFERROR(D4/$D$17,0)</f>
        <v>0.28588021664390068</v>
      </c>
      <c r="L4" s="82">
        <f>IFERROR(E4/$E$17,0)</f>
        <v>0.27048547947549817</v>
      </c>
      <c r="M4" s="82">
        <f>IFERROR(F4/$F$17,0)</f>
        <v>0.26489076689718516</v>
      </c>
      <c r="O4" s="82">
        <f>IFERROR(B4/$B4,0)</f>
        <v>1</v>
      </c>
      <c r="P4" s="82">
        <f t="shared" ref="P4:S4" si="0">C4/$B4</f>
        <v>1.4496522063165227</v>
      </c>
      <c r="Q4" s="82">
        <f t="shared" si="0"/>
        <v>2.3385855006803919</v>
      </c>
      <c r="R4" s="82">
        <f t="shared" si="0"/>
        <v>2.9486520949856536</v>
      </c>
      <c r="S4" s="82">
        <f t="shared" si="0"/>
        <v>3.2178964701965946</v>
      </c>
    </row>
    <row r="5" spans="1:19">
      <c r="A5" s="77" t="s">
        <v>213</v>
      </c>
      <c r="B5" s="71">
        <v>139064.4</v>
      </c>
      <c r="C5" s="71">
        <v>139722.6</v>
      </c>
      <c r="D5" s="71">
        <v>139923.5</v>
      </c>
      <c r="E5" s="71">
        <v>243686</v>
      </c>
      <c r="F5" s="71">
        <v>249375.4</v>
      </c>
      <c r="I5" s="82">
        <f t="shared" ref="I5:I35" si="1">IFERROR(B5/$B$17,0)</f>
        <v>6.1404541390235018E-2</v>
      </c>
      <c r="J5" s="82">
        <f t="shared" ref="J5:J35" si="2">IFERROR(C5/$C$17,0)</f>
        <v>5.0613118413910307E-2</v>
      </c>
      <c r="K5" s="82">
        <f t="shared" ref="K5:K35" si="3">IFERROR(D5/$D$17,0)</f>
        <v>3.7560308530137497E-2</v>
      </c>
      <c r="L5" s="82">
        <f t="shared" ref="L5:L35" si="4">IFERROR(E5/$E$17,0)</f>
        <v>4.9086112926179613E-2</v>
      </c>
      <c r="M5" s="82">
        <f t="shared" ref="M5:M35" si="5">IFERROR(F5/$F$17,0)</f>
        <v>4.5077103731273757E-2</v>
      </c>
      <c r="O5" s="82">
        <f t="shared" ref="O5:O35" si="6">IFERROR(B5/$B5,0)</f>
        <v>1</v>
      </c>
      <c r="P5" s="82">
        <f t="shared" ref="P5:P35" si="7">IFERROR(C5/$B5,0)</f>
        <v>1.0047330589280938</v>
      </c>
      <c r="Q5" s="82">
        <f t="shared" ref="Q5:Q6" si="8">IFERROR(D5/$B5,0)</f>
        <v>1.0061777133471974</v>
      </c>
      <c r="R5" s="82">
        <f t="shared" ref="R5:R6" si="9">IFERROR(E5/$B5,0)</f>
        <v>1.752324822168722</v>
      </c>
      <c r="S5" s="82">
        <f t="shared" ref="S5:S6" si="10">IFERROR(F5/$B5,0)</f>
        <v>1.7932368025173948</v>
      </c>
    </row>
    <row r="6" spans="1:19">
      <c r="A6" s="78" t="s">
        <v>157</v>
      </c>
      <c r="B6" s="79">
        <v>594463.69999999995</v>
      </c>
      <c r="C6" s="79">
        <v>799893.2</v>
      </c>
      <c r="D6" s="79">
        <v>1204913.7</v>
      </c>
      <c r="E6" s="79">
        <v>1586500.1</v>
      </c>
      <c r="F6" s="79">
        <v>1714803.2</v>
      </c>
      <c r="I6" s="82">
        <f t="shared" si="1"/>
        <v>0.26248824912516971</v>
      </c>
      <c r="J6" s="82">
        <f t="shared" si="2"/>
        <v>0.28975333446472967</v>
      </c>
      <c r="K6" s="82">
        <f t="shared" si="3"/>
        <v>0.32344052517403821</v>
      </c>
      <c r="L6" s="82">
        <f t="shared" si="4"/>
        <v>0.31957159240167782</v>
      </c>
      <c r="M6" s="82">
        <f t="shared" si="5"/>
        <v>0.30996787062845887</v>
      </c>
      <c r="O6" s="82">
        <f t="shared" si="6"/>
        <v>1</v>
      </c>
      <c r="P6" s="82">
        <f t="shared" si="7"/>
        <v>1.3455711425272898</v>
      </c>
      <c r="Q6" s="82">
        <f t="shared" si="8"/>
        <v>2.0268919700227279</v>
      </c>
      <c r="R6" s="82">
        <f t="shared" si="9"/>
        <v>2.6687922239827264</v>
      </c>
      <c r="S6" s="82">
        <f t="shared" si="10"/>
        <v>2.8846222233586341</v>
      </c>
    </row>
    <row r="7" spans="1:19">
      <c r="A7" s="77" t="s">
        <v>77</v>
      </c>
      <c r="B7" s="74" t="s">
        <v>161</v>
      </c>
      <c r="C7" s="74" t="s">
        <v>161</v>
      </c>
      <c r="D7" s="71">
        <v>197586.1</v>
      </c>
      <c r="E7" s="74" t="s">
        <v>161</v>
      </c>
      <c r="F7" s="74" t="s">
        <v>161</v>
      </c>
      <c r="I7" s="82">
        <f t="shared" si="1"/>
        <v>0</v>
      </c>
      <c r="J7" s="82">
        <f t="shared" si="2"/>
        <v>0</v>
      </c>
      <c r="K7" s="82">
        <f t="shared" si="3"/>
        <v>5.3038945404214458E-2</v>
      </c>
      <c r="L7" s="82">
        <f t="shared" si="4"/>
        <v>0</v>
      </c>
      <c r="M7" s="82">
        <f t="shared" si="5"/>
        <v>0</v>
      </c>
      <c r="O7" s="82">
        <f t="shared" si="6"/>
        <v>0</v>
      </c>
      <c r="P7" s="82">
        <f t="shared" si="7"/>
        <v>0</v>
      </c>
      <c r="Q7" s="82"/>
      <c r="R7" s="82"/>
      <c r="S7" s="82"/>
    </row>
    <row r="8" spans="1:19">
      <c r="A8" s="77" t="s">
        <v>148</v>
      </c>
      <c r="B8" s="71">
        <v>82981.2</v>
      </c>
      <c r="C8" s="71">
        <v>137353.4</v>
      </c>
      <c r="D8" s="71">
        <v>193102.3</v>
      </c>
      <c r="E8" s="71">
        <v>221149.1</v>
      </c>
      <c r="F8" s="71">
        <v>250997.1</v>
      </c>
      <c r="I8" s="82">
        <f t="shared" si="1"/>
        <v>3.6640740045700913E-2</v>
      </c>
      <c r="J8" s="82">
        <f t="shared" si="2"/>
        <v>4.9754899341646862E-2</v>
      </c>
      <c r="K8" s="82">
        <f t="shared" si="3"/>
        <v>5.1835338351879208E-2</v>
      </c>
      <c r="L8" s="82">
        <f t="shared" si="4"/>
        <v>4.4546464286512107E-2</v>
      </c>
      <c r="M8" s="82">
        <f t="shared" si="5"/>
        <v>4.537024226507063E-2</v>
      </c>
      <c r="O8" s="82">
        <f t="shared" si="6"/>
        <v>1</v>
      </c>
      <c r="P8" s="82">
        <f t="shared" si="7"/>
        <v>1.6552351616992764</v>
      </c>
      <c r="Q8" s="82">
        <f t="shared" ref="Q8:Q35" si="11">IFERROR(D8/$B8,0)</f>
        <v>2.3270608282357932</v>
      </c>
      <c r="R8" s="82">
        <f t="shared" ref="R8:R35" si="12">IFERROR(E8/$B8,0)</f>
        <v>2.6650506379758307</v>
      </c>
      <c r="S8" s="82">
        <f t="shared" ref="S8:S35" si="13">IFERROR(F8/$B8,0)</f>
        <v>3.0247465691023994</v>
      </c>
    </row>
    <row r="9" spans="1:19">
      <c r="A9" s="77" t="s">
        <v>149</v>
      </c>
      <c r="B9" s="71">
        <v>145169</v>
      </c>
      <c r="C9" s="71">
        <v>154938.70000000001</v>
      </c>
      <c r="D9" s="71">
        <v>11470.8</v>
      </c>
      <c r="E9" s="71">
        <v>245247.5</v>
      </c>
      <c r="F9" s="71">
        <v>228232.6</v>
      </c>
      <c r="I9" s="82">
        <f t="shared" si="1"/>
        <v>6.4100056298226057E-2</v>
      </c>
      <c r="J9" s="82">
        <f t="shared" si="2"/>
        <v>5.6124998890639918E-2</v>
      </c>
      <c r="K9" s="82">
        <f t="shared" si="3"/>
        <v>3.0791595914017389E-3</v>
      </c>
      <c r="L9" s="82">
        <f t="shared" si="4"/>
        <v>4.940064870309839E-2</v>
      </c>
      <c r="M9" s="82">
        <f t="shared" si="5"/>
        <v>4.1255330658350069E-2</v>
      </c>
      <c r="O9" s="82">
        <f t="shared" si="6"/>
        <v>1</v>
      </c>
      <c r="P9" s="82">
        <f t="shared" si="7"/>
        <v>1.0672988034635496</v>
      </c>
      <c r="Q9" s="82">
        <f t="shared" si="11"/>
        <v>7.9016869992904817E-2</v>
      </c>
      <c r="R9" s="82">
        <f t="shared" si="12"/>
        <v>1.6893930522356702</v>
      </c>
      <c r="S9" s="82">
        <f t="shared" si="13"/>
        <v>1.5721855217022918</v>
      </c>
    </row>
    <row r="10" spans="1:19">
      <c r="A10" s="78" t="s">
        <v>158</v>
      </c>
      <c r="B10" s="79">
        <v>822613.9</v>
      </c>
      <c r="C10" s="79">
        <v>1092185.3</v>
      </c>
      <c r="D10" s="79">
        <v>1607072.9</v>
      </c>
      <c r="E10" s="79">
        <v>2052896.7</v>
      </c>
      <c r="F10" s="79">
        <v>2194032.9</v>
      </c>
      <c r="I10" s="82">
        <f t="shared" si="1"/>
        <v>0.36322904546909668</v>
      </c>
      <c r="J10" s="82">
        <f t="shared" si="2"/>
        <v>0.3956332326970165</v>
      </c>
      <c r="K10" s="82">
        <f t="shared" si="3"/>
        <v>0.43139396852153361</v>
      </c>
      <c r="L10" s="82">
        <f t="shared" si="4"/>
        <v>0.41351870539128827</v>
      </c>
      <c r="M10" s="82">
        <f t="shared" si="5"/>
        <v>0.39659344355187959</v>
      </c>
      <c r="O10" s="82">
        <f t="shared" si="6"/>
        <v>1</v>
      </c>
      <c r="P10" s="82">
        <f t="shared" si="7"/>
        <v>1.3277010028641627</v>
      </c>
      <c r="Q10" s="82">
        <f t="shared" si="11"/>
        <v>1.9536174868914808</v>
      </c>
      <c r="R10" s="82">
        <f t="shared" si="12"/>
        <v>2.4955774513413886</v>
      </c>
      <c r="S10" s="82">
        <f t="shared" si="13"/>
        <v>2.6671478563637203</v>
      </c>
    </row>
    <row r="11" spans="1:19">
      <c r="A11" s="77" t="s">
        <v>159</v>
      </c>
      <c r="B11" s="71">
        <v>1369609.8</v>
      </c>
      <c r="C11" s="71">
        <v>1583317.6</v>
      </c>
      <c r="D11" s="71">
        <v>2007853.1</v>
      </c>
      <c r="E11" s="71">
        <v>2735751</v>
      </c>
      <c r="F11" s="71">
        <v>3104899.7</v>
      </c>
      <c r="I11" s="82">
        <f t="shared" si="1"/>
        <v>0.60475766373400741</v>
      </c>
      <c r="J11" s="82">
        <f t="shared" si="2"/>
        <v>0.57354101037075089</v>
      </c>
      <c r="K11" s="82">
        <f t="shared" si="3"/>
        <v>0.53897724055782648</v>
      </c>
      <c r="L11" s="82">
        <f t="shared" si="4"/>
        <v>0.55106728545714079</v>
      </c>
      <c r="M11" s="82">
        <f t="shared" si="5"/>
        <v>0.56124174979609376</v>
      </c>
      <c r="O11" s="82">
        <f t="shared" si="6"/>
        <v>1</v>
      </c>
      <c r="P11" s="82">
        <f t="shared" si="7"/>
        <v>1.1560355365447881</v>
      </c>
      <c r="Q11" s="82">
        <f t="shared" si="11"/>
        <v>1.4660037479287897</v>
      </c>
      <c r="R11" s="82">
        <f t="shared" si="12"/>
        <v>1.9974674538689778</v>
      </c>
      <c r="S11" s="82">
        <f t="shared" si="13"/>
        <v>2.2669958261104735</v>
      </c>
    </row>
    <row r="12" spans="1:19">
      <c r="A12" s="77" t="s">
        <v>160</v>
      </c>
      <c r="B12" s="74" t="s">
        <v>161</v>
      </c>
      <c r="C12" s="74" t="s">
        <v>161</v>
      </c>
      <c r="D12" s="74" t="s">
        <v>161</v>
      </c>
      <c r="E12" s="74" t="s">
        <v>161</v>
      </c>
      <c r="F12" s="74" t="s">
        <v>161</v>
      </c>
      <c r="I12" s="82">
        <f t="shared" si="1"/>
        <v>0</v>
      </c>
      <c r="J12" s="82">
        <f t="shared" si="2"/>
        <v>0</v>
      </c>
      <c r="K12" s="82">
        <f t="shared" si="3"/>
        <v>0</v>
      </c>
      <c r="L12" s="82">
        <f t="shared" si="4"/>
        <v>0</v>
      </c>
      <c r="M12" s="82">
        <f t="shared" si="5"/>
        <v>0</v>
      </c>
      <c r="O12" s="82">
        <f t="shared" si="6"/>
        <v>0</v>
      </c>
      <c r="P12" s="82">
        <f t="shared" si="7"/>
        <v>0</v>
      </c>
      <c r="Q12" s="82">
        <f t="shared" si="11"/>
        <v>0</v>
      </c>
      <c r="R12" s="82">
        <f t="shared" si="12"/>
        <v>0</v>
      </c>
      <c r="S12" s="82">
        <f t="shared" si="13"/>
        <v>0</v>
      </c>
    </row>
    <row r="13" spans="1:19">
      <c r="A13" s="77" t="s">
        <v>162</v>
      </c>
      <c r="B13" s="71">
        <v>20653</v>
      </c>
      <c r="C13" s="71">
        <v>25768.1</v>
      </c>
      <c r="D13" s="71">
        <v>26821.7</v>
      </c>
      <c r="E13" s="71">
        <v>25999.200000000001</v>
      </c>
      <c r="F13" s="71">
        <v>22766.7</v>
      </c>
      <c r="I13" s="82">
        <f t="shared" si="1"/>
        <v>9.1194295113093196E-3</v>
      </c>
      <c r="J13" s="82">
        <f t="shared" si="2"/>
        <v>9.334237242947685E-3</v>
      </c>
      <c r="K13" s="82">
        <f t="shared" si="3"/>
        <v>7.1998722680806943E-3</v>
      </c>
      <c r="L13" s="82">
        <f t="shared" si="4"/>
        <v>5.2370660078557207E-3</v>
      </c>
      <c r="M13" s="82">
        <f t="shared" si="5"/>
        <v>4.1153092787772584E-3</v>
      </c>
      <c r="O13" s="82">
        <f t="shared" si="6"/>
        <v>1</v>
      </c>
      <c r="P13" s="82">
        <f t="shared" si="7"/>
        <v>1.2476686195710065</v>
      </c>
      <c r="Q13" s="82">
        <f t="shared" si="11"/>
        <v>1.2986830000484191</v>
      </c>
      <c r="R13" s="82">
        <f t="shared" si="12"/>
        <v>1.2588582772478576</v>
      </c>
      <c r="S13" s="82">
        <f t="shared" si="13"/>
        <v>1.1023434852079601</v>
      </c>
    </row>
    <row r="14" spans="1:19">
      <c r="A14" s="77" t="s">
        <v>163</v>
      </c>
      <c r="B14" s="71">
        <v>17928.400000000001</v>
      </c>
      <c r="C14" s="71">
        <v>25958.2</v>
      </c>
      <c r="D14" s="71">
        <v>49153.9</v>
      </c>
      <c r="E14" s="71">
        <v>69185.899999999994</v>
      </c>
      <c r="F14" s="71">
        <v>64175.8</v>
      </c>
      <c r="I14" s="82">
        <f t="shared" si="1"/>
        <v>7.916369537140271E-3</v>
      </c>
      <c r="J14" s="82">
        <f t="shared" si="2"/>
        <v>9.4030990721040587E-3</v>
      </c>
      <c r="K14" s="82">
        <f t="shared" si="3"/>
        <v>1.3194607406615226E-2</v>
      </c>
      <c r="L14" s="82">
        <f t="shared" si="4"/>
        <v>1.3936241311767478E-2</v>
      </c>
      <c r="M14" s="82">
        <f t="shared" si="5"/>
        <v>1.1600419262034182E-2</v>
      </c>
      <c r="O14" s="82">
        <f t="shared" si="6"/>
        <v>1</v>
      </c>
      <c r="P14" s="82">
        <f t="shared" si="7"/>
        <v>1.4478815733696258</v>
      </c>
      <c r="Q14" s="82">
        <f t="shared" si="11"/>
        <v>2.7416780080765712</v>
      </c>
      <c r="R14" s="82">
        <f t="shared" si="12"/>
        <v>3.8590114009058247</v>
      </c>
      <c r="S14" s="82">
        <f t="shared" si="13"/>
        <v>3.5795609201044152</v>
      </c>
    </row>
    <row r="15" spans="1:19">
      <c r="A15" s="77" t="s">
        <v>164</v>
      </c>
      <c r="B15" s="71">
        <v>33919.9</v>
      </c>
      <c r="C15" s="71">
        <v>33371.300000000003</v>
      </c>
      <c r="D15" s="71">
        <v>34400.6</v>
      </c>
      <c r="E15" s="71">
        <v>80626.3</v>
      </c>
      <c r="F15" s="71">
        <v>146321.5</v>
      </c>
      <c r="I15" s="82">
        <f t="shared" si="1"/>
        <v>1.497749174844628E-2</v>
      </c>
      <c r="J15" s="82">
        <f t="shared" si="2"/>
        <v>1.2088420617180937E-2</v>
      </c>
      <c r="K15" s="82">
        <f t="shared" si="3"/>
        <v>9.2343112459440189E-3</v>
      </c>
      <c r="L15" s="82">
        <f t="shared" si="4"/>
        <v>1.6240701831947816E-2</v>
      </c>
      <c r="M15" s="82">
        <f t="shared" si="5"/>
        <v>2.6449078111215354E-2</v>
      </c>
      <c r="O15" s="82">
        <f t="shared" si="6"/>
        <v>1</v>
      </c>
      <c r="P15" s="82">
        <f t="shared" si="7"/>
        <v>0.98382660326239169</v>
      </c>
      <c r="Q15" s="82">
        <f t="shared" si="11"/>
        <v>1.0141716219682251</v>
      </c>
      <c r="R15" s="82">
        <f t="shared" si="12"/>
        <v>2.3769616066085102</v>
      </c>
      <c r="S15" s="82">
        <f t="shared" si="13"/>
        <v>4.3137361843637505</v>
      </c>
    </row>
    <row r="16" spans="1:19">
      <c r="A16" s="78" t="s">
        <v>165</v>
      </c>
      <c r="B16" s="79">
        <v>1442111.1</v>
      </c>
      <c r="C16" s="79">
        <v>1668415.2</v>
      </c>
      <c r="D16" s="79">
        <v>2118229.2999999998</v>
      </c>
      <c r="E16" s="79">
        <v>2911562.4</v>
      </c>
      <c r="F16" s="79">
        <v>3338163.7</v>
      </c>
      <c r="I16" s="82">
        <f t="shared" si="1"/>
        <v>0.63677095453090338</v>
      </c>
      <c r="J16" s="82">
        <f t="shared" si="2"/>
        <v>0.60436676730298355</v>
      </c>
      <c r="K16" s="82">
        <f t="shared" si="3"/>
        <v>0.56860603147846633</v>
      </c>
      <c r="L16" s="82">
        <f t="shared" si="4"/>
        <v>0.58648129460871179</v>
      </c>
      <c r="M16" s="82">
        <f t="shared" si="5"/>
        <v>0.60340655644812047</v>
      </c>
      <c r="O16" s="82">
        <f t="shared" si="6"/>
        <v>1</v>
      </c>
      <c r="P16" s="82">
        <f t="shared" si="7"/>
        <v>1.156925565582291</v>
      </c>
      <c r="Q16" s="82">
        <f t="shared" si="11"/>
        <v>1.4688391899902855</v>
      </c>
      <c r="R16" s="82">
        <f t="shared" si="12"/>
        <v>2.0189584561134017</v>
      </c>
      <c r="S16" s="82">
        <f t="shared" si="13"/>
        <v>2.3147756785174178</v>
      </c>
    </row>
    <row r="17" spans="1:19" ht="14.25" thickBot="1">
      <c r="A17" s="72" t="s">
        <v>144</v>
      </c>
      <c r="B17" s="73">
        <v>2264725</v>
      </c>
      <c r="C17" s="73">
        <v>2760600.5</v>
      </c>
      <c r="D17" s="73">
        <v>3725302.2</v>
      </c>
      <c r="E17" s="73">
        <v>4964459.0999999996</v>
      </c>
      <c r="F17" s="73">
        <v>5532196.5999999996</v>
      </c>
      <c r="I17" s="82">
        <f t="shared" si="1"/>
        <v>1</v>
      </c>
      <c r="J17" s="82">
        <f t="shared" si="2"/>
        <v>1</v>
      </c>
      <c r="K17" s="82">
        <f t="shared" si="3"/>
        <v>1</v>
      </c>
      <c r="L17" s="82">
        <f t="shared" si="4"/>
        <v>1</v>
      </c>
      <c r="M17" s="82">
        <f t="shared" si="5"/>
        <v>1</v>
      </c>
      <c r="O17" s="82">
        <f t="shared" si="6"/>
        <v>1</v>
      </c>
      <c r="P17" s="82">
        <f t="shared" si="7"/>
        <v>1.218956164655753</v>
      </c>
      <c r="Q17" s="82">
        <f t="shared" si="11"/>
        <v>1.6449247480378413</v>
      </c>
      <c r="R17" s="82">
        <f t="shared" si="12"/>
        <v>2.1920803188025033</v>
      </c>
      <c r="S17" s="82">
        <f t="shared" si="13"/>
        <v>2.442767488326397</v>
      </c>
    </row>
    <row r="18" spans="1:19">
      <c r="A18" s="133" t="s">
        <v>166</v>
      </c>
      <c r="B18" s="133"/>
      <c r="C18" s="133"/>
      <c r="D18" s="133"/>
      <c r="E18" s="133"/>
      <c r="F18" s="133"/>
      <c r="I18" s="82"/>
      <c r="J18" s="82"/>
      <c r="K18" s="82"/>
      <c r="L18" s="82"/>
      <c r="M18" s="82"/>
      <c r="O18" s="82">
        <f t="shared" si="6"/>
        <v>0</v>
      </c>
      <c r="P18" s="82">
        <f t="shared" si="7"/>
        <v>0</v>
      </c>
      <c r="Q18" s="82">
        <f t="shared" si="11"/>
        <v>0</v>
      </c>
      <c r="R18" s="82">
        <f t="shared" si="12"/>
        <v>0</v>
      </c>
      <c r="S18" s="82">
        <f t="shared" si="13"/>
        <v>0</v>
      </c>
    </row>
    <row r="19" spans="1:19">
      <c r="A19" s="77" t="s">
        <v>150</v>
      </c>
      <c r="B19" s="71">
        <v>179581.8</v>
      </c>
      <c r="C19" s="71">
        <v>196792.3</v>
      </c>
      <c r="D19" s="71">
        <v>193027.8</v>
      </c>
      <c r="E19" s="71">
        <v>268379.3</v>
      </c>
      <c r="F19" s="71">
        <v>227211.4</v>
      </c>
      <c r="I19" s="82">
        <f t="shared" si="1"/>
        <v>7.929519036527613E-2</v>
      </c>
      <c r="J19" s="82">
        <f t="shared" si="2"/>
        <v>7.1286048089899273E-2</v>
      </c>
      <c r="K19" s="82">
        <f t="shared" si="3"/>
        <v>5.1815339974297915E-2</v>
      </c>
      <c r="L19" s="82">
        <f t="shared" si="4"/>
        <v>5.406012912866983E-2</v>
      </c>
      <c r="M19" s="82">
        <f t="shared" si="5"/>
        <v>4.1070738520030181E-2</v>
      </c>
      <c r="O19" s="82">
        <f t="shared" si="6"/>
        <v>1</v>
      </c>
      <c r="P19" s="82">
        <f t="shared" si="7"/>
        <v>1.0958365491380531</v>
      </c>
      <c r="Q19" s="82">
        <f t="shared" si="11"/>
        <v>1.0748739571604695</v>
      </c>
      <c r="R19" s="82">
        <f t="shared" si="12"/>
        <v>1.494468259032931</v>
      </c>
      <c r="S19" s="82">
        <f t="shared" si="13"/>
        <v>1.2652250951933883</v>
      </c>
    </row>
    <row r="20" spans="1:19">
      <c r="A20" s="77" t="s">
        <v>167</v>
      </c>
      <c r="B20" s="71">
        <v>40094.300000000003</v>
      </c>
      <c r="C20" s="71">
        <v>68656.7</v>
      </c>
      <c r="D20" s="71">
        <v>78496.600000000006</v>
      </c>
      <c r="E20" s="71">
        <v>163138.6</v>
      </c>
      <c r="F20" s="71">
        <v>128134.6</v>
      </c>
      <c r="I20" s="82">
        <f t="shared" si="1"/>
        <v>1.7703827175484882E-2</v>
      </c>
      <c r="J20" s="82">
        <f t="shared" si="2"/>
        <v>2.4870204870280941E-2</v>
      </c>
      <c r="K20" s="82">
        <f t="shared" si="3"/>
        <v>2.1071203297278809E-2</v>
      </c>
      <c r="L20" s="82">
        <f t="shared" si="4"/>
        <v>3.286130406432395E-2</v>
      </c>
      <c r="M20" s="82">
        <f t="shared" si="5"/>
        <v>2.3161613598475517E-2</v>
      </c>
      <c r="O20" s="82">
        <f t="shared" si="6"/>
        <v>1</v>
      </c>
      <c r="P20" s="82">
        <f t="shared" si="7"/>
        <v>1.7123805628231443</v>
      </c>
      <c r="Q20" s="82">
        <f t="shared" si="11"/>
        <v>1.9577994877077289</v>
      </c>
      <c r="R20" s="82">
        <f t="shared" si="12"/>
        <v>4.0688726327682483</v>
      </c>
      <c r="S20" s="82">
        <f t="shared" si="13"/>
        <v>3.1958308288210544</v>
      </c>
    </row>
    <row r="21" spans="1:19">
      <c r="A21" s="77" t="s">
        <v>151</v>
      </c>
      <c r="B21" s="71">
        <v>150322.29999999999</v>
      </c>
      <c r="C21" s="71">
        <v>91159</v>
      </c>
      <c r="D21" s="71">
        <v>119488</v>
      </c>
      <c r="E21" s="71">
        <v>19313.900000000001</v>
      </c>
      <c r="F21" s="71">
        <v>9293.2999999999993</v>
      </c>
      <c r="I21" s="82">
        <f t="shared" si="1"/>
        <v>6.6375520206647595E-2</v>
      </c>
      <c r="J21" s="82">
        <f t="shared" si="2"/>
        <v>3.3021438632645325E-2</v>
      </c>
      <c r="K21" s="82">
        <f t="shared" si="3"/>
        <v>3.2074713294400654E-2</v>
      </c>
      <c r="L21" s="82">
        <f t="shared" si="4"/>
        <v>3.890433904471084E-3</v>
      </c>
      <c r="M21" s="82">
        <f t="shared" si="5"/>
        <v>1.6798571475207516E-3</v>
      </c>
      <c r="O21" s="82">
        <f t="shared" si="6"/>
        <v>1</v>
      </c>
      <c r="P21" s="82">
        <f t="shared" si="7"/>
        <v>0.60642366435319317</v>
      </c>
      <c r="Q21" s="82">
        <f t="shared" si="11"/>
        <v>0.79487873721996005</v>
      </c>
      <c r="R21" s="82">
        <f t="shared" si="12"/>
        <v>0.12848326562326418</v>
      </c>
      <c r="S21" s="82">
        <f t="shared" si="13"/>
        <v>6.1822497393932904E-2</v>
      </c>
    </row>
    <row r="22" spans="1:19">
      <c r="A22" s="77" t="s">
        <v>168</v>
      </c>
      <c r="B22" s="71">
        <v>228365.4</v>
      </c>
      <c r="C22" s="71">
        <v>275290.40000000002</v>
      </c>
      <c r="D22" s="71">
        <v>367340.4</v>
      </c>
      <c r="E22" s="71">
        <v>535731.80000000005</v>
      </c>
      <c r="F22" s="71">
        <v>578165.80000000005</v>
      </c>
      <c r="I22" s="82">
        <f t="shared" si="1"/>
        <v>0.10083581891841173</v>
      </c>
      <c r="J22" s="82">
        <f t="shared" si="2"/>
        <v>9.9721201963123618E-2</v>
      </c>
      <c r="K22" s="82">
        <f t="shared" si="3"/>
        <v>9.8606872752497771E-2</v>
      </c>
      <c r="L22" s="82">
        <f t="shared" si="4"/>
        <v>0.10791342807114677</v>
      </c>
      <c r="M22" s="82">
        <f t="shared" si="5"/>
        <v>0.10450926490934905</v>
      </c>
      <c r="O22" s="82">
        <f t="shared" si="6"/>
        <v>1</v>
      </c>
      <c r="P22" s="82">
        <f t="shared" si="7"/>
        <v>1.2054820914201541</v>
      </c>
      <c r="Q22" s="82">
        <f t="shared" si="11"/>
        <v>1.6085641695283088</v>
      </c>
      <c r="R22" s="82">
        <f t="shared" si="12"/>
        <v>2.3459411977471194</v>
      </c>
      <c r="S22" s="82">
        <f t="shared" si="13"/>
        <v>2.5317574378605516</v>
      </c>
    </row>
    <row r="23" spans="1:19">
      <c r="A23" s="78" t="s">
        <v>13</v>
      </c>
      <c r="B23" s="79">
        <v>598363.80000000005</v>
      </c>
      <c r="C23" s="79">
        <v>631898.4</v>
      </c>
      <c r="D23" s="79">
        <v>758352.8</v>
      </c>
      <c r="E23" s="79">
        <v>986563.6</v>
      </c>
      <c r="F23" s="79">
        <v>942805.1</v>
      </c>
      <c r="I23" s="82">
        <f t="shared" si="1"/>
        <v>0.26421035666582038</v>
      </c>
      <c r="J23" s="82">
        <f t="shared" si="2"/>
        <v>0.22889889355594917</v>
      </c>
      <c r="K23" s="82">
        <f t="shared" si="3"/>
        <v>0.20356812931847515</v>
      </c>
      <c r="L23" s="82">
        <f t="shared" si="4"/>
        <v>0.19872529516861162</v>
      </c>
      <c r="M23" s="82">
        <f t="shared" si="5"/>
        <v>0.17042147417537548</v>
      </c>
      <c r="O23" s="82">
        <f t="shared" si="6"/>
        <v>1</v>
      </c>
      <c r="P23" s="82">
        <f t="shared" si="7"/>
        <v>1.0560438315285783</v>
      </c>
      <c r="Q23" s="82">
        <f t="shared" si="11"/>
        <v>1.2673774716986554</v>
      </c>
      <c r="R23" s="82">
        <f t="shared" si="12"/>
        <v>1.6487688593461034</v>
      </c>
      <c r="S23" s="82">
        <f t="shared" si="13"/>
        <v>1.575638599794974</v>
      </c>
    </row>
    <row r="24" spans="1:19">
      <c r="A24" s="77" t="s">
        <v>169</v>
      </c>
      <c r="B24" s="74">
        <v>344.4</v>
      </c>
      <c r="C24" s="71">
        <v>1729.9</v>
      </c>
      <c r="D24" s="71">
        <v>1873.9</v>
      </c>
      <c r="E24" s="71">
        <v>1031.4000000000001</v>
      </c>
      <c r="F24" s="74">
        <v>53.8</v>
      </c>
      <c r="I24" s="82">
        <f t="shared" si="1"/>
        <v>1.5207144355274923E-4</v>
      </c>
      <c r="J24" s="82">
        <f t="shared" si="2"/>
        <v>6.2663902292273003E-4</v>
      </c>
      <c r="K24" s="82">
        <f t="shared" si="3"/>
        <v>5.0301959395401537E-4</v>
      </c>
      <c r="L24" s="82">
        <f t="shared" si="4"/>
        <v>2.0775677253540072E-4</v>
      </c>
      <c r="M24" s="82">
        <f t="shared" si="5"/>
        <v>9.7248893866136289E-6</v>
      </c>
      <c r="O24" s="82">
        <f t="shared" si="6"/>
        <v>1</v>
      </c>
      <c r="P24" s="82">
        <f t="shared" si="7"/>
        <v>5.0229384436701512</v>
      </c>
      <c r="Q24" s="82">
        <f t="shared" si="11"/>
        <v>5.441056910569106</v>
      </c>
      <c r="R24" s="82">
        <f t="shared" si="12"/>
        <v>2.9947735191637634</v>
      </c>
      <c r="S24" s="82">
        <f t="shared" si="13"/>
        <v>0.15621370499419279</v>
      </c>
    </row>
    <row r="25" spans="1:19">
      <c r="A25" s="77" t="s">
        <v>152</v>
      </c>
      <c r="B25" s="71">
        <v>25100</v>
      </c>
      <c r="C25" s="71">
        <v>256072.7</v>
      </c>
      <c r="D25" s="71">
        <v>613379.69999999995</v>
      </c>
      <c r="E25" s="71">
        <v>839096.4</v>
      </c>
      <c r="F25" s="71">
        <v>918282.8</v>
      </c>
      <c r="I25" s="82">
        <f t="shared" si="1"/>
        <v>1.1083023325127775E-2</v>
      </c>
      <c r="J25" s="82">
        <f t="shared" si="2"/>
        <v>9.2759781793852469E-2</v>
      </c>
      <c r="K25" s="82">
        <f t="shared" si="3"/>
        <v>0.16465233344022398</v>
      </c>
      <c r="L25" s="82">
        <f t="shared" si="4"/>
        <v>0.16902070962776189</v>
      </c>
      <c r="M25" s="82">
        <f t="shared" si="5"/>
        <v>0.1659888225953503</v>
      </c>
      <c r="O25" s="82">
        <f t="shared" si="6"/>
        <v>1</v>
      </c>
      <c r="P25" s="82">
        <f t="shared" si="7"/>
        <v>10.202099601593625</v>
      </c>
      <c r="Q25" s="82">
        <f t="shared" si="11"/>
        <v>24.437438247011951</v>
      </c>
      <c r="R25" s="82">
        <f t="shared" si="12"/>
        <v>33.430135458167335</v>
      </c>
      <c r="S25" s="82">
        <f t="shared" si="13"/>
        <v>36.584972111553789</v>
      </c>
    </row>
    <row r="26" spans="1:19">
      <c r="A26" s="77" t="s">
        <v>217</v>
      </c>
      <c r="B26" s="87">
        <f>B35-2237513.8</f>
        <v>27211.200000000186</v>
      </c>
      <c r="C26" s="87">
        <f>C35-2725464.8</f>
        <v>35135.700000000186</v>
      </c>
      <c r="D26" s="88">
        <f>D35-3544339.6</f>
        <v>180962.60000000009</v>
      </c>
      <c r="E26" s="88">
        <f>E35-4787180.27</f>
        <v>177278.83000000007</v>
      </c>
      <c r="F26" s="88">
        <f>F35-5344404.54</f>
        <v>187792.05999999959</v>
      </c>
      <c r="I26" s="82">
        <f t="shared" si="1"/>
        <v>1.2015233637638206E-2</v>
      </c>
      <c r="J26" s="82">
        <f t="shared" si="2"/>
        <v>1.272755692103953E-2</v>
      </c>
      <c r="K26" s="82">
        <f t="shared" si="3"/>
        <v>4.8576622857603363E-2</v>
      </c>
      <c r="L26" s="82">
        <f t="shared" si="4"/>
        <v>3.5709596237785517E-2</v>
      </c>
      <c r="M26" s="82">
        <f t="shared" si="5"/>
        <v>3.394529760565624E-2</v>
      </c>
      <c r="O26" s="82">
        <f t="shared" si="6"/>
        <v>1</v>
      </c>
      <c r="P26" s="82">
        <f t="shared" si="7"/>
        <v>1.2912219968248349</v>
      </c>
      <c r="Q26" s="82">
        <f t="shared" si="11"/>
        <v>6.6502984065384423</v>
      </c>
      <c r="R26" s="82">
        <f t="shared" si="12"/>
        <v>6.5149214294113769</v>
      </c>
      <c r="S26" s="82">
        <f t="shared" si="13"/>
        <v>6.901278150173396</v>
      </c>
    </row>
    <row r="27" spans="1:19">
      <c r="A27" s="78" t="s">
        <v>170</v>
      </c>
      <c r="B27" s="80">
        <f>SUM(B24:B26)</f>
        <v>52655.600000000188</v>
      </c>
      <c r="C27" s="80">
        <f t="shared" ref="C27:F27" si="14">SUM(C24:C26)</f>
        <v>292938.30000000016</v>
      </c>
      <c r="D27" s="80">
        <f t="shared" si="14"/>
        <v>796216.20000000007</v>
      </c>
      <c r="E27" s="80">
        <f t="shared" si="14"/>
        <v>1017406.6300000001</v>
      </c>
      <c r="F27" s="80">
        <f t="shared" si="14"/>
        <v>1106128.6599999997</v>
      </c>
      <c r="I27" s="82">
        <f t="shared" si="1"/>
        <v>2.3250328406318729E-2</v>
      </c>
      <c r="J27" s="82">
        <f t="shared" si="2"/>
        <v>0.10611397773781471</v>
      </c>
      <c r="K27" s="82">
        <f t="shared" si="3"/>
        <v>0.21373197589178136</v>
      </c>
      <c r="L27" s="82">
        <f t="shared" si="4"/>
        <v>0.20493806263808281</v>
      </c>
      <c r="M27" s="82">
        <f t="shared" si="5"/>
        <v>0.19994384509039317</v>
      </c>
      <c r="O27" s="82">
        <f t="shared" si="6"/>
        <v>1</v>
      </c>
      <c r="P27" s="82">
        <f t="shared" si="7"/>
        <v>5.563288615076063</v>
      </c>
      <c r="Q27" s="82">
        <f t="shared" si="11"/>
        <v>15.121206481361854</v>
      </c>
      <c r="R27" s="82">
        <f t="shared" si="12"/>
        <v>19.321907451439095</v>
      </c>
      <c r="S27" s="82">
        <f t="shared" si="13"/>
        <v>21.006857010460344</v>
      </c>
    </row>
    <row r="28" spans="1:19">
      <c r="A28" s="78" t="s">
        <v>171</v>
      </c>
      <c r="B28" s="89">
        <f>SUM(B23+B27)</f>
        <v>651019.40000000026</v>
      </c>
      <c r="C28" s="89">
        <f t="shared" ref="C28:F28" si="15">SUM(C23+C27)</f>
        <v>924836.70000000019</v>
      </c>
      <c r="D28" s="89">
        <f t="shared" si="15"/>
        <v>1554569</v>
      </c>
      <c r="E28" s="89">
        <f t="shared" si="15"/>
        <v>2003970.23</v>
      </c>
      <c r="F28" s="89">
        <f t="shared" si="15"/>
        <v>2048933.7599999998</v>
      </c>
      <c r="I28" s="82">
        <f t="shared" si="1"/>
        <v>0.28746068507213912</v>
      </c>
      <c r="J28" s="82">
        <f t="shared" si="2"/>
        <v>0.33501287129376389</v>
      </c>
      <c r="K28" s="82">
        <f t="shared" si="3"/>
        <v>0.41730010521025646</v>
      </c>
      <c r="L28" s="82">
        <f t="shared" si="4"/>
        <v>0.40366335780669443</v>
      </c>
      <c r="M28" s="82">
        <f t="shared" si="5"/>
        <v>0.37036531926576866</v>
      </c>
      <c r="O28" s="82">
        <f t="shared" si="6"/>
        <v>1</v>
      </c>
      <c r="P28" s="82">
        <f t="shared" si="7"/>
        <v>1.420597757916277</v>
      </c>
      <c r="Q28" s="82">
        <f t="shared" si="11"/>
        <v>2.3878996539888049</v>
      </c>
      <c r="R28" s="82">
        <f t="shared" si="12"/>
        <v>3.0782035527666292</v>
      </c>
      <c r="S28" s="82">
        <f t="shared" si="13"/>
        <v>3.1472698970261086</v>
      </c>
    </row>
    <row r="29" spans="1:19">
      <c r="A29" s="77" t="s">
        <v>172</v>
      </c>
      <c r="B29" s="71">
        <v>259303.8</v>
      </c>
      <c r="C29" s="84">
        <v>259303.8</v>
      </c>
      <c r="D29" s="84">
        <v>259303.81</v>
      </c>
      <c r="E29" s="84">
        <v>259303.81</v>
      </c>
      <c r="F29" s="84">
        <v>259320.71</v>
      </c>
      <c r="I29" s="82">
        <f t="shared" si="1"/>
        <v>0.1144968152866242</v>
      </c>
      <c r="J29" s="82">
        <f t="shared" si="2"/>
        <v>9.3930215545494536E-2</v>
      </c>
      <c r="K29" s="82">
        <f t="shared" si="3"/>
        <v>6.9606114102635744E-2</v>
      </c>
      <c r="L29" s="82">
        <f t="shared" si="4"/>
        <v>5.2232036718763586E-2</v>
      </c>
      <c r="M29" s="82">
        <f t="shared" si="5"/>
        <v>4.6874818223199083E-2</v>
      </c>
      <c r="O29" s="82">
        <f t="shared" si="6"/>
        <v>1</v>
      </c>
      <c r="P29" s="82">
        <f t="shared" si="7"/>
        <v>1</v>
      </c>
      <c r="Q29" s="82">
        <f t="shared" si="11"/>
        <v>1.0000000385648031</v>
      </c>
      <c r="R29" s="82">
        <f t="shared" si="12"/>
        <v>1.0000000385648031</v>
      </c>
      <c r="S29" s="82">
        <f t="shared" si="13"/>
        <v>1.0000652130821068</v>
      </c>
    </row>
    <row r="30" spans="1:19">
      <c r="A30" s="77" t="s">
        <v>4</v>
      </c>
      <c r="B30" s="71">
        <v>56339.7</v>
      </c>
      <c r="C30" s="84">
        <v>56347.199999999997</v>
      </c>
      <c r="D30" s="84">
        <v>64761.599999999999</v>
      </c>
      <c r="E30" s="84">
        <v>69330.33</v>
      </c>
      <c r="F30" s="84">
        <v>69876.38</v>
      </c>
      <c r="I30" s="82">
        <f t="shared" si="1"/>
        <v>2.4877060128713199E-2</v>
      </c>
      <c r="J30" s="82">
        <f t="shared" si="2"/>
        <v>2.0411211256391497E-2</v>
      </c>
      <c r="K30" s="82">
        <f t="shared" si="3"/>
        <v>1.7384254088164981E-2</v>
      </c>
      <c r="L30" s="82">
        <f t="shared" si="4"/>
        <v>1.3965334108604099E-2</v>
      </c>
      <c r="M30" s="82">
        <f t="shared" si="5"/>
        <v>1.2630856249758009E-2</v>
      </c>
      <c r="O30" s="82">
        <f t="shared" si="6"/>
        <v>1</v>
      </c>
      <c r="P30" s="82">
        <f t="shared" si="7"/>
        <v>1.0001331210496329</v>
      </c>
      <c r="Q30" s="82">
        <f t="shared" si="11"/>
        <v>1.1494842890537225</v>
      </c>
      <c r="R30" s="82">
        <f t="shared" si="12"/>
        <v>1.2305768401322692</v>
      </c>
      <c r="S30" s="82">
        <f t="shared" si="13"/>
        <v>1.2402689400192051</v>
      </c>
    </row>
    <row r="31" spans="1:19">
      <c r="A31" s="77" t="s">
        <v>216</v>
      </c>
      <c r="B31" s="86">
        <f>B34-1641955.6</f>
        <v>-28250</v>
      </c>
      <c r="C31" s="84">
        <v>-54679.8</v>
      </c>
      <c r="D31" s="84">
        <v>-62608.52</v>
      </c>
      <c r="E31" s="84">
        <v>-20505.63</v>
      </c>
      <c r="F31" s="84">
        <v>-28314.26</v>
      </c>
      <c r="I31" s="82">
        <f t="shared" si="1"/>
        <v>-1.2473920674695603E-2</v>
      </c>
      <c r="J31" s="82">
        <f t="shared" si="2"/>
        <v>-1.9807212235164053E-2</v>
      </c>
      <c r="K31" s="82">
        <f t="shared" si="3"/>
        <v>-1.6806292923027828E-2</v>
      </c>
      <c r="L31" s="82">
        <f t="shared" si="4"/>
        <v>-4.1304862396791629E-3</v>
      </c>
      <c r="M31" s="82">
        <f t="shared" si="5"/>
        <v>-5.1180863673572262E-3</v>
      </c>
      <c r="O31" s="82">
        <f t="shared" si="6"/>
        <v>1</v>
      </c>
      <c r="P31" s="82">
        <f t="shared" si="7"/>
        <v>1.9355681415929205</v>
      </c>
      <c r="Q31" s="82">
        <f t="shared" si="11"/>
        <v>2.2162307964601768</v>
      </c>
      <c r="R31" s="82">
        <f t="shared" si="12"/>
        <v>0.72586300884955757</v>
      </c>
      <c r="S31" s="82">
        <f t="shared" si="13"/>
        <v>1.0022746902654867</v>
      </c>
    </row>
    <row r="32" spans="1:19">
      <c r="A32" s="77" t="s">
        <v>2</v>
      </c>
      <c r="B32" s="71">
        <v>1325630.3999999999</v>
      </c>
      <c r="C32" s="84">
        <v>1573840.1</v>
      </c>
      <c r="D32" s="84">
        <v>1906829.66</v>
      </c>
      <c r="E32" s="84">
        <v>2637524.69</v>
      </c>
      <c r="F32" s="84">
        <v>3158030.79</v>
      </c>
      <c r="I32" s="82">
        <f t="shared" si="1"/>
        <v>0.58533835233858411</v>
      </c>
      <c r="J32" s="82">
        <f t="shared" si="2"/>
        <v>0.57010788051367811</v>
      </c>
      <c r="K32" s="82">
        <f t="shared" si="3"/>
        <v>0.51185905401177922</v>
      </c>
      <c r="L32" s="82">
        <f t="shared" si="4"/>
        <v>0.53128138169171346</v>
      </c>
      <c r="M32" s="82">
        <f t="shared" si="5"/>
        <v>0.57084572699386715</v>
      </c>
      <c r="O32" s="82">
        <f t="shared" si="6"/>
        <v>1</v>
      </c>
      <c r="P32" s="82">
        <f t="shared" si="7"/>
        <v>1.1872389921051902</v>
      </c>
      <c r="Q32" s="82">
        <f t="shared" si="11"/>
        <v>1.4384323564094488</v>
      </c>
      <c r="R32" s="82">
        <f t="shared" si="12"/>
        <v>1.9896380544682741</v>
      </c>
      <c r="S32" s="82">
        <f t="shared" si="13"/>
        <v>2.3822860353836184</v>
      </c>
    </row>
    <row r="33" spans="1:19">
      <c r="A33" s="77" t="s">
        <v>147</v>
      </c>
      <c r="B33" s="74">
        <v>681.7</v>
      </c>
      <c r="C33" s="85">
        <v>952.5</v>
      </c>
      <c r="D33" s="84">
        <v>2446.65</v>
      </c>
      <c r="E33" s="84">
        <v>14835.67</v>
      </c>
      <c r="F33" s="84">
        <v>24349.22</v>
      </c>
      <c r="I33" s="82">
        <f t="shared" si="1"/>
        <v>3.0100784863504402E-4</v>
      </c>
      <c r="J33" s="82">
        <f t="shared" si="2"/>
        <v>3.4503362583611792E-4</v>
      </c>
      <c r="K33" s="82">
        <f t="shared" si="3"/>
        <v>6.5676551019136107E-4</v>
      </c>
      <c r="L33" s="82">
        <f t="shared" si="4"/>
        <v>2.988375913903692E-3</v>
      </c>
      <c r="M33" s="82">
        <f t="shared" si="5"/>
        <v>4.4013656347643183E-3</v>
      </c>
      <c r="O33" s="82">
        <f t="shared" si="6"/>
        <v>1</v>
      </c>
      <c r="P33" s="82">
        <f t="shared" si="7"/>
        <v>1.3972421886460318</v>
      </c>
      <c r="Q33" s="82">
        <f t="shared" si="11"/>
        <v>3.5890421006307758</v>
      </c>
      <c r="R33" s="82">
        <f t="shared" si="12"/>
        <v>21.762754877512101</v>
      </c>
      <c r="S33" s="82">
        <f t="shared" si="13"/>
        <v>35.718380519290008</v>
      </c>
    </row>
    <row r="34" spans="1:19">
      <c r="A34" s="78" t="s">
        <v>174</v>
      </c>
      <c r="B34" s="79">
        <v>1613705.6</v>
      </c>
      <c r="C34" s="79">
        <v>1835763.8</v>
      </c>
      <c r="D34" s="79">
        <v>2170733.2000000002</v>
      </c>
      <c r="E34" s="79">
        <v>2960488.87</v>
      </c>
      <c r="F34" s="79">
        <v>3483262.84</v>
      </c>
      <c r="I34" s="82">
        <f t="shared" si="1"/>
        <v>0.71253931492786104</v>
      </c>
      <c r="J34" s="82">
        <f t="shared" si="2"/>
        <v>0.66498712870623622</v>
      </c>
      <c r="K34" s="82">
        <f t="shared" si="3"/>
        <v>0.58269989478974349</v>
      </c>
      <c r="L34" s="82">
        <f t="shared" si="4"/>
        <v>0.59633664219330573</v>
      </c>
      <c r="M34" s="82">
        <f t="shared" si="5"/>
        <v>0.62963468073423134</v>
      </c>
      <c r="O34" s="82">
        <f t="shared" si="6"/>
        <v>1</v>
      </c>
      <c r="P34" s="82">
        <f t="shared" si="7"/>
        <v>1.1376076280580547</v>
      </c>
      <c r="Q34" s="82">
        <f t="shared" si="11"/>
        <v>1.3451853919327046</v>
      </c>
      <c r="R34" s="82">
        <f t="shared" si="12"/>
        <v>1.8345904420236256</v>
      </c>
      <c r="S34" s="82">
        <f t="shared" si="13"/>
        <v>2.1585491430407129</v>
      </c>
    </row>
    <row r="35" spans="1:19" ht="14.25" thickBot="1">
      <c r="A35" s="72" t="s">
        <v>175</v>
      </c>
      <c r="B35" s="73">
        <v>2264725</v>
      </c>
      <c r="C35" s="73">
        <v>2760600.5</v>
      </c>
      <c r="D35" s="73">
        <v>3725302.2</v>
      </c>
      <c r="E35" s="73">
        <v>4964459.0999999996</v>
      </c>
      <c r="F35" s="73">
        <v>5532196.5999999996</v>
      </c>
      <c r="I35" s="82">
        <f t="shared" si="1"/>
        <v>1</v>
      </c>
      <c r="J35" s="82">
        <f t="shared" si="2"/>
        <v>1</v>
      </c>
      <c r="K35" s="82">
        <f t="shared" si="3"/>
        <v>1</v>
      </c>
      <c r="L35" s="82">
        <f t="shared" si="4"/>
        <v>1</v>
      </c>
      <c r="M35" s="82">
        <f t="shared" si="5"/>
        <v>1</v>
      </c>
      <c r="O35" s="82">
        <f t="shared" si="6"/>
        <v>1</v>
      </c>
      <c r="P35" s="82">
        <f t="shared" si="7"/>
        <v>1.218956164655753</v>
      </c>
      <c r="Q35" s="82">
        <f t="shared" si="11"/>
        <v>1.6449247480378413</v>
      </c>
      <c r="R35" s="82">
        <f t="shared" si="12"/>
        <v>2.1920803188025033</v>
      </c>
      <c r="S35" s="82">
        <f t="shared" si="13"/>
        <v>2.442767488326397</v>
      </c>
    </row>
    <row r="36" spans="1:19">
      <c r="A36" s="75" t="s">
        <v>212</v>
      </c>
      <c r="B36" s="83"/>
    </row>
    <row r="39" spans="1:19" ht="16.899999999999999">
      <c r="A39" s="110" t="s">
        <v>316</v>
      </c>
    </row>
    <row r="40" spans="1:19">
      <c r="A40" s="111"/>
    </row>
    <row r="41" spans="1:19">
      <c r="A41" s="112" t="s">
        <v>317</v>
      </c>
    </row>
    <row r="42" spans="1:19">
      <c r="A42" s="118" t="s">
        <v>318</v>
      </c>
    </row>
    <row r="43" spans="1:19">
      <c r="A43" s="112" t="s">
        <v>319</v>
      </c>
    </row>
    <row r="44" spans="1:19">
      <c r="A44" s="113" t="s">
        <v>320</v>
      </c>
    </row>
    <row r="45" spans="1:19">
      <c r="A45" s="119" t="s">
        <v>321</v>
      </c>
    </row>
    <row r="46" spans="1:19">
      <c r="A46" s="113" t="s">
        <v>322</v>
      </c>
    </row>
    <row r="47" spans="1:19">
      <c r="A47" s="119" t="s">
        <v>323</v>
      </c>
    </row>
    <row r="48" spans="1:19">
      <c r="A48" s="113" t="s">
        <v>324</v>
      </c>
    </row>
    <row r="49" spans="1:1">
      <c r="A49" s="119" t="s">
        <v>325</v>
      </c>
    </row>
    <row r="50" spans="1:1">
      <c r="A50" s="113" t="s">
        <v>326</v>
      </c>
    </row>
    <row r="51" spans="1:1">
      <c r="A51" s="119" t="s">
        <v>327</v>
      </c>
    </row>
    <row r="52" spans="1:1">
      <c r="A52" s="113" t="s">
        <v>328</v>
      </c>
    </row>
    <row r="53" spans="1:1">
      <c r="A53" s="119" t="s">
        <v>329</v>
      </c>
    </row>
    <row r="54" spans="1:1">
      <c r="A54" s="14"/>
    </row>
    <row r="56" spans="1:1" ht="16.899999999999999">
      <c r="A56" s="110" t="s">
        <v>330</v>
      </c>
    </row>
    <row r="57" spans="1:1">
      <c r="A57" s="111"/>
    </row>
    <row r="58" spans="1:1">
      <c r="A58" s="112" t="s">
        <v>317</v>
      </c>
    </row>
    <row r="59" spans="1:1">
      <c r="A59" s="118" t="s">
        <v>331</v>
      </c>
    </row>
    <row r="60" spans="1:1">
      <c r="A60" s="112" t="s">
        <v>319</v>
      </c>
    </row>
    <row r="61" spans="1:1">
      <c r="A61" s="113" t="s">
        <v>320</v>
      </c>
    </row>
    <row r="62" spans="1:1">
      <c r="A62" s="119" t="s">
        <v>332</v>
      </c>
    </row>
    <row r="63" spans="1:1">
      <c r="A63" s="113" t="s">
        <v>322</v>
      </c>
    </row>
    <row r="64" spans="1:1">
      <c r="A64" s="119" t="s">
        <v>333</v>
      </c>
    </row>
    <row r="65" spans="1:1">
      <c r="A65" s="113" t="s">
        <v>334</v>
      </c>
    </row>
    <row r="66" spans="1:1">
      <c r="A66" s="119" t="s">
        <v>335</v>
      </c>
    </row>
    <row r="67" spans="1:1">
      <c r="A67" s="113" t="s">
        <v>326</v>
      </c>
    </row>
    <row r="68" spans="1:1">
      <c r="A68" s="119" t="s">
        <v>336</v>
      </c>
    </row>
    <row r="69" spans="1:1">
      <c r="A69" s="113" t="s">
        <v>328</v>
      </c>
    </row>
    <row r="70" spans="1:1">
      <c r="A70" s="119" t="s">
        <v>337</v>
      </c>
    </row>
    <row r="71" spans="1:1">
      <c r="A71" s="14"/>
    </row>
    <row r="74" spans="1:1" ht="16.899999999999999">
      <c r="A74" s="110" t="s">
        <v>338</v>
      </c>
    </row>
    <row r="75" spans="1:1">
      <c r="A75" s="111"/>
    </row>
    <row r="76" spans="1:1">
      <c r="A76" s="112" t="s">
        <v>339</v>
      </c>
    </row>
    <row r="77" spans="1:1">
      <c r="A77" s="118" t="s">
        <v>340</v>
      </c>
    </row>
    <row r="78" spans="1:1">
      <c r="A78" s="112" t="s">
        <v>341</v>
      </c>
    </row>
    <row r="79" spans="1:1">
      <c r="A79" s="118" t="s">
        <v>342</v>
      </c>
    </row>
    <row r="80" spans="1:1">
      <c r="A80" s="112" t="s">
        <v>343</v>
      </c>
    </row>
    <row r="81" spans="1:1">
      <c r="A81" s="118" t="s">
        <v>344</v>
      </c>
    </row>
    <row r="82" spans="1:1">
      <c r="A82" s="112" t="s">
        <v>345</v>
      </c>
    </row>
    <row r="83" spans="1:1">
      <c r="A83" s="118" t="s">
        <v>346</v>
      </c>
    </row>
  </sheetData>
  <mergeCells count="3">
    <mergeCell ref="A1:F1"/>
    <mergeCell ref="A3:F3"/>
    <mergeCell ref="A18:F18"/>
  </mergeCells>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CF RATIO ANALYSIS</vt:lpstr>
      <vt:lpstr>Business Model</vt:lpstr>
      <vt:lpstr>NVDA dupont analyis</vt:lpstr>
      <vt:lpstr>TSMC dupont analysis</vt:lpstr>
      <vt:lpstr>ASML dupont analysis</vt:lpstr>
      <vt:lpstr>BS NVDA</vt:lpstr>
      <vt:lpstr>CF NVDA</vt:lpstr>
      <vt:lpstr>IS NVDA</vt:lpstr>
      <vt:lpstr>TSMC BALANCE SHEET</vt:lpstr>
      <vt:lpstr>TSMC CASH FLOW</vt:lpstr>
      <vt:lpstr>TSMC INCOME STATEMENT</vt:lpstr>
      <vt:lpstr>ASML BS</vt:lpstr>
      <vt:lpstr>ASML CF</vt:lpstr>
      <vt:lpstr>ASML IS</vt:lpstr>
      <vt:lpstr>ConclusionIf you’re looking for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 hal tian luo</dc:creator>
  <cp:lastModifiedBy>luo hal tian luo</cp:lastModifiedBy>
  <dcterms:created xsi:type="dcterms:W3CDTF">2015-06-05T18:19:34Z</dcterms:created>
  <dcterms:modified xsi:type="dcterms:W3CDTF">2025-01-22T21:45:42Z</dcterms:modified>
</cp:coreProperties>
</file>