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12429\Desktop\"/>
    </mc:Choice>
  </mc:AlternateContent>
  <xr:revisionPtr revIDLastSave="0" documentId="13_ncr:1_{2CF184CC-B197-440B-8D40-C0811D456C63}" xr6:coauthVersionLast="47" xr6:coauthVersionMax="47" xr10:uidLastSave="{00000000-0000-0000-0000-000000000000}"/>
  <bookViews>
    <workbookView xWindow="-98" yWindow="-98" windowWidth="20715" windowHeight="13155"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5" i="1" l="1"/>
  <c r="B96" i="1" s="1"/>
  <c r="C96" i="1" s="1"/>
  <c r="D96" i="1" s="1"/>
  <c r="E96" i="1" s="1"/>
  <c r="F96" i="1" s="1"/>
  <c r="B114" i="1"/>
  <c r="C114" i="1" s="1"/>
  <c r="D114" i="1" s="1"/>
  <c r="C98" i="1"/>
  <c r="D98" i="1"/>
  <c r="E98" i="1"/>
  <c r="F98" i="1"/>
  <c r="B98" i="1"/>
  <c r="C175" i="1"/>
  <c r="C176" i="1" s="1"/>
  <c r="E160" i="1"/>
  <c r="E161" i="1" s="1"/>
  <c r="B160" i="1"/>
  <c r="B161" i="1" s="1"/>
  <c r="F174" i="1"/>
  <c r="F173" i="1"/>
  <c r="F175" i="1" s="1"/>
  <c r="F176" i="1" s="1"/>
  <c r="C168" i="1"/>
  <c r="F158" i="1"/>
  <c r="F160" i="1" s="1"/>
  <c r="F161" i="1" s="1"/>
  <c r="F159" i="1"/>
  <c r="E155" i="1"/>
  <c r="D156" i="1"/>
  <c r="D160" i="1" s="1"/>
  <c r="D161" i="1" s="1"/>
  <c r="C153" i="1"/>
  <c r="C160" i="1" s="1"/>
  <c r="C161" i="1" s="1"/>
  <c r="B152" i="1"/>
  <c r="B151" i="1"/>
  <c r="B140" i="1"/>
  <c r="B167" i="1" s="1"/>
  <c r="B139" i="1"/>
  <c r="B166" i="1" s="1"/>
  <c r="B175" i="1" s="1"/>
  <c r="B176" i="1" s="1"/>
  <c r="B144" i="1"/>
  <c r="E171" i="1" s="1"/>
  <c r="E175" i="1" s="1"/>
  <c r="E176" i="1" s="1"/>
  <c r="B143" i="1"/>
  <c r="D170" i="1" s="1"/>
  <c r="D175" i="1" s="1"/>
  <c r="D176" i="1" s="1"/>
  <c r="C32" i="1"/>
  <c r="D32" i="1"/>
  <c r="E32" i="1"/>
  <c r="F32" i="1"/>
  <c r="B32" i="1"/>
  <c r="C25" i="1"/>
  <c r="D25" i="1"/>
  <c r="E25" i="1"/>
  <c r="F25" i="1"/>
  <c r="B25" i="1"/>
  <c r="F46" i="1"/>
  <c r="F45" i="1"/>
  <c r="F44" i="1"/>
  <c r="F43" i="1"/>
  <c r="E41" i="1"/>
  <c r="E48" i="1" s="1"/>
  <c r="D41" i="1"/>
  <c r="E40" i="1"/>
  <c r="D40" i="1"/>
  <c r="E39" i="1"/>
  <c r="D39" i="1"/>
  <c r="D38" i="1"/>
  <c r="C36" i="1"/>
  <c r="C34" i="1"/>
  <c r="B34" i="1"/>
  <c r="B36" i="1"/>
  <c r="C35" i="1"/>
  <c r="B35" i="1"/>
  <c r="E38" i="1"/>
  <c r="B30" i="1"/>
  <c r="C30" i="1" s="1"/>
  <c r="D30" i="1" s="1"/>
  <c r="E30" i="1" s="1"/>
  <c r="F30" i="1" s="1"/>
  <c r="B29" i="1"/>
  <c r="C29" i="1" s="1"/>
  <c r="D29" i="1" s="1"/>
  <c r="E29" i="1" s="1"/>
  <c r="F29" i="1" s="1"/>
  <c r="F48" i="1" s="1"/>
  <c r="F178" i="1" s="1"/>
  <c r="B19" i="1"/>
  <c r="B14" i="1"/>
  <c r="B10" i="1"/>
  <c r="B8" i="1"/>
  <c r="J21" i="1"/>
  <c r="C31" i="1" s="1"/>
  <c r="K21" i="1"/>
  <c r="D31" i="1" s="1"/>
  <c r="L21" i="1"/>
  <c r="E31" i="1" s="1"/>
  <c r="M21" i="1"/>
  <c r="F31" i="1" s="1"/>
  <c r="I21" i="1"/>
  <c r="B31" i="1" s="1"/>
  <c r="B103" i="1"/>
  <c r="C103" i="1" s="1"/>
  <c r="D103" i="1" s="1"/>
  <c r="E103" i="1" s="1"/>
  <c r="F103" i="1" s="1"/>
  <c r="B108" i="1"/>
  <c r="C108" i="1" s="1"/>
  <c r="I149" i="1"/>
  <c r="B51" i="1"/>
  <c r="C56" i="1"/>
  <c r="C59" i="1"/>
  <c r="B54" i="1"/>
  <c r="B60" i="1" s="1"/>
  <c r="D77" i="1"/>
  <c r="D76" i="1"/>
  <c r="D84" i="1"/>
  <c r="C84" i="1"/>
  <c r="B84" i="1"/>
  <c r="B111" i="1"/>
  <c r="C111" i="1" s="1"/>
  <c r="D111" i="1" s="1"/>
  <c r="B120" i="1"/>
  <c r="C120" i="1" s="1"/>
  <c r="D120" i="1" s="1"/>
  <c r="E120" i="1" s="1"/>
  <c r="F120" i="1" s="1"/>
  <c r="C118" i="1"/>
  <c r="D118" i="1"/>
  <c r="E118" i="1"/>
  <c r="F118" i="1"/>
  <c r="B117" i="1"/>
  <c r="C113" i="1"/>
  <c r="D113" i="1"/>
  <c r="E113" i="1"/>
  <c r="F113" i="1"/>
  <c r="B102" i="1"/>
  <c r="B119" i="1" s="1"/>
  <c r="B118" i="1"/>
  <c r="B113" i="1"/>
  <c r="B75" i="1"/>
  <c r="B73" i="1"/>
  <c r="E178" i="1" l="1"/>
  <c r="C48" i="1"/>
  <c r="C178" i="1" s="1"/>
  <c r="D48" i="1"/>
  <c r="D178" i="1" s="1"/>
  <c r="B48" i="1"/>
  <c r="B178" i="1" s="1"/>
  <c r="C47" i="1"/>
  <c r="D47" i="1"/>
  <c r="F47" i="1"/>
  <c r="E47" i="1"/>
  <c r="B47" i="1"/>
  <c r="B109" i="1"/>
  <c r="B100" i="1"/>
  <c r="C100" i="1" s="1"/>
  <c r="D100" i="1" s="1"/>
  <c r="E100" i="1" s="1"/>
  <c r="F100" i="1" s="1"/>
  <c r="C60" i="1"/>
  <c r="C115" i="1"/>
  <c r="D115" i="1" s="1"/>
  <c r="E115" i="1" s="1"/>
  <c r="F115" i="1" s="1"/>
  <c r="B116" i="1"/>
  <c r="B99" i="1" s="1"/>
  <c r="C99" i="1" s="1"/>
  <c r="D99" i="1" s="1"/>
  <c r="E99" i="1" s="1"/>
  <c r="F99" i="1" s="1"/>
  <c r="D109" i="1"/>
  <c r="E111" i="1"/>
  <c r="E114" i="1"/>
  <c r="C102" i="1"/>
  <c r="D108" i="1"/>
  <c r="C109" i="1"/>
  <c r="C117" i="1"/>
  <c r="B112" i="1"/>
  <c r="D75" i="1"/>
  <c r="D74" i="1" s="1"/>
  <c r="D79" i="1"/>
  <c r="D78" i="1" s="1"/>
  <c r="D82" i="1"/>
  <c r="D83" i="1"/>
  <c r="I18" i="1"/>
  <c r="J18" i="1"/>
  <c r="K18" i="1"/>
  <c r="L18" i="1"/>
  <c r="M18" i="1"/>
  <c r="C83" i="1"/>
  <c r="C82" i="1"/>
  <c r="B83" i="1"/>
  <c r="B82" i="1"/>
  <c r="C80" i="1"/>
  <c r="B80" i="1"/>
  <c r="C79" i="1"/>
  <c r="B79" i="1"/>
  <c r="C77" i="1"/>
  <c r="B77" i="1"/>
  <c r="C76" i="1"/>
  <c r="B76" i="1"/>
  <c r="C75" i="1"/>
  <c r="C73" i="1"/>
  <c r="B72" i="1"/>
  <c r="C81" i="1" l="1"/>
  <c r="C104" i="1"/>
  <c r="D112" i="1"/>
  <c r="B78" i="1"/>
  <c r="C78" i="1"/>
  <c r="B5" i="1"/>
  <c r="C5" i="1" s="1"/>
  <c r="D5" i="1" s="1"/>
  <c r="E5" i="1" s="1"/>
  <c r="F5" i="1" s="1"/>
  <c r="C4" i="1"/>
  <c r="D4" i="1" s="1"/>
  <c r="E4" i="1" s="1"/>
  <c r="F4" i="1" s="1"/>
  <c r="B104" i="1"/>
  <c r="B121" i="1"/>
  <c r="C112" i="1"/>
  <c r="C72" i="1"/>
  <c r="C74" i="1"/>
  <c r="D81" i="1"/>
  <c r="D90" i="1" s="1"/>
  <c r="D64" i="1" s="1"/>
  <c r="D65" i="1" s="1"/>
  <c r="B74" i="1"/>
  <c r="B81" i="1"/>
  <c r="E108" i="1"/>
  <c r="D102" i="1"/>
  <c r="D104" i="1" s="1"/>
  <c r="C119" i="1"/>
  <c r="F114" i="1"/>
  <c r="F112" i="1" s="1"/>
  <c r="E112" i="1"/>
  <c r="F111" i="1"/>
  <c r="F109" i="1" s="1"/>
  <c r="E109" i="1"/>
  <c r="D117" i="1"/>
  <c r="C116" i="1"/>
  <c r="B123" i="1" l="1"/>
  <c r="B179" i="1" s="1"/>
  <c r="B90" i="1"/>
  <c r="B61" i="1" s="1"/>
  <c r="C90" i="1"/>
  <c r="C121" i="1"/>
  <c r="C123" i="1" s="1"/>
  <c r="C179" i="1" s="1"/>
  <c r="E102" i="1"/>
  <c r="E104" i="1" s="1"/>
  <c r="D119" i="1"/>
  <c r="F108" i="1"/>
  <c r="E117" i="1"/>
  <c r="D116" i="1"/>
  <c r="D121" i="1" l="1"/>
  <c r="D123" i="1" s="1"/>
  <c r="D179" i="1" s="1"/>
  <c r="F117" i="1"/>
  <c r="F116" i="1" s="1"/>
  <c r="E116" i="1"/>
  <c r="F102" i="1"/>
  <c r="E119" i="1"/>
  <c r="F119" i="1" l="1"/>
  <c r="F121" i="1" s="1"/>
  <c r="F104" i="1"/>
  <c r="E121" i="1"/>
  <c r="E123" i="1" s="1"/>
  <c r="E179" i="1" s="1"/>
  <c r="C62" i="1"/>
  <c r="F123" i="1" l="1"/>
  <c r="F179" i="1" s="1"/>
  <c r="C63" i="1"/>
  <c r="F67" i="1" s="1"/>
  <c r="E66" i="1" l="1"/>
  <c r="E92" i="1" s="1"/>
</calcChain>
</file>

<file path=xl/sharedStrings.xml><?xml version="1.0" encoding="utf-8"?>
<sst xmlns="http://schemas.openxmlformats.org/spreadsheetml/2006/main" count="221" uniqueCount="175">
  <si>
    <t>Tuition(MIT)</t>
    <phoneticPr fontId="1" type="noConversion"/>
  </si>
  <si>
    <t xml:space="preserve">Years </t>
    <phoneticPr fontId="1" type="noConversion"/>
  </si>
  <si>
    <t>Sloan</t>
    <phoneticPr fontId="1" type="noConversion"/>
  </si>
  <si>
    <t>2 Child:</t>
    <phoneticPr fontId="1" type="noConversion"/>
  </si>
  <si>
    <t>Living Expense</t>
    <phoneticPr fontId="1" type="noConversion"/>
  </si>
  <si>
    <t>Housing</t>
    <phoneticPr fontId="1" type="noConversion"/>
  </si>
  <si>
    <t>Food</t>
    <phoneticPr fontId="1" type="noConversion"/>
  </si>
  <si>
    <t>Transportation</t>
    <phoneticPr fontId="1" type="noConversion"/>
  </si>
  <si>
    <t>Additional Cost</t>
    <phoneticPr fontId="1" type="noConversion"/>
  </si>
  <si>
    <t>Health Insurance</t>
    <phoneticPr fontId="1" type="noConversion"/>
  </si>
  <si>
    <t>Books&amp;Supplies</t>
    <phoneticPr fontId="1" type="noConversion"/>
  </si>
  <si>
    <t>Travel</t>
    <phoneticPr fontId="1" type="noConversion"/>
  </si>
  <si>
    <t>domestic</t>
    <phoneticPr fontId="1" type="noConversion"/>
  </si>
  <si>
    <t>international</t>
    <phoneticPr fontId="1" type="noConversion"/>
  </si>
  <si>
    <t>sports</t>
    <phoneticPr fontId="1" type="noConversion"/>
  </si>
  <si>
    <t>gym</t>
    <phoneticPr fontId="1" type="noConversion"/>
  </si>
  <si>
    <t>sports equipment/training</t>
    <phoneticPr fontId="1" type="noConversion"/>
  </si>
  <si>
    <t>clothing</t>
    <phoneticPr fontId="1" type="noConversion"/>
  </si>
  <si>
    <t>Hobbies and Entertainment</t>
    <phoneticPr fontId="1" type="noConversion"/>
  </si>
  <si>
    <t>Social Activities</t>
    <phoneticPr fontId="1" type="noConversion"/>
  </si>
  <si>
    <t xml:space="preserve">VAT RATE </t>
    <phoneticPr fontId="1" type="noConversion"/>
  </si>
  <si>
    <t>Cost: (dollars)</t>
    <phoneticPr fontId="1" type="noConversion"/>
  </si>
  <si>
    <t>inflation</t>
    <phoneticPr fontId="1" type="noConversion"/>
  </si>
  <si>
    <t>Change in Rt</t>
    <phoneticPr fontId="1" type="noConversion"/>
  </si>
  <si>
    <t>Deposit</t>
    <phoneticPr fontId="1" type="noConversion"/>
  </si>
  <si>
    <t>Retirment plan</t>
    <phoneticPr fontId="1" type="noConversion"/>
  </si>
  <si>
    <t>EUR</t>
    <phoneticPr fontId="1" type="noConversion"/>
  </si>
  <si>
    <t>Travel and Leisure</t>
  </si>
  <si>
    <t>Luxury Goods</t>
  </si>
  <si>
    <t>Health and Wellness</t>
  </si>
  <si>
    <t>Dining and Entertainment</t>
  </si>
  <si>
    <t>Miscellaneous</t>
  </si>
  <si>
    <t>Personal cost(own)</t>
    <phoneticPr fontId="1" type="noConversion"/>
  </si>
  <si>
    <t>TOTAL PLN OWN</t>
    <phoneticPr fontId="1" type="noConversion"/>
  </si>
  <si>
    <t>Wife cost</t>
    <phoneticPr fontId="1" type="noConversion"/>
  </si>
  <si>
    <t>Property maintenance and utilities</t>
    <phoneticPr fontId="1" type="noConversion"/>
  </si>
  <si>
    <t>Food and Dining</t>
    <phoneticPr fontId="1" type="noConversion"/>
  </si>
  <si>
    <t>Fahion and Beauty</t>
    <phoneticPr fontId="1" type="noConversion"/>
  </si>
  <si>
    <t>Designer clothing, accessories, and personal shopping</t>
    <phoneticPr fontId="1" type="noConversion"/>
  </si>
  <si>
    <t>Beauty treatments, spas, and salons:</t>
    <phoneticPr fontId="1" type="noConversion"/>
  </si>
  <si>
    <t>Transportation:</t>
    <phoneticPr fontId="1" type="noConversion"/>
  </si>
  <si>
    <t>Luxury car maintenance or leasing:</t>
    <phoneticPr fontId="1" type="noConversion"/>
  </si>
  <si>
    <t>Chauffeur services or private driver:</t>
    <phoneticPr fontId="1" type="noConversion"/>
  </si>
  <si>
    <t xml:space="preserve">Domestic and international travel </t>
    <phoneticPr fontId="1" type="noConversion"/>
  </si>
  <si>
    <t>Premium health insurance</t>
    <phoneticPr fontId="1" type="noConversion"/>
  </si>
  <si>
    <t>Hobbies (art collections, elite clubs)</t>
    <phoneticPr fontId="1" type="noConversion"/>
  </si>
  <si>
    <t>Education and Personal Development:</t>
    <phoneticPr fontId="1" type="noConversion"/>
  </si>
  <si>
    <t>TOTAL PLN WIFE</t>
    <phoneticPr fontId="1" type="noConversion"/>
  </si>
  <si>
    <t>TOTAL COST of Wife and Own</t>
    <phoneticPr fontId="1" type="noConversion"/>
  </si>
  <si>
    <t>APY: Demand Deposit ( HYSA)</t>
    <phoneticPr fontId="1" type="noConversion"/>
  </si>
  <si>
    <t>Tax Federal</t>
    <phoneticPr fontId="1" type="noConversion"/>
  </si>
  <si>
    <t>Tax Massachusetts</t>
    <phoneticPr fontId="1" type="noConversion"/>
  </si>
  <si>
    <t>Nuvision Credit Union</t>
    <phoneticPr fontId="1" type="noConversion"/>
  </si>
  <si>
    <t>Nuvision Credit Union 8 month</t>
    <phoneticPr fontId="1" type="noConversion"/>
  </si>
  <si>
    <t>8 month interest after tax</t>
    <phoneticPr fontId="1" type="noConversion"/>
  </si>
  <si>
    <t xml:space="preserve">  20 month interest after tax</t>
    <phoneticPr fontId="1" type="noConversion"/>
  </si>
  <si>
    <t>Total Cash (USD)</t>
    <phoneticPr fontId="1" type="noConversion"/>
  </si>
  <si>
    <t>Capital One 360 Performance Savings 1</t>
    <phoneticPr fontId="1" type="noConversion"/>
  </si>
  <si>
    <t>Capital One 360 Performance Savings 2</t>
    <phoneticPr fontId="1" type="noConversion"/>
  </si>
  <si>
    <t>APY: Demand Deposit ( HYSA) forcast</t>
    <phoneticPr fontId="1" type="noConversion"/>
  </si>
  <si>
    <t>Penthouse Renting after tax</t>
    <phoneticPr fontId="1" type="noConversion"/>
  </si>
  <si>
    <t>2 commerical building for 5 years in every year with additional inflation house rate(after tax)</t>
    <phoneticPr fontId="1" type="noConversion"/>
  </si>
  <si>
    <t xml:space="preserve">USD FROM GBP </t>
    <phoneticPr fontId="1" type="noConversion"/>
  </si>
  <si>
    <t xml:space="preserve">chaging gbp </t>
    <phoneticPr fontId="1" type="noConversion"/>
  </si>
  <si>
    <t>to usd</t>
    <phoneticPr fontId="1" type="noConversion"/>
  </si>
  <si>
    <t>extra money from gbp to usd 1st year</t>
    <phoneticPr fontId="1" type="noConversion"/>
  </si>
  <si>
    <t>extra money from gbp to usd 2nd year</t>
    <phoneticPr fontId="1" type="noConversion"/>
  </si>
  <si>
    <t>extra money from gbp to usd 3rd year</t>
    <phoneticPr fontId="1" type="noConversion"/>
  </si>
  <si>
    <t>Money can be used forcast in orginal usd</t>
    <phoneticPr fontId="1" type="noConversion"/>
  </si>
  <si>
    <t>Synchrony Bank</t>
    <phoneticPr fontId="1" type="noConversion"/>
  </si>
  <si>
    <t>Synchrony Bank 12 month interest after tax</t>
    <phoneticPr fontId="1" type="noConversion"/>
  </si>
  <si>
    <t>APY:Time Deposit Synchrony</t>
    <phoneticPr fontId="1" type="noConversion"/>
  </si>
  <si>
    <t>Synchrony Bank 24 month interest after tax</t>
    <phoneticPr fontId="1" type="noConversion"/>
  </si>
  <si>
    <t>Synchrony Bank 36 month interest after tax</t>
    <phoneticPr fontId="1" type="noConversion"/>
  </si>
  <si>
    <t>Synchrony Bank 48 month interest after tax</t>
    <phoneticPr fontId="1" type="noConversion"/>
  </si>
  <si>
    <t>For two child</t>
    <phoneticPr fontId="1" type="noConversion"/>
  </si>
  <si>
    <t>Year:</t>
    <phoneticPr fontId="1" type="noConversion"/>
  </si>
  <si>
    <t>usd/pln (average)</t>
    <phoneticPr fontId="1" type="noConversion"/>
  </si>
  <si>
    <t>usd/gbp (average)</t>
    <phoneticPr fontId="1" type="noConversion"/>
  </si>
  <si>
    <t>Wig 20 growth rate forcast (next 5)</t>
    <phoneticPr fontId="1" type="noConversion"/>
  </si>
  <si>
    <t>STOCKS OF 6 COMPANIESE After tax</t>
    <phoneticPr fontId="1" type="noConversion"/>
  </si>
  <si>
    <t>Forcasting the dollars we have</t>
    <phoneticPr fontId="1" type="noConversion"/>
  </si>
  <si>
    <t>TOTAL COST CHILD</t>
    <phoneticPr fontId="1" type="noConversion"/>
  </si>
  <si>
    <t>gbp/pln</t>
    <phoneticPr fontId="1" type="noConversion"/>
  </si>
  <si>
    <t>eur/pln</t>
    <phoneticPr fontId="1" type="noConversion"/>
  </si>
  <si>
    <t>residual gbp</t>
    <phoneticPr fontId="1" type="noConversion"/>
  </si>
  <si>
    <t>Miscellaneous</t>
    <phoneticPr fontId="1" type="noConversion"/>
  </si>
  <si>
    <t>interest after tax</t>
    <phoneticPr fontId="1" type="noConversion"/>
  </si>
  <si>
    <t>NBP TIME DEPOSIT APY</t>
    <phoneticPr fontId="1" type="noConversion"/>
  </si>
  <si>
    <t>Cash Liquid</t>
    <phoneticPr fontId="1" type="noConversion"/>
  </si>
  <si>
    <t>Money Market Fund</t>
    <phoneticPr fontId="1" type="noConversion"/>
  </si>
  <si>
    <t>Total:</t>
    <phoneticPr fontId="1" type="noConversion"/>
  </si>
  <si>
    <t>Government Bonds</t>
    <phoneticPr fontId="1" type="noConversion"/>
  </si>
  <si>
    <t>Gold/Precious Metal</t>
    <phoneticPr fontId="1" type="noConversion"/>
  </si>
  <si>
    <t>REAL ESTATE</t>
    <phoneticPr fontId="1" type="noConversion"/>
  </si>
  <si>
    <t>Dividend Stocks/ETFS</t>
    <phoneticPr fontId="1" type="noConversion"/>
  </si>
  <si>
    <t>USA:</t>
    <phoneticPr fontId="1" type="noConversion"/>
  </si>
  <si>
    <t>POLNAD:</t>
    <phoneticPr fontId="1" type="noConversion"/>
  </si>
  <si>
    <t>fund return (already in)</t>
    <phoneticPr fontId="1" type="noConversion"/>
  </si>
  <si>
    <t>Money Market Fund rate (later)</t>
    <phoneticPr fontId="1" type="noConversion"/>
  </si>
  <si>
    <t>Government Bonds (later)</t>
    <phoneticPr fontId="1" type="noConversion"/>
  </si>
  <si>
    <t>Dividend Stocks/ETFS(later )</t>
    <phoneticPr fontId="1" type="noConversion"/>
  </si>
  <si>
    <t>Gold/Precious Metal(later)</t>
    <phoneticPr fontId="1" type="noConversion"/>
  </si>
  <si>
    <t>Exchange Rate</t>
    <phoneticPr fontId="1" type="noConversion"/>
  </si>
  <si>
    <t>interest after tax( FUND ALREADY IN)</t>
    <phoneticPr fontId="1" type="noConversion"/>
  </si>
  <si>
    <t>Stock mutual fund(Already in)</t>
    <phoneticPr fontId="1" type="noConversion"/>
  </si>
  <si>
    <t>Crypto portofolio Investment(later)</t>
    <phoneticPr fontId="1" type="noConversion"/>
  </si>
  <si>
    <t>Crypto Portofolio Investment</t>
    <phoneticPr fontId="1" type="noConversion"/>
  </si>
  <si>
    <t>Real Estate(later)</t>
    <phoneticPr fontId="1" type="noConversion"/>
  </si>
  <si>
    <t>Short term investment</t>
    <phoneticPr fontId="1" type="noConversion"/>
  </si>
  <si>
    <t>Mid term investment</t>
    <phoneticPr fontId="1" type="noConversion"/>
  </si>
  <si>
    <t>Long term investment</t>
    <phoneticPr fontId="1" type="noConversion"/>
  </si>
  <si>
    <t>Total Investment(later on) Earn in PLN(after tax)</t>
    <phoneticPr fontId="1" type="noConversion"/>
  </si>
  <si>
    <t>Income from investment(in pln)</t>
    <phoneticPr fontId="1" type="noConversion"/>
  </si>
  <si>
    <t>The Proposal of TOTAL ASSET :(in pln)</t>
    <phoneticPr fontId="1" type="noConversion"/>
  </si>
  <si>
    <t>Short-Term</t>
  </si>
  <si>
    <t>Investment in EUR</t>
    <phoneticPr fontId="1" type="noConversion"/>
  </si>
  <si>
    <t>Cash-Liquid (Revolut)</t>
    <phoneticPr fontId="1" type="noConversion"/>
  </si>
  <si>
    <t>Amundi Money Market Fund</t>
    <phoneticPr fontId="1" type="noConversion"/>
  </si>
  <si>
    <t>German Fedral Debt Agency</t>
  </si>
  <si>
    <t>German 2-Year Bunds.</t>
    <phoneticPr fontId="1" type="noConversion"/>
  </si>
  <si>
    <t>GERMANY TAX</t>
    <phoneticPr fontId="1" type="noConversion"/>
  </si>
  <si>
    <t xml:space="preserve">Mid-term </t>
    <phoneticPr fontId="1" type="noConversion"/>
  </si>
  <si>
    <t>iShares MSCI Europe Dividend ETF</t>
  </si>
  <si>
    <t>Corporate bonds.</t>
  </si>
  <si>
    <t>iShares</t>
  </si>
  <si>
    <t>Amundi Money Market Fund(Saxo Bank)</t>
    <phoneticPr fontId="1" type="noConversion"/>
  </si>
  <si>
    <t>Siemens AG</t>
    <phoneticPr fontId="1" type="noConversion"/>
  </si>
  <si>
    <t>Long Terms</t>
    <phoneticPr fontId="1" type="noConversion"/>
  </si>
  <si>
    <t>Vanguard Total World Stock ETF (VWCE).</t>
  </si>
  <si>
    <t>Vanguard Total World Stock ETF (VWCE).</t>
    <phoneticPr fontId="1" type="noConversion"/>
  </si>
  <si>
    <t>Vanguard Degiro</t>
    <phoneticPr fontId="1" type="noConversion"/>
  </si>
  <si>
    <t>Vonovia SE</t>
    <phoneticPr fontId="1" type="noConversion"/>
  </si>
  <si>
    <t>REIT with ~6.0% dividend yield.(Vonovia SE)</t>
    <phoneticPr fontId="1" type="noConversion"/>
  </si>
  <si>
    <t>(CASH 300000)</t>
    <phoneticPr fontId="1" type="noConversion"/>
  </si>
  <si>
    <t>Investment in GBP</t>
    <phoneticPr fontId="1" type="noConversion"/>
  </si>
  <si>
    <t>Cash-Liquid (Starling Bank)</t>
    <phoneticPr fontId="1" type="noConversion"/>
  </si>
  <si>
    <t>Starling Bank</t>
  </si>
  <si>
    <t>BlackRock ICS Sterling Liquidity Fund(Saxo Bank)</t>
    <phoneticPr fontId="1" type="noConversion"/>
  </si>
  <si>
    <t>BlackRock ICS Sterling Liquidity Fund</t>
  </si>
  <si>
    <t xml:space="preserve"> UK Treasury Bills (1-2 years).</t>
    <phoneticPr fontId="1" type="noConversion"/>
  </si>
  <si>
    <t>UK TAX</t>
    <phoneticPr fontId="1" type="noConversion"/>
  </si>
  <si>
    <t>Balnced tax(POLAND)</t>
    <phoneticPr fontId="1" type="noConversion"/>
  </si>
  <si>
    <t>Balanced tax(POLAND)</t>
    <phoneticPr fontId="1" type="noConversion"/>
  </si>
  <si>
    <t>UK Government Debt Management Office</t>
  </si>
  <si>
    <t>Dividend stock.(Unilever PLC)</t>
    <phoneticPr fontId="1" type="noConversion"/>
  </si>
  <si>
    <t>Unilever PLC(double tax)</t>
    <phoneticPr fontId="1" type="noConversion"/>
  </si>
  <si>
    <t>REIT focused on logistics.(Segro REIT)</t>
    <phoneticPr fontId="1" type="noConversion"/>
  </si>
  <si>
    <t>Segro REIT</t>
  </si>
  <si>
    <t>Emerging Markets Growth Fund.(Baillie Gifford)</t>
    <phoneticPr fontId="1" type="noConversion"/>
  </si>
  <si>
    <t>Income from investment(in EUR)</t>
    <phoneticPr fontId="1" type="noConversion"/>
  </si>
  <si>
    <t>Short-Term</t>
    <phoneticPr fontId="1" type="noConversion"/>
  </si>
  <si>
    <t>iShares MSCI Europe Dividend ETF</t>
    <phoneticPr fontId="1" type="noConversion"/>
  </si>
  <si>
    <t>Corporate bonds.(Siemens AG)</t>
    <phoneticPr fontId="1" type="noConversion"/>
  </si>
  <si>
    <t>Income from investment(in GBP)</t>
    <phoneticPr fontId="1" type="noConversion"/>
  </si>
  <si>
    <t>TOTAL INVESTMENT PROFIT(LATER ON IN GBP)</t>
    <phoneticPr fontId="1" type="noConversion"/>
  </si>
  <si>
    <t>TOTAL INVESTMENT PROFIT(LATER ON IN EUR)</t>
    <phoneticPr fontId="1" type="noConversion"/>
  </si>
  <si>
    <t>GBP TO PLN</t>
    <phoneticPr fontId="1" type="noConversion"/>
  </si>
  <si>
    <t>EUR TO PLN</t>
    <phoneticPr fontId="1" type="noConversion"/>
  </si>
  <si>
    <t>SUMMARY:</t>
    <phoneticPr fontId="1" type="noConversion"/>
  </si>
  <si>
    <t>Based on the plan I made for Investo C :</t>
    <phoneticPr fontId="1" type="noConversion"/>
  </si>
  <si>
    <t xml:space="preserve">For his two childs, 300000 USD is not enouth for they to live better in USA(especially high tuition fee)I transfer 200000 GBP to USD to make them live good in USA in 3 years, (two year for study ,one year for job), after they find the job, the childs still can have 200151.37 in the 4th year, if they don't use it, the value will growth to 270766.42 in 5 year </t>
    <phoneticPr fontId="1" type="noConversion"/>
  </si>
  <si>
    <t>COST</t>
    <phoneticPr fontId="1" type="noConversion"/>
  </si>
  <si>
    <t xml:space="preserve">For his two childs, they will spend a lot in USA  like in two years + 1 year finding job( 681,858.00 usd). </t>
    <phoneticPr fontId="1" type="noConversion"/>
  </si>
  <si>
    <t>Penthouse Renting after tax(already have)</t>
    <phoneticPr fontId="1" type="noConversion"/>
  </si>
  <si>
    <t>2 commerical building for 5 years in every year with additional inflation house rate(after tax) (already have)</t>
    <phoneticPr fontId="1" type="noConversion"/>
  </si>
  <si>
    <t>For the investor plan in GBP and EUR which can help him to generate extra total stable benefit  46,233.09 GBP = 219,607.17 PLN and  45,920.45 EUR = 188,273.83 PLN with total amount 407,881.00 PLN in 5 years. Moreover, each year He can take the profit for use  to matain their lifestyle in poland which is very flexible for them to matain luxury lifestyle</t>
    <phoneticPr fontId="1" type="noConversion"/>
  </si>
  <si>
    <t>Total Income(after tax)(in pln activity)</t>
    <phoneticPr fontId="1" type="noConversion"/>
  </si>
  <si>
    <t>Total Income Generating (in PLN)</t>
    <phoneticPr fontId="1" type="noConversion"/>
  </si>
  <si>
    <t xml:space="preserve">For the highest and stable investment plan in TOTAL AMOUNT  11,253,013.09  PLN help him to generate huge amount of forcasting benfit for his retiring life, every year these benefits can help him to do whatever he wants to do with his wife under average rich people life condition. totally benfit include in gbp and eur and pln  11,660,894.09 </t>
    <phoneticPr fontId="1" type="noConversion"/>
  </si>
  <si>
    <t>CASH NEED TO USE(in PLN)</t>
    <phoneticPr fontId="1" type="noConversion"/>
  </si>
  <si>
    <t>For investor C will spend   5,837,101.45  PLN he has been so many year in finance area, he just want to keep these asset valueable and stable, he can spend money everywhere when he is old. But I think my forcasting are still over forcast, beacause a wealthy ceo knows how hard to be ceo, he might be spend a lot on luxury lifestyle but he won't spend money on wasted things(which means he can take luxury service but sometimes valuable)</t>
    <phoneticPr fontId="1" type="noConversion"/>
  </si>
  <si>
    <t xml:space="preserve">His Wife will spend   5,277,390.00  PLN in these 5 years with a luxury lifestyle, becasue she need everything to be good with a rich husband. Especially in FASHION and Beauty , she will spend   742,857.75  pln to make her "forever young", then is about the health and education it will make her knows her well . </t>
    <phoneticPr fontId="1" type="noConversion"/>
  </si>
  <si>
    <t xml:space="preserve">In our plan he  can just use the benefit generating, and didn't wastet any assets except 300000dollars and 200000pounds for two childs, he also have 15000EUR 15000GBP and  102000 PLN for urgent use. He also preparing 200,151.37 USD in Synchrony Bank for his child after they finding a job. </t>
    <phoneticPr fontId="1" type="noConversion"/>
  </si>
  <si>
    <t>Conclusion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</si>
</sst>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等线"/>
      <family val="2"/>
      <scheme val="minor"/>
    </font>
    <font>
      <sz val="9"/>
      <name val="等线"/>
      <family val="3"/>
      <charset val="134"/>
      <scheme val="minor"/>
    </font>
    <font>
      <sz val="11"/>
      <color theme="1"/>
      <name val="等线"/>
      <family val="2"/>
      <scheme val="minor"/>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alignment vertical="center"/>
    </xf>
  </cellStyleXfs>
  <cellXfs count="38">
    <xf numFmtId="0" fontId="0" fillId="0" borderId="0" xfId="0"/>
    <xf numFmtId="3" fontId="0" fillId="0" borderId="0" xfId="0" applyNumberFormat="1"/>
    <xf numFmtId="43" fontId="0" fillId="0" borderId="0" xfId="1" applyFont="1" applyAlignment="1"/>
    <xf numFmtId="0" fontId="3" fillId="0" borderId="0" xfId="0" applyFont="1"/>
    <xf numFmtId="10" fontId="0" fillId="0" borderId="0" xfId="0" applyNumberFormat="1"/>
    <xf numFmtId="9" fontId="0" fillId="0" borderId="0" xfId="0" applyNumberFormat="1"/>
    <xf numFmtId="0" fontId="0" fillId="0" borderId="0" xfId="0" applyAlignment="1">
      <alignment wrapText="1"/>
    </xf>
    <xf numFmtId="0" fontId="0" fillId="0" borderId="1" xfId="0" applyBorder="1"/>
    <xf numFmtId="43" fontId="0" fillId="0" borderId="1" xfId="1" applyFont="1" applyBorder="1" applyAlignment="1"/>
    <xf numFmtId="0" fontId="3" fillId="0" borderId="1" xfId="0" applyFont="1" applyBorder="1"/>
    <xf numFmtId="43" fontId="3" fillId="0" borderId="1" xfId="1" applyFont="1" applyBorder="1" applyAlignment="1"/>
    <xf numFmtId="0" fontId="0" fillId="0" borderId="1" xfId="0" applyBorder="1" applyAlignment="1">
      <alignment horizontal="left" indent="1"/>
    </xf>
    <xf numFmtId="43" fontId="0" fillId="0" borderId="1" xfId="0" applyNumberFormat="1" applyBorder="1"/>
    <xf numFmtId="0" fontId="0" fillId="0" borderId="2" xfId="0" applyBorder="1"/>
    <xf numFmtId="43" fontId="0" fillId="0" borderId="3" xfId="1" applyFont="1" applyBorder="1" applyAlignment="1"/>
    <xf numFmtId="0" fontId="3" fillId="0" borderId="2" xfId="0" applyFont="1" applyBorder="1"/>
    <xf numFmtId="43" fontId="3" fillId="0" borderId="3" xfId="1" applyFont="1" applyBorder="1" applyAlignment="1"/>
    <xf numFmtId="0" fontId="0" fillId="0" borderId="3" xfId="0" applyBorder="1"/>
    <xf numFmtId="0" fontId="3" fillId="0" borderId="4" xfId="0" applyFont="1" applyBorder="1"/>
    <xf numFmtId="43" fontId="0" fillId="0" borderId="5" xfId="1" applyFont="1" applyBorder="1" applyAlignment="1"/>
    <xf numFmtId="43" fontId="0" fillId="0" borderId="6" xfId="1" applyFont="1" applyBorder="1" applyAlignment="1"/>
    <xf numFmtId="0" fontId="4" fillId="0" borderId="1" xfId="0" applyFont="1" applyBorder="1" applyAlignment="1">
      <alignment vertical="center" wrapText="1"/>
    </xf>
    <xf numFmtId="43" fontId="0" fillId="0" borderId="1" xfId="1" applyFont="1" applyBorder="1" applyAlignment="1">
      <alignment vertical="center" wrapText="1"/>
    </xf>
    <xf numFmtId="0" fontId="0" fillId="0" borderId="1" xfId="0" applyBorder="1" applyAlignment="1">
      <alignment horizontal="left" vertical="center" wrapText="1"/>
    </xf>
    <xf numFmtId="0" fontId="4" fillId="0" borderId="1" xfId="0" applyFont="1" applyBorder="1"/>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indent="1"/>
    </xf>
    <xf numFmtId="43" fontId="3" fillId="0" borderId="5" xfId="1" applyFont="1" applyBorder="1" applyAlignment="1"/>
    <xf numFmtId="43" fontId="3" fillId="0" borderId="0" xfId="0" applyNumberFormat="1" applyFont="1"/>
    <xf numFmtId="0" fontId="0" fillId="0" borderId="1" xfId="0" applyBorder="1" applyAlignment="1">
      <alignment wrapText="1"/>
    </xf>
    <xf numFmtId="0" fontId="0" fillId="0" borderId="7" xfId="0" applyBorder="1"/>
    <xf numFmtId="43" fontId="0" fillId="0" borderId="8" xfId="1" applyFont="1" applyBorder="1" applyAlignment="1"/>
    <xf numFmtId="43" fontId="3" fillId="0" borderId="1" xfId="0" applyNumberFormat="1" applyFont="1" applyBorder="1"/>
    <xf numFmtId="0" fontId="0" fillId="0" borderId="1" xfId="1" applyNumberFormat="1" applyFont="1" applyBorder="1" applyAlignment="1"/>
    <xf numFmtId="0" fontId="0" fillId="0" borderId="9" xfId="0" applyBorder="1"/>
    <xf numFmtId="43" fontId="0" fillId="0" borderId="0" xfId="0" applyNumberFormat="1"/>
    <xf numFmtId="0" fontId="0" fillId="0" borderId="1" xfId="0" applyBorder="1" applyAlignment="1">
      <alignment vertical="top" wrapText="1"/>
    </xf>
  </cellXfs>
  <cellStyles count="2">
    <cellStyle name="千位分隔" xfId="1" builtinId="3"/>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6"/>
  <sheetViews>
    <sheetView tabSelected="1" zoomScale="92" workbookViewId="0">
      <selection activeCell="A186" sqref="A186"/>
    </sheetView>
  </sheetViews>
  <sheetFormatPr defaultRowHeight="13.9" x14ac:dyDescent="0.4"/>
  <cols>
    <col min="1" max="1" width="43.06640625" customWidth="1"/>
    <col min="2" max="2" width="33.06640625" customWidth="1"/>
    <col min="3" max="3" width="35.1328125" customWidth="1"/>
    <col min="4" max="6" width="15.3984375" bestFit="1" customWidth="1"/>
    <col min="8" max="8" width="40.73046875" customWidth="1"/>
  </cols>
  <sheetData>
    <row r="1" spans="1:13" x14ac:dyDescent="0.4">
      <c r="H1" t="s">
        <v>76</v>
      </c>
      <c r="I1">
        <v>1</v>
      </c>
      <c r="J1">
        <v>2</v>
      </c>
      <c r="K1">
        <v>3</v>
      </c>
      <c r="L1">
        <v>4</v>
      </c>
      <c r="M1">
        <v>5</v>
      </c>
    </row>
    <row r="2" spans="1:13" x14ac:dyDescent="0.4">
      <c r="A2" t="s">
        <v>1</v>
      </c>
      <c r="B2">
        <v>1</v>
      </c>
      <c r="C2">
        <v>2</v>
      </c>
      <c r="D2">
        <v>3</v>
      </c>
      <c r="E2">
        <v>4</v>
      </c>
      <c r="F2">
        <v>5</v>
      </c>
      <c r="H2" s="3" t="s">
        <v>103</v>
      </c>
    </row>
    <row r="3" spans="1:13" x14ac:dyDescent="0.4">
      <c r="A3" s="9" t="s">
        <v>114</v>
      </c>
      <c r="B3" s="7"/>
      <c r="C3" s="7"/>
      <c r="D3" s="7"/>
      <c r="E3" s="7"/>
      <c r="F3" s="7"/>
      <c r="H3" t="s">
        <v>77</v>
      </c>
      <c r="I3">
        <v>4</v>
      </c>
      <c r="J3">
        <v>4</v>
      </c>
      <c r="K3">
        <v>4</v>
      </c>
      <c r="L3">
        <v>4</v>
      </c>
      <c r="M3">
        <v>4</v>
      </c>
    </row>
    <row r="4" spans="1:13" x14ac:dyDescent="0.4">
      <c r="A4" s="7" t="s">
        <v>164</v>
      </c>
      <c r="B4" s="8">
        <v>1600000</v>
      </c>
      <c r="C4" s="8">
        <f>B4*(1+J18)</f>
        <v>1642240</v>
      </c>
      <c r="D4" s="8">
        <f>C4*(1+K18)</f>
        <v>1681078.976</v>
      </c>
      <c r="E4" s="8">
        <f>D4*(1+L18)</f>
        <v>1718062.7134720001</v>
      </c>
      <c r="F4" s="8">
        <f>E4*(1+M18)</f>
        <v>1763419.5691076608</v>
      </c>
      <c r="H4" t="s">
        <v>78</v>
      </c>
      <c r="I4">
        <v>0.8</v>
      </c>
      <c r="J4">
        <v>0.8</v>
      </c>
      <c r="K4">
        <v>0.8</v>
      </c>
      <c r="L4">
        <v>0.8</v>
      </c>
      <c r="M4">
        <v>0.8</v>
      </c>
    </row>
    <row r="5" spans="1:13" ht="41.65" x14ac:dyDescent="0.4">
      <c r="A5" s="30" t="s">
        <v>165</v>
      </c>
      <c r="B5" s="8">
        <f>50000*12*2*(1+I18)*(1-0.23)</f>
        <v>956524.79999999981</v>
      </c>
      <c r="C5" s="8">
        <f>B5*(1+J18)</f>
        <v>981777.05471999978</v>
      </c>
      <c r="D5" s="8">
        <f>C5*(1+K18)</f>
        <v>1004996.0820641278</v>
      </c>
      <c r="E5" s="8">
        <f>D5*(1+L18)</f>
        <v>1027105.9958695386</v>
      </c>
      <c r="F5" s="8">
        <f>E5*(1+M18)</f>
        <v>1054221.5941604944</v>
      </c>
      <c r="H5" t="s">
        <v>83</v>
      </c>
      <c r="I5">
        <v>4.75</v>
      </c>
    </row>
    <row r="6" spans="1:13" x14ac:dyDescent="0.4">
      <c r="A6" s="9" t="s">
        <v>24</v>
      </c>
      <c r="B6" s="10">
        <v>3000000</v>
      </c>
      <c r="C6" s="8"/>
      <c r="D6" s="8"/>
      <c r="E6" s="8"/>
      <c r="F6" s="8"/>
      <c r="H6" t="s">
        <v>84</v>
      </c>
      <c r="I6">
        <v>4.0999999999999996</v>
      </c>
    </row>
    <row r="7" spans="1:13" x14ac:dyDescent="0.4">
      <c r="A7" s="9" t="s">
        <v>25</v>
      </c>
      <c r="B7" s="10">
        <v>400000</v>
      </c>
      <c r="C7" s="8"/>
      <c r="D7" s="8"/>
      <c r="E7" s="8"/>
      <c r="F7" s="8"/>
    </row>
    <row r="8" spans="1:13" s="3" customFormat="1" x14ac:dyDescent="0.4">
      <c r="A8" s="9" t="s">
        <v>91</v>
      </c>
      <c r="B8" s="10">
        <f>SUM(B6:B7)</f>
        <v>3400000</v>
      </c>
      <c r="C8" s="10"/>
      <c r="D8" s="10"/>
      <c r="E8" s="10"/>
      <c r="F8" s="10"/>
      <c r="H8" s="3" t="s">
        <v>96</v>
      </c>
    </row>
    <row r="9" spans="1:13" x14ac:dyDescent="0.4">
      <c r="A9" s="7" t="s">
        <v>89</v>
      </c>
      <c r="B9" s="8">
        <v>102000</v>
      </c>
      <c r="C9" s="8"/>
      <c r="D9" s="8"/>
      <c r="E9" s="8"/>
      <c r="F9" s="8"/>
      <c r="H9" t="s">
        <v>71</v>
      </c>
      <c r="I9" s="4">
        <v>4.8500000000000001E-2</v>
      </c>
      <c r="J9" s="4">
        <v>4.8500000000000001E-2</v>
      </c>
      <c r="K9" s="4">
        <v>4.8500000000000001E-2</v>
      </c>
      <c r="L9" s="4">
        <v>4.8500000000000001E-2</v>
      </c>
      <c r="M9" s="4">
        <v>4.8500000000000001E-2</v>
      </c>
    </row>
    <row r="10" spans="1:13" x14ac:dyDescent="0.4">
      <c r="A10" s="9" t="s">
        <v>109</v>
      </c>
      <c r="B10" s="10">
        <f>SUM(B11:B13)</f>
        <v>918000</v>
      </c>
      <c r="C10" s="8"/>
      <c r="D10" s="8"/>
      <c r="E10" s="8"/>
      <c r="F10" s="8"/>
      <c r="H10" t="s">
        <v>49</v>
      </c>
      <c r="I10" s="4">
        <v>4.2999999999999997E-2</v>
      </c>
      <c r="J10" s="4">
        <v>4.2999999999999997E-2</v>
      </c>
      <c r="K10" s="4">
        <v>4.2999999999999997E-2</v>
      </c>
      <c r="L10" s="4">
        <v>4.2999999999999997E-2</v>
      </c>
      <c r="M10" s="4">
        <v>4.2999999999999997E-2</v>
      </c>
    </row>
    <row r="11" spans="1:13" x14ac:dyDescent="0.4">
      <c r="A11" s="7" t="s">
        <v>90</v>
      </c>
      <c r="B11" s="8">
        <v>459000</v>
      </c>
      <c r="C11" s="8"/>
      <c r="D11" s="8"/>
      <c r="E11" s="8"/>
      <c r="F11" s="8"/>
      <c r="H11" t="s">
        <v>53</v>
      </c>
      <c r="I11" s="4">
        <v>5.5E-2</v>
      </c>
      <c r="J11" s="4">
        <v>5.5E-2</v>
      </c>
      <c r="K11" s="4">
        <v>5.5E-2</v>
      </c>
      <c r="L11" s="4">
        <v>5.5E-2</v>
      </c>
      <c r="M11" s="4">
        <v>5.5E-2</v>
      </c>
    </row>
    <row r="12" spans="1:13" x14ac:dyDescent="0.4">
      <c r="A12" s="7" t="s">
        <v>92</v>
      </c>
      <c r="B12" s="8">
        <v>408000</v>
      </c>
      <c r="C12" s="8"/>
      <c r="D12" s="8"/>
      <c r="E12" s="8"/>
      <c r="F12" s="8"/>
      <c r="H12" t="s">
        <v>50</v>
      </c>
      <c r="I12" s="5">
        <v>0.24</v>
      </c>
      <c r="J12" s="5">
        <v>0.24</v>
      </c>
      <c r="K12" s="5">
        <v>0.24</v>
      </c>
      <c r="L12" s="5">
        <v>0.24</v>
      </c>
      <c r="M12" s="5">
        <v>0.24</v>
      </c>
    </row>
    <row r="13" spans="1:13" x14ac:dyDescent="0.4">
      <c r="A13" s="7" t="s">
        <v>107</v>
      </c>
      <c r="B13" s="8">
        <v>51000</v>
      </c>
      <c r="C13" s="8"/>
      <c r="D13" s="8"/>
      <c r="E13" s="8"/>
      <c r="F13" s="8"/>
      <c r="H13" t="s">
        <v>51</v>
      </c>
      <c r="I13" s="5">
        <v>0.05</v>
      </c>
      <c r="J13" s="5">
        <v>0.05</v>
      </c>
      <c r="K13" s="5">
        <v>0.05</v>
      </c>
      <c r="L13" s="5">
        <v>0.05</v>
      </c>
      <c r="M13" s="5">
        <v>0.05</v>
      </c>
    </row>
    <row r="14" spans="1:13" x14ac:dyDescent="0.4">
      <c r="A14" s="9" t="s">
        <v>110</v>
      </c>
      <c r="B14" s="10">
        <f>SUM(B15:B18)</f>
        <v>1360000</v>
      </c>
      <c r="C14" s="8"/>
      <c r="D14" s="8"/>
      <c r="E14" s="8"/>
      <c r="F14" s="8"/>
    </row>
    <row r="15" spans="1:13" x14ac:dyDescent="0.4">
      <c r="A15" s="7" t="s">
        <v>92</v>
      </c>
      <c r="B15" s="8">
        <v>680000</v>
      </c>
      <c r="C15" s="8"/>
      <c r="D15" s="8"/>
      <c r="E15" s="8"/>
      <c r="F15" s="8"/>
      <c r="H15" s="3" t="s">
        <v>97</v>
      </c>
    </row>
    <row r="16" spans="1:13" x14ac:dyDescent="0.4">
      <c r="A16" s="7" t="s">
        <v>95</v>
      </c>
      <c r="B16" s="8">
        <v>408000</v>
      </c>
      <c r="C16" s="8"/>
      <c r="D16" s="8"/>
      <c r="E16" s="8"/>
      <c r="F16" s="8"/>
      <c r="H16" t="s">
        <v>20</v>
      </c>
      <c r="I16" s="2">
        <v>0.23</v>
      </c>
      <c r="J16" s="2">
        <v>0.23</v>
      </c>
      <c r="K16" s="2">
        <v>0.23</v>
      </c>
      <c r="L16" s="2">
        <v>0.23</v>
      </c>
      <c r="M16" s="2">
        <v>0.23</v>
      </c>
    </row>
    <row r="17" spans="1:13" x14ac:dyDescent="0.4">
      <c r="A17" s="30" t="s">
        <v>93</v>
      </c>
      <c r="B17" s="8">
        <v>136000</v>
      </c>
      <c r="C17" s="8"/>
      <c r="D17" s="8"/>
      <c r="E17" s="8"/>
      <c r="F17" s="8"/>
      <c r="H17" t="s">
        <v>22</v>
      </c>
      <c r="I17" s="2">
        <v>3.2000000000000001E-2</v>
      </c>
      <c r="J17" s="2">
        <v>2.4E-2</v>
      </c>
      <c r="K17" s="2">
        <v>2.1499999999999998E-2</v>
      </c>
      <c r="L17" s="2">
        <v>0.02</v>
      </c>
      <c r="M17" s="2">
        <v>2.4E-2</v>
      </c>
    </row>
    <row r="18" spans="1:13" x14ac:dyDescent="0.4">
      <c r="A18" s="7" t="s">
        <v>107</v>
      </c>
      <c r="B18" s="8">
        <v>136000</v>
      </c>
      <c r="C18" s="8"/>
      <c r="D18" s="8"/>
      <c r="E18" s="8"/>
      <c r="F18" s="8"/>
      <c r="H18" t="s">
        <v>23</v>
      </c>
      <c r="I18" s="2">
        <f>1.1*I17</f>
        <v>3.5200000000000002E-2</v>
      </c>
      <c r="J18" s="2">
        <f>1.1*J17</f>
        <v>2.6400000000000003E-2</v>
      </c>
      <c r="K18" s="2">
        <f>1.1*K17</f>
        <v>2.3650000000000001E-2</v>
      </c>
      <c r="L18" s="2">
        <f>1.1*L17</f>
        <v>2.2000000000000002E-2</v>
      </c>
      <c r="M18" s="2">
        <f>1.1*M17</f>
        <v>2.6400000000000003E-2</v>
      </c>
    </row>
    <row r="19" spans="1:13" x14ac:dyDescent="0.4">
      <c r="A19" s="9" t="s">
        <v>111</v>
      </c>
      <c r="B19" s="33">
        <f>SUM(B20:B23)</f>
        <v>1020000</v>
      </c>
      <c r="C19" s="8"/>
      <c r="D19" s="8"/>
      <c r="E19" s="8"/>
      <c r="F19" s="8"/>
      <c r="H19" t="s">
        <v>88</v>
      </c>
      <c r="I19" s="4">
        <v>5.2499999999999998E-2</v>
      </c>
      <c r="J19" s="4">
        <v>5.2499999999999998E-2</v>
      </c>
      <c r="K19" s="4">
        <v>5.2499999999999998E-2</v>
      </c>
      <c r="L19" s="4">
        <v>5.2499999999999998E-2</v>
      </c>
      <c r="M19" s="4">
        <v>5.2499999999999998E-2</v>
      </c>
    </row>
    <row r="20" spans="1:13" x14ac:dyDescent="0.4">
      <c r="A20" s="7" t="s">
        <v>94</v>
      </c>
      <c r="B20" s="8">
        <v>510000</v>
      </c>
      <c r="C20" s="8"/>
      <c r="D20" s="8"/>
      <c r="E20" s="8"/>
      <c r="F20" s="8"/>
      <c r="H20" t="s">
        <v>79</v>
      </c>
      <c r="I20" s="5">
        <v>0.1</v>
      </c>
      <c r="J20" s="5">
        <v>0.1</v>
      </c>
      <c r="K20" s="5">
        <v>0.1</v>
      </c>
      <c r="L20" s="5">
        <v>0.1</v>
      </c>
      <c r="M20" s="5">
        <v>0.1</v>
      </c>
    </row>
    <row r="21" spans="1:13" x14ac:dyDescent="0.4">
      <c r="A21" s="7" t="s">
        <v>95</v>
      </c>
      <c r="B21" s="8">
        <v>306000</v>
      </c>
      <c r="C21" s="8"/>
      <c r="D21" s="8"/>
      <c r="E21" s="8"/>
      <c r="F21" s="8"/>
      <c r="H21" t="s">
        <v>98</v>
      </c>
      <c r="I21">
        <f>((10+20)/2)%</f>
        <v>0.15</v>
      </c>
      <c r="J21">
        <f t="shared" ref="J21:M21" si="0">((10+20)/2)%</f>
        <v>0.15</v>
      </c>
      <c r="K21">
        <f t="shared" si="0"/>
        <v>0.15</v>
      </c>
      <c r="L21">
        <f t="shared" si="0"/>
        <v>0.15</v>
      </c>
      <c r="M21">
        <f t="shared" si="0"/>
        <v>0.15</v>
      </c>
    </row>
    <row r="22" spans="1:13" x14ac:dyDescent="0.4">
      <c r="A22" s="30" t="s">
        <v>93</v>
      </c>
      <c r="B22" s="8">
        <v>102000</v>
      </c>
      <c r="C22" s="8"/>
      <c r="D22" s="8"/>
      <c r="E22" s="8"/>
      <c r="F22" s="8"/>
      <c r="H22" t="s">
        <v>99</v>
      </c>
      <c r="I22" s="5">
        <v>0.02</v>
      </c>
      <c r="J22" s="5">
        <v>0.02</v>
      </c>
    </row>
    <row r="23" spans="1:13" x14ac:dyDescent="0.4">
      <c r="A23" s="7" t="s">
        <v>107</v>
      </c>
      <c r="B23" s="8">
        <v>102000</v>
      </c>
      <c r="C23" s="8"/>
      <c r="D23" s="8"/>
      <c r="E23" s="8"/>
      <c r="F23" s="8"/>
      <c r="H23" t="s">
        <v>100</v>
      </c>
      <c r="I23" s="5">
        <v>0.05</v>
      </c>
      <c r="J23" s="5">
        <v>0.05</v>
      </c>
      <c r="K23" s="5">
        <v>0.05</v>
      </c>
      <c r="L23" s="5">
        <v>0.05</v>
      </c>
      <c r="M23" s="5"/>
    </row>
    <row r="24" spans="1:13" x14ac:dyDescent="0.4">
      <c r="A24" s="9" t="s">
        <v>105</v>
      </c>
      <c r="B24" s="10">
        <v>500000</v>
      </c>
      <c r="C24" s="10">
        <v>500000</v>
      </c>
      <c r="D24" s="10">
        <v>500000</v>
      </c>
      <c r="E24" s="10">
        <v>500000</v>
      </c>
      <c r="F24" s="10">
        <v>500000</v>
      </c>
      <c r="H24" t="s">
        <v>106</v>
      </c>
      <c r="I24" s="5">
        <v>0.08</v>
      </c>
      <c r="J24" s="5">
        <v>0.08</v>
      </c>
      <c r="K24" s="5">
        <v>0.08</v>
      </c>
      <c r="L24" s="5">
        <v>0.08</v>
      </c>
      <c r="M24" s="5">
        <v>0.08</v>
      </c>
    </row>
    <row r="25" spans="1:13" x14ac:dyDescent="0.4">
      <c r="A25" s="9" t="s">
        <v>80</v>
      </c>
      <c r="B25" s="10">
        <f>15000000</f>
        <v>15000000</v>
      </c>
      <c r="C25" s="10">
        <f t="shared" ref="C25:F25" si="1">15000000</f>
        <v>15000000</v>
      </c>
      <c r="D25" s="10">
        <f t="shared" si="1"/>
        <v>15000000</v>
      </c>
      <c r="E25" s="10">
        <f t="shared" si="1"/>
        <v>15000000</v>
      </c>
      <c r="F25" s="10">
        <f t="shared" si="1"/>
        <v>15000000</v>
      </c>
      <c r="H25" t="s">
        <v>101</v>
      </c>
      <c r="K25" s="5">
        <v>7.0000000000000007E-2</v>
      </c>
      <c r="L25" s="5">
        <v>7.0000000000000007E-2</v>
      </c>
      <c r="M25" s="5">
        <v>7.0000000000000007E-2</v>
      </c>
    </row>
    <row r="26" spans="1:13" x14ac:dyDescent="0.4">
      <c r="H26" s="6" t="s">
        <v>102</v>
      </c>
      <c r="K26" s="5">
        <v>0.03</v>
      </c>
      <c r="L26" s="5">
        <v>0.03</v>
      </c>
      <c r="M26" s="5">
        <v>0.03</v>
      </c>
    </row>
    <row r="27" spans="1:13" x14ac:dyDescent="0.4">
      <c r="B27" s="2"/>
      <c r="C27" s="2"/>
      <c r="D27" s="2"/>
      <c r="E27" s="2"/>
      <c r="F27" s="2"/>
      <c r="H27" t="s">
        <v>108</v>
      </c>
      <c r="M27" s="5">
        <v>0.06</v>
      </c>
    </row>
    <row r="28" spans="1:13" x14ac:dyDescent="0.4">
      <c r="A28" s="9" t="s">
        <v>113</v>
      </c>
      <c r="B28" s="8"/>
      <c r="C28" s="8"/>
      <c r="D28" s="8"/>
      <c r="E28" s="8"/>
      <c r="F28" s="8"/>
    </row>
    <row r="29" spans="1:13" x14ac:dyDescent="0.4">
      <c r="A29" s="7" t="s">
        <v>60</v>
      </c>
      <c r="B29" s="8">
        <f>5400*(1+I60)*1</f>
        <v>5400</v>
      </c>
      <c r="C29" s="8">
        <f>B29*(1+J60)</f>
        <v>5400</v>
      </c>
      <c r="D29" s="8">
        <f>C29*(1+K60)</f>
        <v>5400</v>
      </c>
      <c r="E29" s="8">
        <f>D29*(1+L60)</f>
        <v>5400</v>
      </c>
      <c r="F29" s="8">
        <f>E29*(1+M60)</f>
        <v>5400</v>
      </c>
    </row>
    <row r="30" spans="1:13" ht="27.75" x14ac:dyDescent="0.4">
      <c r="A30" s="30" t="s">
        <v>61</v>
      </c>
      <c r="B30" s="8">
        <f>50000*12*2*(1+I60)*(1-0.23)</f>
        <v>924000</v>
      </c>
      <c r="C30" s="8">
        <f>B30*(1+J60)</f>
        <v>924000</v>
      </c>
      <c r="D30" s="8">
        <f>C30*(1+K60)</f>
        <v>924000</v>
      </c>
      <c r="E30" s="8">
        <f>D30*(1+L60)</f>
        <v>924000</v>
      </c>
      <c r="F30" s="8">
        <f>E30*(1+M60)</f>
        <v>924000</v>
      </c>
    </row>
    <row r="31" spans="1:13" x14ac:dyDescent="0.4">
      <c r="A31" s="7" t="s">
        <v>104</v>
      </c>
      <c r="B31" s="8">
        <f>B24*I21*(1-I16)</f>
        <v>57750</v>
      </c>
      <c r="C31" s="8">
        <f>C24*J21*(1-J16)</f>
        <v>57750</v>
      </c>
      <c r="D31" s="8">
        <f>D24*K21*(1-K16)</f>
        <v>57750</v>
      </c>
      <c r="E31" s="8">
        <f>E24*L21*(1-L16)</f>
        <v>57750</v>
      </c>
      <c r="F31" s="8">
        <f>F24*M21*(1-M16)</f>
        <v>57750</v>
      </c>
    </row>
    <row r="32" spans="1:13" x14ac:dyDescent="0.4">
      <c r="A32" s="7" t="s">
        <v>87</v>
      </c>
      <c r="B32" s="8">
        <f>15000000*I20*(1-I16)</f>
        <v>1155000</v>
      </c>
      <c r="C32" s="8">
        <f>15000000*J20*(1-J16)</f>
        <v>1155000</v>
      </c>
      <c r="D32" s="8">
        <f>15000000*K20*(1-K16)</f>
        <v>1155000</v>
      </c>
      <c r="E32" s="8">
        <f>15000000*L20*(1-L16)</f>
        <v>1155000</v>
      </c>
      <c r="F32" s="8">
        <f>15000000*M20*(1-M16)</f>
        <v>1155000</v>
      </c>
    </row>
    <row r="33" spans="1:6" x14ac:dyDescent="0.4">
      <c r="A33" s="9" t="s">
        <v>109</v>
      </c>
      <c r="B33" s="8"/>
      <c r="C33" s="8"/>
      <c r="D33" s="8"/>
      <c r="E33" s="8"/>
      <c r="F33" s="8"/>
    </row>
    <row r="34" spans="1:6" x14ac:dyDescent="0.4">
      <c r="A34" s="7" t="s">
        <v>90</v>
      </c>
      <c r="B34" s="8">
        <f>(B11/2)*I22*(1-I$16)</f>
        <v>3534.3</v>
      </c>
      <c r="C34" s="8">
        <f>((B11/2)*(1+I22)^2 - B11/2)*(1-I$16)</f>
        <v>7139.285999999991</v>
      </c>
      <c r="D34" s="8"/>
      <c r="E34" s="8"/>
      <c r="F34" s="8"/>
    </row>
    <row r="35" spans="1:6" x14ac:dyDescent="0.4">
      <c r="A35" s="7" t="s">
        <v>92</v>
      </c>
      <c r="B35" s="8">
        <f>(B12/2)*I23*(1-I$16)</f>
        <v>7854</v>
      </c>
      <c r="C35" s="8">
        <f>((B12/2)*(1+I23)^2 -B12/2)*(1-J$16)</f>
        <v>16100.7</v>
      </c>
      <c r="D35" s="8"/>
      <c r="E35" s="8"/>
      <c r="F35" s="8"/>
    </row>
    <row r="36" spans="1:6" x14ac:dyDescent="0.4">
      <c r="A36" s="7" t="s">
        <v>107</v>
      </c>
      <c r="B36" s="8">
        <f>(B13/2)*I24*(1-I$16)</f>
        <v>1570.8</v>
      </c>
      <c r="C36" s="8">
        <f>((B13/2)*(1+I24)^2-B13/2)*(1-I$16)</f>
        <v>3267.2640000000033</v>
      </c>
      <c r="D36" s="8"/>
      <c r="E36" s="8"/>
      <c r="F36" s="8"/>
    </row>
    <row r="37" spans="1:6" x14ac:dyDescent="0.4">
      <c r="A37" s="9" t="s">
        <v>110</v>
      </c>
      <c r="B37" s="8"/>
      <c r="C37" s="8"/>
      <c r="D37" s="8"/>
      <c r="E37" s="8"/>
      <c r="F37" s="8"/>
    </row>
    <row r="38" spans="1:6" x14ac:dyDescent="0.4">
      <c r="A38" s="7" t="s">
        <v>92</v>
      </c>
      <c r="B38" s="8"/>
      <c r="C38" s="8"/>
      <c r="D38" s="8">
        <f>((B15/2)*(1+I23)^3 -B15/2)*(1-J$16)</f>
        <v>41266.225000000042</v>
      </c>
      <c r="E38" s="8">
        <f>((B15/2)*(1+I23)^4-B15/2)*(1-J$16)</f>
        <v>56419.536250000005</v>
      </c>
      <c r="F38" s="8"/>
    </row>
    <row r="39" spans="1:6" x14ac:dyDescent="0.4">
      <c r="A39" s="7" t="s">
        <v>95</v>
      </c>
      <c r="B39" s="8"/>
      <c r="C39" s="8"/>
      <c r="D39" s="8">
        <f>((B16/2)*(1+K25)^3 -B16/2)*(1-J$16)</f>
        <v>35349.754440000019</v>
      </c>
      <c r="E39" s="8">
        <f>((B16/2)*(1+K25)^4 -B16/2)*(1-J$16)</f>
        <v>48819.83725080001</v>
      </c>
      <c r="F39" s="8"/>
    </row>
    <row r="40" spans="1:6" x14ac:dyDescent="0.4">
      <c r="A40" s="30" t="s">
        <v>93</v>
      </c>
      <c r="B40" s="8"/>
      <c r="C40" s="8"/>
      <c r="D40" s="8">
        <f>((B17/2)*(1+K26)^3 -B17/2)*(1-J$16)</f>
        <v>4855.1857200000013</v>
      </c>
      <c r="E40" s="8">
        <f>((B17/2)*(1+K26)^4 -B17/2)*(1-J$16)</f>
        <v>6571.6412915999999</v>
      </c>
      <c r="F40" s="8"/>
    </row>
    <row r="41" spans="1:6" x14ac:dyDescent="0.4">
      <c r="A41" s="7" t="s">
        <v>107</v>
      </c>
      <c r="B41" s="8"/>
      <c r="C41" s="8"/>
      <c r="D41" s="8">
        <f>((B18/2)*(1+K24)^3 -B18/2)*(1-J$16)</f>
        <v>13598.520320000009</v>
      </c>
      <c r="E41" s="8">
        <f>((B18/2)*(1+K24)^4 -B18/2)*(1-J$16)</f>
        <v>18875.201945600016</v>
      </c>
      <c r="F41" s="8"/>
    </row>
    <row r="42" spans="1:6" x14ac:dyDescent="0.4">
      <c r="A42" s="9" t="s">
        <v>111</v>
      </c>
      <c r="B42" s="8"/>
      <c r="C42" s="8"/>
      <c r="D42" s="8"/>
      <c r="E42" s="8"/>
      <c r="F42" s="8"/>
    </row>
    <row r="43" spans="1:6" x14ac:dyDescent="0.4">
      <c r="A43" s="7" t="s">
        <v>94</v>
      </c>
      <c r="B43" s="8"/>
      <c r="C43" s="8"/>
      <c r="D43" s="8"/>
      <c r="E43" s="8"/>
      <c r="F43" s="8">
        <f>((B20*(1+M27)^5-B20)*(1-J$16))</f>
        <v>132821.18432352023</v>
      </c>
    </row>
    <row r="44" spans="1:6" x14ac:dyDescent="0.4">
      <c r="A44" s="7" t="s">
        <v>95</v>
      </c>
      <c r="B44" s="8"/>
      <c r="C44" s="8"/>
      <c r="D44" s="8"/>
      <c r="E44" s="8"/>
      <c r="F44" s="8">
        <f>((B21*(1+M25)^5-B21)*(1-J$16))</f>
        <v>94849.23878753405</v>
      </c>
    </row>
    <row r="45" spans="1:6" x14ac:dyDescent="0.4">
      <c r="A45" s="30" t="s">
        <v>93</v>
      </c>
      <c r="B45" s="8"/>
      <c r="C45" s="8"/>
      <c r="D45" s="8"/>
      <c r="E45" s="8"/>
      <c r="F45" s="8">
        <f>((B22*(1+M26)^5-B22)*(1-J$16))</f>
        <v>12509.385795521988</v>
      </c>
    </row>
    <row r="46" spans="1:6" x14ac:dyDescent="0.4">
      <c r="A46" s="7" t="s">
        <v>107</v>
      </c>
      <c r="B46" s="8"/>
      <c r="C46" s="8"/>
      <c r="D46" s="8"/>
      <c r="E46" s="8"/>
      <c r="F46" s="8">
        <f>((B23*(1+M24)^5-B23)*(1-J$16))</f>
        <v>36861.027151872018</v>
      </c>
    </row>
    <row r="47" spans="1:6" x14ac:dyDescent="0.4">
      <c r="A47" s="7" t="s">
        <v>112</v>
      </c>
      <c r="B47" s="8">
        <f>SUM(B34:B36)</f>
        <v>12959.099999999999</v>
      </c>
      <c r="C47" s="8">
        <f>SUM(C34:C36)</f>
        <v>26507.249999999993</v>
      </c>
      <c r="D47" s="8">
        <f>SUM(D38:D41)</f>
        <v>95069.685480000073</v>
      </c>
      <c r="E47" s="8">
        <f>SUM(E38:E41)</f>
        <v>130686.21673800003</v>
      </c>
      <c r="F47" s="8">
        <f>SUM(F43:F46)</f>
        <v>277040.8360584483</v>
      </c>
    </row>
    <row r="48" spans="1:6" x14ac:dyDescent="0.4">
      <c r="A48" s="7" t="s">
        <v>167</v>
      </c>
      <c r="B48" s="8">
        <f>SUM(B29:B46)</f>
        <v>2155109.0999999996</v>
      </c>
      <c r="C48" s="8">
        <f t="shared" ref="C48:F48" si="2">SUM(C29:C46)</f>
        <v>2168657.25</v>
      </c>
      <c r="D48" s="8">
        <f t="shared" si="2"/>
        <v>2237219.68548</v>
      </c>
      <c r="E48" s="8">
        <f t="shared" si="2"/>
        <v>2272836.216738</v>
      </c>
      <c r="F48" s="8">
        <f t="shared" si="2"/>
        <v>2419190.8360584485</v>
      </c>
    </row>
    <row r="49" spans="1:6" x14ac:dyDescent="0.4">
      <c r="B49" s="2"/>
      <c r="C49" s="2"/>
      <c r="D49" s="2"/>
      <c r="E49" s="2"/>
      <c r="F49" s="2"/>
    </row>
    <row r="50" spans="1:6" s="3" customFormat="1" x14ac:dyDescent="0.4">
      <c r="A50" s="9" t="s">
        <v>81</v>
      </c>
      <c r="B50" s="8"/>
      <c r="C50" s="8"/>
      <c r="D50" s="8"/>
      <c r="E50" s="8"/>
      <c r="F50" s="8"/>
    </row>
    <row r="51" spans="1:6" x14ac:dyDescent="0.4">
      <c r="A51" s="7" t="s">
        <v>62</v>
      </c>
      <c r="B51" s="8">
        <f>200000/I4</f>
        <v>250000</v>
      </c>
      <c r="C51" s="8"/>
      <c r="D51" s="8"/>
      <c r="E51" s="8"/>
      <c r="F51" s="8"/>
    </row>
    <row r="52" spans="1:6" x14ac:dyDescent="0.4">
      <c r="A52" s="9" t="s">
        <v>56</v>
      </c>
      <c r="B52" s="10">
        <v>500000</v>
      </c>
      <c r="C52" s="10"/>
      <c r="D52" s="10"/>
      <c r="E52" s="10"/>
      <c r="F52" s="10"/>
    </row>
    <row r="53" spans="1:6" x14ac:dyDescent="0.4">
      <c r="A53" s="7" t="s">
        <v>52</v>
      </c>
      <c r="B53" s="8">
        <v>200000</v>
      </c>
      <c r="C53" s="8"/>
      <c r="D53" s="8"/>
      <c r="E53" s="8"/>
      <c r="F53" s="8"/>
    </row>
    <row r="54" spans="1:6" x14ac:dyDescent="0.4">
      <c r="A54" s="11" t="s">
        <v>54</v>
      </c>
      <c r="B54" s="8">
        <f>B53*I11*(1-I12)*(1-I13)</f>
        <v>7942</v>
      </c>
      <c r="C54" s="8"/>
      <c r="D54" s="8"/>
      <c r="E54" s="8"/>
      <c r="F54" s="8"/>
    </row>
    <row r="55" spans="1:6" x14ac:dyDescent="0.4">
      <c r="A55" s="7" t="s">
        <v>69</v>
      </c>
      <c r="B55" s="8"/>
      <c r="C55" s="8">
        <v>200000</v>
      </c>
      <c r="D55" s="8"/>
      <c r="E55" s="8"/>
      <c r="F55" s="8"/>
    </row>
    <row r="56" spans="1:6" x14ac:dyDescent="0.4">
      <c r="A56" s="7" t="s">
        <v>55</v>
      </c>
      <c r="B56" s="7"/>
      <c r="C56" s="8">
        <f>C55*I9*(20/12)*(1-I12)*(1-I13)</f>
        <v>11672.333333333334</v>
      </c>
      <c r="D56" s="8"/>
      <c r="E56" s="8"/>
      <c r="F56" s="8"/>
    </row>
    <row r="57" spans="1:6" x14ac:dyDescent="0.4">
      <c r="A57" s="7" t="s">
        <v>57</v>
      </c>
      <c r="B57" s="8">
        <v>50000</v>
      </c>
      <c r="C57" s="7"/>
      <c r="D57" s="8"/>
      <c r="E57" s="8"/>
      <c r="F57" s="8"/>
    </row>
    <row r="58" spans="1:6" s="3" customFormat="1" x14ac:dyDescent="0.4">
      <c r="A58" s="7" t="s">
        <v>58</v>
      </c>
      <c r="B58" s="8"/>
      <c r="C58" s="8">
        <v>50000</v>
      </c>
      <c r="D58" s="8"/>
      <c r="E58" s="8"/>
      <c r="F58" s="8"/>
    </row>
    <row r="59" spans="1:6" x14ac:dyDescent="0.4">
      <c r="A59" s="7" t="s">
        <v>59</v>
      </c>
      <c r="B59" s="7"/>
      <c r="C59" s="8">
        <f>C58*I10*(1-I12)*(1-I13)</f>
        <v>1552.3</v>
      </c>
      <c r="D59" s="8"/>
      <c r="E59" s="8"/>
      <c r="F59" s="8"/>
    </row>
    <row r="60" spans="1:6" x14ac:dyDescent="0.4">
      <c r="A60" s="9" t="s">
        <v>68</v>
      </c>
      <c r="B60" s="10">
        <f>B53+B54+B57</f>
        <v>257942</v>
      </c>
      <c r="C60" s="10">
        <f>SUM(C55:C59)</f>
        <v>263224.63333333336</v>
      </c>
      <c r="D60" s="10"/>
      <c r="E60" s="10"/>
      <c r="F60" s="10"/>
    </row>
    <row r="61" spans="1:6" x14ac:dyDescent="0.4">
      <c r="A61" s="7" t="s">
        <v>65</v>
      </c>
      <c r="B61" s="8">
        <f>B90-B60</f>
        <v>28012</v>
      </c>
      <c r="C61" s="7"/>
      <c r="D61" s="8"/>
      <c r="E61" s="8"/>
      <c r="F61" s="8"/>
    </row>
    <row r="62" spans="1:6" x14ac:dyDescent="0.4">
      <c r="A62" s="7" t="s">
        <v>66</v>
      </c>
      <c r="B62" s="8"/>
      <c r="C62" s="12">
        <f>C90-C60</f>
        <v>22729.36666666664</v>
      </c>
      <c r="D62" s="8"/>
      <c r="E62" s="8"/>
      <c r="F62" s="8"/>
    </row>
    <row r="63" spans="1:6" x14ac:dyDescent="0.4">
      <c r="A63" s="7" t="s">
        <v>70</v>
      </c>
      <c r="B63" s="7"/>
      <c r="C63" s="12">
        <f>C62*(I9)*(1-I12)*(1-I13)</f>
        <v>795.91423256666565</v>
      </c>
      <c r="D63" s="7"/>
      <c r="E63" s="7"/>
      <c r="F63" s="7"/>
    </row>
    <row r="64" spans="1:6" x14ac:dyDescent="0.4">
      <c r="A64" s="7" t="s">
        <v>67</v>
      </c>
      <c r="B64" s="7"/>
      <c r="C64" s="7"/>
      <c r="D64" s="12">
        <f>D90</f>
        <v>109950</v>
      </c>
      <c r="E64" s="7"/>
      <c r="F64" s="7"/>
    </row>
    <row r="65" spans="1:6" x14ac:dyDescent="0.4">
      <c r="A65" s="7" t="s">
        <v>72</v>
      </c>
      <c r="B65" s="8"/>
      <c r="C65" s="8"/>
      <c r="D65" s="8">
        <f>D64*I9*2*(1-I12)*(1-I13)</f>
        <v>7700.2383</v>
      </c>
      <c r="E65" s="8"/>
      <c r="F65" s="8"/>
    </row>
    <row r="66" spans="1:6" x14ac:dyDescent="0.4">
      <c r="A66" s="7" t="s">
        <v>73</v>
      </c>
      <c r="B66" s="8"/>
      <c r="C66" s="8"/>
      <c r="D66" s="8"/>
      <c r="E66" s="8">
        <f>(B51-B61-C62-D64)*3*(1-I12)*(1-I13)+C63*2*(1-I12)*(1-I13)+D65*1*(1-I12)*(1-I13)</f>
        <v>200151.37200442632</v>
      </c>
      <c r="F66" s="7"/>
    </row>
    <row r="67" spans="1:6" x14ac:dyDescent="0.4">
      <c r="A67" s="7" t="s">
        <v>74</v>
      </c>
      <c r="B67" s="8"/>
      <c r="C67" s="8"/>
      <c r="D67" s="8"/>
      <c r="E67" s="8"/>
      <c r="F67" s="8">
        <f>(B51-B61-C62-D64)*4*(1-I12)*(1-I13)+C63*3*(1-I12)*(1-I13)+D65*2*(1-I12)*(1-I13)</f>
        <v>270766.42739960615</v>
      </c>
    </row>
    <row r="68" spans="1:6" x14ac:dyDescent="0.4">
      <c r="A68" s="31"/>
      <c r="B68" s="8"/>
      <c r="C68" s="8"/>
      <c r="D68" s="8"/>
      <c r="E68" s="8"/>
      <c r="F68" s="32"/>
    </row>
    <row r="70" spans="1:6" s="3" customFormat="1" x14ac:dyDescent="0.4">
      <c r="A70" s="13" t="s">
        <v>21</v>
      </c>
      <c r="B70" s="8"/>
      <c r="C70" s="8"/>
      <c r="D70" s="8"/>
      <c r="E70" s="8"/>
      <c r="F70" s="14"/>
    </row>
    <row r="71" spans="1:6" x14ac:dyDescent="0.4">
      <c r="A71" s="13" t="s">
        <v>3</v>
      </c>
      <c r="B71" s="8"/>
      <c r="C71" s="8"/>
      <c r="D71" s="8"/>
      <c r="E71" s="8"/>
      <c r="F71" s="14"/>
    </row>
    <row r="72" spans="1:6" x14ac:dyDescent="0.4">
      <c r="A72" s="15" t="s">
        <v>0</v>
      </c>
      <c r="B72" s="10">
        <f>84350*2</f>
        <v>168700</v>
      </c>
      <c r="C72" s="10">
        <f>B72</f>
        <v>168700</v>
      </c>
      <c r="D72" s="10"/>
      <c r="E72" s="10"/>
      <c r="F72" s="16"/>
    </row>
    <row r="73" spans="1:6" x14ac:dyDescent="0.4">
      <c r="A73" s="15" t="s">
        <v>2</v>
      </c>
      <c r="B73" s="10">
        <f>2200*2</f>
        <v>4400</v>
      </c>
      <c r="C73" s="10">
        <f>B73</f>
        <v>4400</v>
      </c>
      <c r="D73" s="10"/>
      <c r="E73" s="10"/>
      <c r="F73" s="16"/>
    </row>
    <row r="74" spans="1:6" s="3" customFormat="1" x14ac:dyDescent="0.4">
      <c r="A74" s="15" t="s">
        <v>4</v>
      </c>
      <c r="B74" s="10">
        <f>SUM(B75:B77)</f>
        <v>69744</v>
      </c>
      <c r="C74" s="10">
        <f t="shared" ref="C74:D74" si="3">SUM(C75:C77)</f>
        <v>69744</v>
      </c>
      <c r="D74" s="10">
        <f t="shared" si="3"/>
        <v>69744</v>
      </c>
      <c r="E74" s="10"/>
      <c r="F74" s="16"/>
    </row>
    <row r="75" spans="1:6" x14ac:dyDescent="0.4">
      <c r="A75" s="13" t="s">
        <v>5</v>
      </c>
      <c r="B75" s="8">
        <f>21600*2</f>
        <v>43200</v>
      </c>
      <c r="C75" s="8">
        <f>21600*2</f>
        <v>43200</v>
      </c>
      <c r="D75" s="8">
        <f>21600*2</f>
        <v>43200</v>
      </c>
      <c r="E75" s="8"/>
      <c r="F75" s="14"/>
    </row>
    <row r="76" spans="1:6" x14ac:dyDescent="0.4">
      <c r="A76" s="13" t="s">
        <v>6</v>
      </c>
      <c r="B76" s="8">
        <f>9720*2</f>
        <v>19440</v>
      </c>
      <c r="C76" s="8">
        <f>9720*2</f>
        <v>19440</v>
      </c>
      <c r="D76" s="8">
        <f>9720*2</f>
        <v>19440</v>
      </c>
      <c r="E76" s="8"/>
      <c r="F76" s="14"/>
    </row>
    <row r="77" spans="1:6" s="3" customFormat="1" x14ac:dyDescent="0.4">
      <c r="A77" s="13" t="s">
        <v>7</v>
      </c>
      <c r="B77" s="8">
        <f>3552*2</f>
        <v>7104</v>
      </c>
      <c r="C77" s="8">
        <f>3552*2</f>
        <v>7104</v>
      </c>
      <c r="D77" s="8">
        <f>3552*2</f>
        <v>7104</v>
      </c>
      <c r="E77" s="8"/>
      <c r="F77" s="14"/>
    </row>
    <row r="78" spans="1:6" x14ac:dyDescent="0.4">
      <c r="A78" s="15" t="s">
        <v>8</v>
      </c>
      <c r="B78" s="10">
        <f>SUM(B79:B80)</f>
        <v>10110</v>
      </c>
      <c r="C78" s="10">
        <f t="shared" ref="C78:D78" si="4">SUM(C79:C80)</f>
        <v>10110</v>
      </c>
      <c r="D78" s="10">
        <f t="shared" si="4"/>
        <v>7206</v>
      </c>
      <c r="E78" s="10"/>
      <c r="F78" s="16"/>
    </row>
    <row r="79" spans="1:6" x14ac:dyDescent="0.4">
      <c r="A79" s="13" t="s">
        <v>9</v>
      </c>
      <c r="B79" s="8">
        <f>3603*2</f>
        <v>7206</v>
      </c>
      <c r="C79" s="8">
        <f>3603*2</f>
        <v>7206</v>
      </c>
      <c r="D79" s="8">
        <f>3603*2</f>
        <v>7206</v>
      </c>
      <c r="E79" s="8"/>
      <c r="F79" s="14"/>
    </row>
    <row r="80" spans="1:6" s="3" customFormat="1" x14ac:dyDescent="0.4">
      <c r="A80" s="13" t="s">
        <v>10</v>
      </c>
      <c r="B80" s="8">
        <f>1452*2</f>
        <v>2904</v>
      </c>
      <c r="C80" s="8">
        <f>1452*2</f>
        <v>2904</v>
      </c>
      <c r="D80" s="8"/>
      <c r="E80" s="8"/>
      <c r="F80" s="14"/>
    </row>
    <row r="81" spans="1:6" x14ac:dyDescent="0.4">
      <c r="A81" s="15" t="s">
        <v>11</v>
      </c>
      <c r="B81" s="10">
        <f>SUM(B82:B83)</f>
        <v>14000</v>
      </c>
      <c r="C81" s="10">
        <f t="shared" ref="C81:D81" si="5">SUM(C82:C83)</f>
        <v>14000</v>
      </c>
      <c r="D81" s="10">
        <f t="shared" si="5"/>
        <v>14000</v>
      </c>
      <c r="E81" s="10"/>
      <c r="F81" s="16"/>
    </row>
    <row r="82" spans="1:6" x14ac:dyDescent="0.4">
      <c r="A82" s="13" t="s">
        <v>12</v>
      </c>
      <c r="B82" s="8">
        <f>2000*2</f>
        <v>4000</v>
      </c>
      <c r="C82" s="8">
        <f>2000*2</f>
        <v>4000</v>
      </c>
      <c r="D82" s="8">
        <f>2000*2</f>
        <v>4000</v>
      </c>
      <c r="E82" s="8"/>
      <c r="F82" s="14"/>
    </row>
    <row r="83" spans="1:6" s="3" customFormat="1" x14ac:dyDescent="0.4">
      <c r="A83" s="13" t="s">
        <v>13</v>
      </c>
      <c r="B83" s="8">
        <f>5000*2</f>
        <v>10000</v>
      </c>
      <c r="C83" s="8">
        <f>5000*2</f>
        <v>10000</v>
      </c>
      <c r="D83" s="8">
        <f>5000*2</f>
        <v>10000</v>
      </c>
      <c r="E83" s="8"/>
      <c r="F83" s="14"/>
    </row>
    <row r="84" spans="1:6" s="3" customFormat="1" x14ac:dyDescent="0.4">
      <c r="A84" s="15" t="s">
        <v>14</v>
      </c>
      <c r="B84" s="10">
        <f>SUM(B85:B86)</f>
        <v>5000</v>
      </c>
      <c r="C84" s="10">
        <f>SUM(C85:C86)</f>
        <v>5000</v>
      </c>
      <c r="D84" s="10">
        <f>SUM(D85:D86)</f>
        <v>5000</v>
      </c>
      <c r="E84" s="10"/>
      <c r="F84" s="16"/>
    </row>
    <row r="85" spans="1:6" s="3" customFormat="1" x14ac:dyDescent="0.4">
      <c r="A85" s="13" t="s">
        <v>15</v>
      </c>
      <c r="B85" s="8">
        <v>2000</v>
      </c>
      <c r="C85" s="8">
        <v>2000</v>
      </c>
      <c r="D85" s="8">
        <v>2000</v>
      </c>
      <c r="E85" s="8"/>
      <c r="F85" s="14"/>
    </row>
    <row r="86" spans="1:6" x14ac:dyDescent="0.4">
      <c r="A86" s="13" t="s">
        <v>16</v>
      </c>
      <c r="B86" s="8">
        <v>3000</v>
      </c>
      <c r="C86" s="8">
        <v>3000</v>
      </c>
      <c r="D86" s="8">
        <v>3000</v>
      </c>
      <c r="E86" s="8"/>
      <c r="F86" s="14"/>
    </row>
    <row r="87" spans="1:6" x14ac:dyDescent="0.4">
      <c r="A87" s="15" t="s">
        <v>17</v>
      </c>
      <c r="B87" s="10">
        <v>7000</v>
      </c>
      <c r="C87" s="10">
        <v>7000</v>
      </c>
      <c r="D87" s="10">
        <v>7000</v>
      </c>
      <c r="E87" s="10"/>
      <c r="F87" s="16"/>
    </row>
    <row r="88" spans="1:6" s="3" customFormat="1" x14ac:dyDescent="0.4">
      <c r="A88" s="15" t="s">
        <v>18</v>
      </c>
      <c r="B88" s="10">
        <v>3000</v>
      </c>
      <c r="C88" s="10">
        <v>3000</v>
      </c>
      <c r="D88" s="10">
        <v>3000</v>
      </c>
      <c r="E88" s="10"/>
      <c r="F88" s="16"/>
    </row>
    <row r="89" spans="1:6" x14ac:dyDescent="0.4">
      <c r="A89" s="15" t="s">
        <v>19</v>
      </c>
      <c r="B89" s="10">
        <v>4000</v>
      </c>
      <c r="C89" s="10">
        <v>4000</v>
      </c>
      <c r="D89" s="10">
        <v>4000</v>
      </c>
      <c r="E89" s="10"/>
      <c r="F89" s="16"/>
    </row>
    <row r="90" spans="1:6" x14ac:dyDescent="0.4">
      <c r="A90" s="15" t="s">
        <v>82</v>
      </c>
      <c r="B90" s="10">
        <f>SUM(B72:B89)-(B74+B78+B81+B84)</f>
        <v>285954</v>
      </c>
      <c r="C90" s="10">
        <f>SUM(C72:C89)-(C74+C78+C81+C84)</f>
        <v>285954</v>
      </c>
      <c r="D90" s="10">
        <f>SUM(D72:D89)-(D74+D78+D81+D84)</f>
        <v>109950</v>
      </c>
      <c r="E90" s="10"/>
      <c r="F90" s="16"/>
    </row>
    <row r="91" spans="1:6" x14ac:dyDescent="0.4">
      <c r="A91" s="13"/>
      <c r="B91" s="7"/>
      <c r="C91" s="7"/>
      <c r="D91" s="7"/>
      <c r="E91" s="7"/>
      <c r="F91" s="17"/>
    </row>
    <row r="92" spans="1:6" ht="14.25" thickBot="1" x14ac:dyDescent="0.45">
      <c r="A92" s="18" t="s">
        <v>75</v>
      </c>
      <c r="B92" s="19"/>
      <c r="C92" s="19"/>
      <c r="D92" s="19"/>
      <c r="E92" s="28">
        <f>E66</f>
        <v>200151.37200442632</v>
      </c>
      <c r="F92" s="20"/>
    </row>
    <row r="95" spans="1:6" x14ac:dyDescent="0.4">
      <c r="A95" s="7" t="s">
        <v>32</v>
      </c>
      <c r="B95" s="8"/>
      <c r="C95" s="8"/>
      <c r="D95" s="8"/>
      <c r="E95" s="8"/>
      <c r="F95" s="8"/>
    </row>
    <row r="96" spans="1:6" x14ac:dyDescent="0.4">
      <c r="A96" s="21" t="s">
        <v>27</v>
      </c>
      <c r="B96" s="22">
        <f>B115</f>
        <v>206400</v>
      </c>
      <c r="C96" s="8">
        <f>B96*(1+J17)</f>
        <v>211353.60000000001</v>
      </c>
      <c r="D96" s="8">
        <f>C96*(1+K17)</f>
        <v>215897.70240000001</v>
      </c>
      <c r="E96" s="8">
        <f>D96*(1+L17)</f>
        <v>220215.65644800002</v>
      </c>
      <c r="F96" s="8">
        <f>E96*(1+M17)</f>
        <v>225500.83220275203</v>
      </c>
    </row>
    <row r="97" spans="1:6" x14ac:dyDescent="0.4">
      <c r="A97" s="21" t="s">
        <v>28</v>
      </c>
      <c r="B97" s="22">
        <v>150000</v>
      </c>
      <c r="C97" s="22">
        <v>150000</v>
      </c>
      <c r="D97" s="22">
        <v>150000</v>
      </c>
      <c r="E97" s="22">
        <v>150000</v>
      </c>
      <c r="F97" s="22">
        <v>150000</v>
      </c>
    </row>
    <row r="98" spans="1:6" x14ac:dyDescent="0.4">
      <c r="A98" s="23" t="s">
        <v>41</v>
      </c>
      <c r="B98" s="8">
        <f>(50000+150000)/2</f>
        <v>100000</v>
      </c>
      <c r="C98" s="8">
        <f t="shared" ref="C98:F98" si="6">(50000+150000)/2</f>
        <v>100000</v>
      </c>
      <c r="D98" s="8">
        <f t="shared" si="6"/>
        <v>100000</v>
      </c>
      <c r="E98" s="8">
        <f t="shared" si="6"/>
        <v>100000</v>
      </c>
      <c r="F98" s="8">
        <f t="shared" si="6"/>
        <v>100000</v>
      </c>
    </row>
    <row r="99" spans="1:6" x14ac:dyDescent="0.4">
      <c r="A99" s="21" t="s">
        <v>29</v>
      </c>
      <c r="B99" s="22">
        <f>B116</f>
        <v>153060</v>
      </c>
      <c r="C99" s="8">
        <f>B99*(1+J17)</f>
        <v>156733.44</v>
      </c>
      <c r="D99" s="8">
        <f>C99*(1+K17)</f>
        <v>160103.20896000002</v>
      </c>
      <c r="E99" s="8">
        <f>D99*(1+L17)</f>
        <v>163305.27313920003</v>
      </c>
      <c r="F99" s="8">
        <f>E99*(1+M17)</f>
        <v>167224.59969454084</v>
      </c>
    </row>
    <row r="100" spans="1:6" s="3" customFormat="1" x14ac:dyDescent="0.4">
      <c r="A100" s="21" t="s">
        <v>30</v>
      </c>
      <c r="B100" s="22">
        <f>(B108+50000)*(1+I17)</f>
        <v>184728</v>
      </c>
      <c r="C100" s="22">
        <f>B100*(1+J17)</f>
        <v>189161.47200000001</v>
      </c>
      <c r="D100" s="22">
        <f>C100*(1+K17)</f>
        <v>193228.44364800001</v>
      </c>
      <c r="E100" s="22">
        <f>D100*(1+L17)</f>
        <v>197093.01252096001</v>
      </c>
      <c r="F100" s="22">
        <f>E100*(1+M17)</f>
        <v>201823.24482146304</v>
      </c>
    </row>
    <row r="101" spans="1:6" x14ac:dyDescent="0.4">
      <c r="A101" s="24" t="s">
        <v>35</v>
      </c>
      <c r="B101" s="8">
        <v>100000</v>
      </c>
      <c r="C101" s="8">
        <v>100000</v>
      </c>
      <c r="D101" s="8">
        <v>100000</v>
      </c>
      <c r="E101" s="8">
        <v>100000</v>
      </c>
      <c r="F101" s="8">
        <v>100000</v>
      </c>
    </row>
    <row r="102" spans="1:6" x14ac:dyDescent="0.4">
      <c r="A102" s="24" t="s">
        <v>46</v>
      </c>
      <c r="B102" s="8">
        <f>((10000+50000)/2)*(1+I17)</f>
        <v>30960</v>
      </c>
      <c r="C102" s="8">
        <f>B102*(1+J17)</f>
        <v>31703.040000000001</v>
      </c>
      <c r="D102" s="8">
        <f>C102*(1+K17)</f>
        <v>32384.655360000004</v>
      </c>
      <c r="E102" s="8">
        <f>D102*(1+L17)</f>
        <v>33032.348467200005</v>
      </c>
      <c r="F102" s="8">
        <f>E102*(1+M17)</f>
        <v>33825.124830412809</v>
      </c>
    </row>
    <row r="103" spans="1:6" s="3" customFormat="1" x14ac:dyDescent="0.4">
      <c r="A103" s="21" t="s">
        <v>86</v>
      </c>
      <c r="B103" s="22">
        <f>200000*(1+I17)</f>
        <v>206400</v>
      </c>
      <c r="C103" s="8">
        <f>B103*(1+J17)</f>
        <v>211353.60000000001</v>
      </c>
      <c r="D103" s="8">
        <f>C103*(1+K17)</f>
        <v>215897.70240000001</v>
      </c>
      <c r="E103" s="8">
        <f>D103*(1+L17)</f>
        <v>220215.65644800002</v>
      </c>
      <c r="F103" s="8">
        <f>E103*(1+M17)</f>
        <v>225500.83220275203</v>
      </c>
    </row>
    <row r="104" spans="1:6" s="3" customFormat="1" x14ac:dyDescent="0.4">
      <c r="A104" s="25" t="s">
        <v>33</v>
      </c>
      <c r="B104" s="10">
        <f>SUM(B96:B103)</f>
        <v>1131548</v>
      </c>
      <c r="C104" s="10">
        <f>SUM(C96:C103)</f>
        <v>1150305.1520000002</v>
      </c>
      <c r="D104" s="10">
        <f>SUM(D96:D103)</f>
        <v>1167511.7127680001</v>
      </c>
      <c r="E104" s="10">
        <f>SUM(E96:E103)</f>
        <v>1183861.9470233603</v>
      </c>
      <c r="F104" s="10">
        <f>SUM(F96:F103)</f>
        <v>1203874.6337519207</v>
      </c>
    </row>
    <row r="105" spans="1:6" x14ac:dyDescent="0.4">
      <c r="A105" s="9"/>
      <c r="B105" s="9"/>
      <c r="C105" s="9"/>
      <c r="D105" s="9"/>
      <c r="E105" s="9"/>
      <c r="F105" s="9"/>
    </row>
    <row r="106" spans="1:6" x14ac:dyDescent="0.4">
      <c r="A106" s="3"/>
      <c r="B106" s="3"/>
      <c r="C106" s="3"/>
      <c r="D106" s="3"/>
      <c r="E106" s="3"/>
      <c r="F106" s="3"/>
    </row>
    <row r="107" spans="1:6" s="3" customFormat="1" x14ac:dyDescent="0.4">
      <c r="A107" s="26" t="s">
        <v>34</v>
      </c>
      <c r="B107" s="7"/>
      <c r="C107" s="7"/>
      <c r="D107" s="7"/>
      <c r="E107" s="7"/>
      <c r="F107" s="7"/>
    </row>
    <row r="108" spans="1:6" x14ac:dyDescent="0.4">
      <c r="A108" s="25" t="s">
        <v>36</v>
      </c>
      <c r="B108" s="10">
        <f>125000*(1+I17)</f>
        <v>129000</v>
      </c>
      <c r="C108" s="10">
        <f>B108*(1+J17)</f>
        <v>132096</v>
      </c>
      <c r="D108" s="10">
        <f>C108*(1+K17)</f>
        <v>134936.06400000001</v>
      </c>
      <c r="E108" s="10">
        <f>D108*(1+L17)</f>
        <v>137634.78528000001</v>
      </c>
      <c r="F108" s="10">
        <f>E108*(1+M17)</f>
        <v>140938.02012672002</v>
      </c>
    </row>
    <row r="109" spans="1:6" x14ac:dyDescent="0.4">
      <c r="A109" s="25" t="s">
        <v>37</v>
      </c>
      <c r="B109" s="10">
        <f>SUM(B110:B111)</f>
        <v>146440</v>
      </c>
      <c r="C109" s="10">
        <f t="shared" ref="C109:F109" si="7">SUM(C110:C111)</f>
        <v>147554.56</v>
      </c>
      <c r="D109" s="10">
        <f t="shared" si="7"/>
        <v>148576.98303999999</v>
      </c>
      <c r="E109" s="10">
        <f t="shared" si="7"/>
        <v>149548.52270080001</v>
      </c>
      <c r="F109" s="10">
        <f t="shared" si="7"/>
        <v>150737.68724561919</v>
      </c>
    </row>
    <row r="110" spans="1:6" ht="27.75" x14ac:dyDescent="0.4">
      <c r="A110" s="27" t="s">
        <v>38</v>
      </c>
      <c r="B110" s="8">
        <v>100000</v>
      </c>
      <c r="C110" s="8">
        <v>100000</v>
      </c>
      <c r="D110" s="8">
        <v>100000</v>
      </c>
      <c r="E110" s="8">
        <v>100000</v>
      </c>
      <c r="F110" s="8">
        <v>100000</v>
      </c>
    </row>
    <row r="111" spans="1:6" s="3" customFormat="1" x14ac:dyDescent="0.4">
      <c r="A111" s="27" t="s">
        <v>39</v>
      </c>
      <c r="B111" s="8">
        <f>45000*(1+I17)</f>
        <v>46440</v>
      </c>
      <c r="C111" s="8">
        <f>B111*(1+J17)</f>
        <v>47554.559999999998</v>
      </c>
      <c r="D111" s="8">
        <f>C111*(1+K17)</f>
        <v>48576.983039999999</v>
      </c>
      <c r="E111" s="8">
        <f>D111*(1+L17)</f>
        <v>49548.5227008</v>
      </c>
      <c r="F111" s="8">
        <f>E111*(1+M17)</f>
        <v>50737.6872456192</v>
      </c>
    </row>
    <row r="112" spans="1:6" x14ac:dyDescent="0.4">
      <c r="A112" s="25" t="s">
        <v>40</v>
      </c>
      <c r="B112" s="10">
        <f>SUM(B113:B115)</f>
        <v>409600</v>
      </c>
      <c r="C112" s="10">
        <f t="shared" ref="C112:F112" si="8">SUM(C113:C115)</f>
        <v>417030.40000000002</v>
      </c>
      <c r="D112" s="10">
        <f t="shared" si="8"/>
        <v>423846.55359999998</v>
      </c>
      <c r="E112" s="10">
        <f t="shared" si="8"/>
        <v>430323.48467200005</v>
      </c>
      <c r="F112" s="10">
        <f t="shared" si="8"/>
        <v>438251.24830412806</v>
      </c>
    </row>
    <row r="113" spans="1:9" x14ac:dyDescent="0.4">
      <c r="A113" s="27" t="s">
        <v>41</v>
      </c>
      <c r="B113" s="8">
        <f>(50000+150000)/2</f>
        <v>100000</v>
      </c>
      <c r="C113" s="8">
        <f t="shared" ref="C113:F113" si="9">(50000+150000)/2</f>
        <v>100000</v>
      </c>
      <c r="D113" s="8">
        <f t="shared" si="9"/>
        <v>100000</v>
      </c>
      <c r="E113" s="8">
        <f t="shared" si="9"/>
        <v>100000</v>
      </c>
      <c r="F113" s="8">
        <f t="shared" si="9"/>
        <v>100000</v>
      </c>
    </row>
    <row r="114" spans="1:9" s="3" customFormat="1" x14ac:dyDescent="0.4">
      <c r="A114" s="11" t="s">
        <v>42</v>
      </c>
      <c r="B114" s="8">
        <f>(100000)*(1+I17)</f>
        <v>103200</v>
      </c>
      <c r="C114" s="8">
        <f>B114*(1+J17)</f>
        <v>105676.8</v>
      </c>
      <c r="D114" s="8">
        <f>C114*(1+K17)</f>
        <v>107948.8512</v>
      </c>
      <c r="E114" s="8">
        <f>D114*(1+L17)</f>
        <v>110107.82822400001</v>
      </c>
      <c r="F114" s="8">
        <f>E114*(1+M17)</f>
        <v>112750.41610137602</v>
      </c>
    </row>
    <row r="115" spans="1:9" s="3" customFormat="1" x14ac:dyDescent="0.4">
      <c r="A115" s="11" t="s">
        <v>43</v>
      </c>
      <c r="B115" s="8">
        <f>(200000)*(1+I17)</f>
        <v>206400</v>
      </c>
      <c r="C115" s="8">
        <f>B115*(1+J17)</f>
        <v>211353.60000000001</v>
      </c>
      <c r="D115" s="8">
        <f>C115*(1+K17)</f>
        <v>215897.70240000001</v>
      </c>
      <c r="E115" s="8">
        <f>D115*(1+L17)</f>
        <v>220215.65644800002</v>
      </c>
      <c r="F115" s="8">
        <f>E115*(1+M17)</f>
        <v>225500.83220275203</v>
      </c>
    </row>
    <row r="116" spans="1:9" s="3" customFormat="1" x14ac:dyDescent="0.4">
      <c r="A116" s="9" t="s">
        <v>29</v>
      </c>
      <c r="B116" s="10">
        <f>SUM(B117:B118)</f>
        <v>153060</v>
      </c>
      <c r="C116" s="10">
        <f t="shared" ref="C116:F116" si="10">SUM(C117:C118)</f>
        <v>153493.44</v>
      </c>
      <c r="D116" s="10">
        <f t="shared" si="10"/>
        <v>153891.04895999999</v>
      </c>
      <c r="E116" s="10">
        <f t="shared" si="10"/>
        <v>154268.8699392</v>
      </c>
      <c r="F116" s="10">
        <f t="shared" si="10"/>
        <v>154731.32281774079</v>
      </c>
    </row>
    <row r="117" spans="1:9" x14ac:dyDescent="0.4">
      <c r="A117" s="11" t="s">
        <v>44</v>
      </c>
      <c r="B117" s="8">
        <f>((10000+25000)/2)*(1+I17)</f>
        <v>18060</v>
      </c>
      <c r="C117" s="8">
        <f>B117*(1+J17)</f>
        <v>18493.439999999999</v>
      </c>
      <c r="D117" s="8">
        <f>C117*(1+K17)</f>
        <v>18891.04896</v>
      </c>
      <c r="E117" s="8">
        <f>D117*(1+L17)</f>
        <v>19268.869939200002</v>
      </c>
      <c r="F117" s="8">
        <f>E117*(1+M17)</f>
        <v>19731.322817740802</v>
      </c>
    </row>
    <row r="118" spans="1:9" s="3" customFormat="1" x14ac:dyDescent="0.4">
      <c r="A118" s="11" t="s">
        <v>45</v>
      </c>
      <c r="B118" s="8">
        <f>(20000+250000)/2</f>
        <v>135000</v>
      </c>
      <c r="C118" s="8">
        <f t="shared" ref="C118:F118" si="11">(20000+250000)/2</f>
        <v>135000</v>
      </c>
      <c r="D118" s="8">
        <f t="shared" si="11"/>
        <v>135000</v>
      </c>
      <c r="E118" s="8">
        <f t="shared" si="11"/>
        <v>135000</v>
      </c>
      <c r="F118" s="8">
        <f t="shared" si="11"/>
        <v>135000</v>
      </c>
    </row>
    <row r="119" spans="1:9" x14ac:dyDescent="0.4">
      <c r="A119" s="9" t="s">
        <v>46</v>
      </c>
      <c r="B119" s="10">
        <f>B102</f>
        <v>30960</v>
      </c>
      <c r="C119" s="10">
        <f>C102</f>
        <v>31703.040000000001</v>
      </c>
      <c r="D119" s="10">
        <f>D102</f>
        <v>32384.655360000004</v>
      </c>
      <c r="E119" s="10">
        <f>E102</f>
        <v>33032.348467200005</v>
      </c>
      <c r="F119" s="10">
        <f>F102</f>
        <v>33825.124830412809</v>
      </c>
    </row>
    <row r="120" spans="1:9" x14ac:dyDescent="0.4">
      <c r="A120" s="9" t="s">
        <v>31</v>
      </c>
      <c r="B120" s="10">
        <f>((50000+250000)/2)*(1+I17)</f>
        <v>154800</v>
      </c>
      <c r="C120" s="10">
        <f>B120*(1+J17)</f>
        <v>158515.20000000001</v>
      </c>
      <c r="D120" s="10">
        <f>C120*(1+K17)</f>
        <v>161923.27680000002</v>
      </c>
      <c r="E120" s="10">
        <f>D120*(1+L17)</f>
        <v>165161.74233600002</v>
      </c>
      <c r="F120" s="10">
        <f>E120*(1+M17)</f>
        <v>169125.62415206403</v>
      </c>
    </row>
    <row r="121" spans="1:9" x14ac:dyDescent="0.4">
      <c r="A121" s="9" t="s">
        <v>47</v>
      </c>
      <c r="B121" s="10">
        <f>B108+B109+B112+B116+B119+B120</f>
        <v>1023860</v>
      </c>
      <c r="C121" s="10">
        <f t="shared" ref="C121:F121" si="12">C108+C109+C112+C116+C119+C120</f>
        <v>1040392.6399999999</v>
      </c>
      <c r="D121" s="10">
        <f t="shared" si="12"/>
        <v>1055558.58176</v>
      </c>
      <c r="E121" s="10">
        <f t="shared" si="12"/>
        <v>1069969.7533952002</v>
      </c>
      <c r="F121" s="10">
        <f t="shared" si="12"/>
        <v>1087609.0274766849</v>
      </c>
    </row>
    <row r="122" spans="1:9" x14ac:dyDescent="0.4">
      <c r="A122" s="7"/>
      <c r="B122" s="7"/>
      <c r="C122" s="7"/>
      <c r="D122" s="7"/>
      <c r="E122" s="7"/>
      <c r="F122" s="7"/>
    </row>
    <row r="123" spans="1:9" x14ac:dyDescent="0.4">
      <c r="A123" s="9" t="s">
        <v>48</v>
      </c>
      <c r="B123" s="10">
        <f>B121+B104</f>
        <v>2155408</v>
      </c>
      <c r="C123" s="10">
        <f t="shared" ref="C123:F123" si="13">C121+C104</f>
        <v>2190697.7920000004</v>
      </c>
      <c r="D123" s="10">
        <f t="shared" si="13"/>
        <v>2223070.2945280001</v>
      </c>
      <c r="E123" s="10">
        <f t="shared" si="13"/>
        <v>2253831.7004185608</v>
      </c>
      <c r="F123" s="10">
        <f t="shared" si="13"/>
        <v>2291483.6612286055</v>
      </c>
    </row>
    <row r="125" spans="1:9" x14ac:dyDescent="0.4">
      <c r="A125" s="33" t="s">
        <v>116</v>
      </c>
      <c r="B125" s="7" t="s">
        <v>134</v>
      </c>
      <c r="H125" t="s">
        <v>117</v>
      </c>
      <c r="I125" s="4">
        <v>1.4999999999999999E-2</v>
      </c>
    </row>
    <row r="126" spans="1:9" x14ac:dyDescent="0.4">
      <c r="A126" s="9" t="s">
        <v>115</v>
      </c>
      <c r="B126" s="7"/>
      <c r="H126" t="s">
        <v>118</v>
      </c>
      <c r="I126" s="5">
        <v>0.02</v>
      </c>
    </row>
    <row r="127" spans="1:9" x14ac:dyDescent="0.4">
      <c r="A127" s="7" t="s">
        <v>117</v>
      </c>
      <c r="B127" s="8">
        <v>15000</v>
      </c>
      <c r="H127" t="s">
        <v>119</v>
      </c>
      <c r="I127" s="5">
        <v>0.03</v>
      </c>
    </row>
    <row r="128" spans="1:9" x14ac:dyDescent="0.4">
      <c r="A128" s="7" t="s">
        <v>126</v>
      </c>
      <c r="B128" s="8">
        <v>15000</v>
      </c>
      <c r="H128" t="s">
        <v>121</v>
      </c>
      <c r="I128" s="5">
        <v>0.15</v>
      </c>
    </row>
    <row r="129" spans="1:9" x14ac:dyDescent="0.4">
      <c r="A129" s="7" t="s">
        <v>120</v>
      </c>
      <c r="B129" s="8">
        <v>75000</v>
      </c>
      <c r="H129" t="s">
        <v>143</v>
      </c>
      <c r="I129" s="5">
        <v>0.19</v>
      </c>
    </row>
    <row r="130" spans="1:9" x14ac:dyDescent="0.4">
      <c r="A130" s="9" t="s">
        <v>122</v>
      </c>
      <c r="B130" s="8"/>
      <c r="H130" t="s">
        <v>125</v>
      </c>
      <c r="I130" s="4">
        <v>6.2E-2</v>
      </c>
    </row>
    <row r="131" spans="1:9" x14ac:dyDescent="0.4">
      <c r="A131" s="7" t="s">
        <v>123</v>
      </c>
      <c r="B131" s="8">
        <v>52500</v>
      </c>
      <c r="H131" t="s">
        <v>127</v>
      </c>
      <c r="I131" s="4">
        <v>4.4999999999999998E-2</v>
      </c>
    </row>
    <row r="132" spans="1:9" x14ac:dyDescent="0.4">
      <c r="A132" s="7" t="s">
        <v>153</v>
      </c>
      <c r="B132" s="8">
        <v>52500</v>
      </c>
      <c r="H132" t="s">
        <v>131</v>
      </c>
      <c r="I132" s="5">
        <v>7.0000000000000007E-2</v>
      </c>
    </row>
    <row r="133" spans="1:9" x14ac:dyDescent="0.4">
      <c r="A133" s="9" t="s">
        <v>128</v>
      </c>
      <c r="B133" s="8"/>
      <c r="C133" s="2"/>
      <c r="D133" s="2"/>
      <c r="E133" s="2"/>
      <c r="F133" s="2"/>
      <c r="H133" t="s">
        <v>132</v>
      </c>
      <c r="I133" s="5">
        <v>0.06</v>
      </c>
    </row>
    <row r="134" spans="1:9" x14ac:dyDescent="0.4">
      <c r="A134" s="7" t="s">
        <v>130</v>
      </c>
      <c r="B134" s="8">
        <v>45000</v>
      </c>
    </row>
    <row r="135" spans="1:9" x14ac:dyDescent="0.4">
      <c r="A135" s="7" t="s">
        <v>133</v>
      </c>
      <c r="B135" s="8">
        <v>45000</v>
      </c>
    </row>
    <row r="137" spans="1:9" x14ac:dyDescent="0.4">
      <c r="A137" s="7" t="s">
        <v>135</v>
      </c>
      <c r="B137" s="7" t="s">
        <v>134</v>
      </c>
      <c r="H137" t="s">
        <v>137</v>
      </c>
      <c r="I137" s="4">
        <v>1.7999999999999999E-2</v>
      </c>
    </row>
    <row r="138" spans="1:9" x14ac:dyDescent="0.4">
      <c r="A138" s="9" t="s">
        <v>115</v>
      </c>
      <c r="B138" s="7"/>
      <c r="H138" t="s">
        <v>139</v>
      </c>
      <c r="I138" s="5">
        <v>0.02</v>
      </c>
    </row>
    <row r="139" spans="1:9" x14ac:dyDescent="0.4">
      <c r="A139" s="7" t="s">
        <v>136</v>
      </c>
      <c r="B139" s="8">
        <f>30000/2</f>
        <v>15000</v>
      </c>
      <c r="H139" t="s">
        <v>144</v>
      </c>
      <c r="I139" s="4">
        <v>3.1E-2</v>
      </c>
    </row>
    <row r="140" spans="1:9" x14ac:dyDescent="0.4">
      <c r="A140" s="7" t="s">
        <v>138</v>
      </c>
      <c r="B140" s="8">
        <f>30000/2</f>
        <v>15000</v>
      </c>
      <c r="H140" t="s">
        <v>141</v>
      </c>
      <c r="I140" s="5">
        <v>0.15</v>
      </c>
    </row>
    <row r="141" spans="1:9" x14ac:dyDescent="0.4">
      <c r="A141" s="7" t="s">
        <v>140</v>
      </c>
      <c r="B141" s="8">
        <v>75000</v>
      </c>
      <c r="H141" t="s">
        <v>142</v>
      </c>
      <c r="I141" s="5">
        <v>0.19</v>
      </c>
    </row>
    <row r="142" spans="1:9" x14ac:dyDescent="0.4">
      <c r="A142" s="9" t="s">
        <v>122</v>
      </c>
      <c r="B142" s="8"/>
      <c r="H142" t="s">
        <v>146</v>
      </c>
      <c r="I142" s="4">
        <v>3.5000000000000003E-2</v>
      </c>
    </row>
    <row r="143" spans="1:9" x14ac:dyDescent="0.4">
      <c r="A143" s="7" t="s">
        <v>145</v>
      </c>
      <c r="B143" s="8">
        <f>105000/2</f>
        <v>52500</v>
      </c>
      <c r="H143" t="s">
        <v>148</v>
      </c>
      <c r="I143" s="4">
        <v>5.8000000000000003E-2</v>
      </c>
    </row>
    <row r="144" spans="1:9" x14ac:dyDescent="0.4">
      <c r="A144" s="7" t="s">
        <v>147</v>
      </c>
      <c r="B144" s="8">
        <f>105000/2</f>
        <v>52500</v>
      </c>
      <c r="H144" t="s">
        <v>129</v>
      </c>
      <c r="I144" s="4">
        <v>7.1999999999999995E-2</v>
      </c>
    </row>
    <row r="145" spans="1:9" x14ac:dyDescent="0.4">
      <c r="A145" s="9" t="s">
        <v>128</v>
      </c>
      <c r="B145" s="8"/>
      <c r="H145" t="s">
        <v>149</v>
      </c>
      <c r="I145" s="5">
        <v>0.08</v>
      </c>
    </row>
    <row r="146" spans="1:9" x14ac:dyDescent="0.4">
      <c r="A146" s="7" t="s">
        <v>130</v>
      </c>
      <c r="B146" s="8">
        <v>45000</v>
      </c>
    </row>
    <row r="147" spans="1:9" x14ac:dyDescent="0.4">
      <c r="A147" s="7" t="s">
        <v>149</v>
      </c>
      <c r="B147" s="8">
        <v>45000</v>
      </c>
      <c r="H147" t="s">
        <v>63</v>
      </c>
      <c r="I147" s="1">
        <v>-200000</v>
      </c>
    </row>
    <row r="148" spans="1:9" x14ac:dyDescent="0.4">
      <c r="H148" t="s">
        <v>64</v>
      </c>
      <c r="I148" s="1">
        <v>250000</v>
      </c>
    </row>
    <row r="149" spans="1:9" x14ac:dyDescent="0.4">
      <c r="A149" s="9" t="s">
        <v>150</v>
      </c>
      <c r="B149" s="8"/>
      <c r="C149" s="8"/>
      <c r="D149" s="8"/>
      <c r="E149" s="8"/>
      <c r="F149" s="8"/>
      <c r="H149" t="s">
        <v>85</v>
      </c>
      <c r="I149" s="1">
        <f>500000+I147</f>
        <v>300000</v>
      </c>
    </row>
    <row r="150" spans="1:9" x14ac:dyDescent="0.4">
      <c r="A150" s="9" t="s">
        <v>151</v>
      </c>
      <c r="B150" s="8"/>
      <c r="C150" s="8"/>
      <c r="D150" s="8"/>
      <c r="E150" s="8"/>
      <c r="F150" s="8"/>
      <c r="H150" t="s">
        <v>26</v>
      </c>
      <c r="I150" s="1">
        <v>300000</v>
      </c>
    </row>
    <row r="151" spans="1:9" x14ac:dyDescent="0.4">
      <c r="A151" s="7" t="s">
        <v>117</v>
      </c>
      <c r="B151" s="8">
        <f>B127*I125*(1-I16)</f>
        <v>173.25</v>
      </c>
      <c r="C151" s="8"/>
      <c r="D151" s="8"/>
      <c r="E151" s="8"/>
      <c r="F151" s="8"/>
    </row>
    <row r="152" spans="1:9" x14ac:dyDescent="0.4">
      <c r="A152" s="7" t="s">
        <v>126</v>
      </c>
      <c r="B152" s="8">
        <f>B128*I126*(1-I16)</f>
        <v>231</v>
      </c>
      <c r="C152" s="8"/>
      <c r="D152" s="8"/>
      <c r="E152" s="8"/>
      <c r="F152" s="8"/>
    </row>
    <row r="153" spans="1:9" x14ac:dyDescent="0.4">
      <c r="A153" s="7" t="s">
        <v>120</v>
      </c>
      <c r="B153" s="8"/>
      <c r="C153" s="8">
        <f>(B129*(1+I127)^2-B129)*(1-I128)*(1-I129)</f>
        <v>3144.7237500000001</v>
      </c>
      <c r="D153" s="8"/>
      <c r="E153" s="8"/>
      <c r="F153" s="8"/>
    </row>
    <row r="154" spans="1:9" x14ac:dyDescent="0.4">
      <c r="A154" s="9" t="s">
        <v>122</v>
      </c>
      <c r="B154" s="8"/>
      <c r="C154" s="8"/>
      <c r="D154" s="8"/>
      <c r="E154" s="8"/>
      <c r="F154" s="8"/>
    </row>
    <row r="155" spans="1:9" x14ac:dyDescent="0.4">
      <c r="A155" s="7" t="s">
        <v>152</v>
      </c>
      <c r="B155" s="8"/>
      <c r="C155" s="8"/>
      <c r="E155" s="8">
        <f>(B131*(1+I130)^4 -B131)*(1-J$16)</f>
        <v>10996.897170982806</v>
      </c>
      <c r="F155" s="8"/>
    </row>
    <row r="156" spans="1:9" x14ac:dyDescent="0.4">
      <c r="A156" s="7" t="s">
        <v>124</v>
      </c>
      <c r="B156" s="8"/>
      <c r="C156" s="8"/>
      <c r="D156" s="8">
        <f>(B132*(1+I131)^3 -B132)*(1-J$16)</f>
        <v>5706.6406031249908</v>
      </c>
      <c r="F156" s="8"/>
    </row>
    <row r="157" spans="1:9" x14ac:dyDescent="0.4">
      <c r="A157" s="9" t="s">
        <v>128</v>
      </c>
      <c r="B157" s="8"/>
      <c r="C157" s="8"/>
      <c r="D157" s="8"/>
      <c r="E157" s="8"/>
      <c r="F157" s="8"/>
    </row>
    <row r="158" spans="1:9" x14ac:dyDescent="0.4">
      <c r="A158" s="7" t="s">
        <v>130</v>
      </c>
      <c r="B158" s="8"/>
      <c r="C158" s="8"/>
      <c r="D158" s="8"/>
      <c r="E158" s="8"/>
      <c r="F158" s="34">
        <f>(B134*(1+I132)^5 -B134)*(1-J$16)</f>
        <v>13948.417468755008</v>
      </c>
    </row>
    <row r="159" spans="1:9" x14ac:dyDescent="0.4">
      <c r="A159" s="7" t="s">
        <v>133</v>
      </c>
      <c r="B159" s="8"/>
      <c r="C159" s="8"/>
      <c r="D159" s="8"/>
      <c r="E159" s="8"/>
      <c r="F159" s="34">
        <f>(B135*(1+I133)^5 -B135)*(1-J$16)</f>
        <v>11719.51626384002</v>
      </c>
    </row>
    <row r="160" spans="1:9" s="3" customFormat="1" x14ac:dyDescent="0.4">
      <c r="A160" s="9" t="s">
        <v>156</v>
      </c>
      <c r="B160" s="33">
        <f>SUM(B151:B159)</f>
        <v>404.25</v>
      </c>
      <c r="C160" s="33">
        <f t="shared" ref="C160:F160" si="14">SUM(C151:C159)</f>
        <v>3144.7237500000001</v>
      </c>
      <c r="D160" s="33">
        <f t="shared" si="14"/>
        <v>5706.6406031249908</v>
      </c>
      <c r="E160" s="33">
        <f t="shared" si="14"/>
        <v>10996.897170982806</v>
      </c>
      <c r="F160" s="33">
        <f t="shared" si="14"/>
        <v>25667.933732595026</v>
      </c>
    </row>
    <row r="161" spans="1:6" x14ac:dyDescent="0.4">
      <c r="A161" s="35" t="s">
        <v>158</v>
      </c>
      <c r="B161" s="36">
        <f>B160*$I$6</f>
        <v>1657.425</v>
      </c>
      <c r="C161" s="36">
        <f t="shared" ref="C161:F161" si="15">C160*$I$6</f>
        <v>12893.367375</v>
      </c>
      <c r="D161" s="36">
        <f t="shared" si="15"/>
        <v>23397.226472812461</v>
      </c>
      <c r="E161" s="36">
        <f t="shared" si="15"/>
        <v>45087.2784010295</v>
      </c>
      <c r="F161" s="36">
        <f t="shared" si="15"/>
        <v>105238.5283036396</v>
      </c>
    </row>
    <row r="164" spans="1:6" x14ac:dyDescent="0.4">
      <c r="A164" s="9" t="s">
        <v>154</v>
      </c>
      <c r="B164" s="8"/>
      <c r="C164" s="8"/>
      <c r="D164" s="8"/>
      <c r="E164" s="8"/>
      <c r="F164" s="8"/>
    </row>
    <row r="165" spans="1:6" x14ac:dyDescent="0.4">
      <c r="A165" s="9" t="s">
        <v>115</v>
      </c>
      <c r="B165" s="8"/>
      <c r="C165" s="8"/>
      <c r="D165" s="8"/>
      <c r="E165" s="8"/>
      <c r="F165" s="8"/>
    </row>
    <row r="166" spans="1:6" x14ac:dyDescent="0.4">
      <c r="A166" s="7" t="s">
        <v>136</v>
      </c>
      <c r="B166" s="8">
        <f>B139*I137*(1-I16)</f>
        <v>207.9</v>
      </c>
      <c r="C166" s="8"/>
      <c r="D166" s="8"/>
      <c r="E166" s="8"/>
      <c r="F166" s="8"/>
    </row>
    <row r="167" spans="1:6" x14ac:dyDescent="0.4">
      <c r="A167" s="7" t="s">
        <v>138</v>
      </c>
      <c r="B167" s="8">
        <f>B140*I138*(1-I16)</f>
        <v>231</v>
      </c>
      <c r="C167" s="8"/>
      <c r="D167" s="8"/>
      <c r="E167" s="8"/>
      <c r="F167" s="8"/>
    </row>
    <row r="168" spans="1:6" x14ac:dyDescent="0.4">
      <c r="A168" s="7" t="s">
        <v>140</v>
      </c>
      <c r="C168" s="8">
        <f>(B141*(1+I139)^2-B141)*(1-I16)</f>
        <v>3635.9977499999868</v>
      </c>
      <c r="D168" s="8"/>
      <c r="E168" s="8"/>
      <c r="F168" s="8"/>
    </row>
    <row r="169" spans="1:6" x14ac:dyDescent="0.4">
      <c r="A169" s="9" t="s">
        <v>122</v>
      </c>
      <c r="B169" s="8"/>
      <c r="C169" s="8"/>
      <c r="D169" s="8"/>
      <c r="E169" s="8"/>
      <c r="F169" s="8"/>
    </row>
    <row r="170" spans="1:6" x14ac:dyDescent="0.4">
      <c r="A170" s="7" t="s">
        <v>145</v>
      </c>
      <c r="B170" s="8"/>
      <c r="C170" s="8"/>
      <c r="D170" s="8">
        <f>(B143*(1+I142)-B143)*(1-I140)*(1-I141)</f>
        <v>1265.1187499999951</v>
      </c>
      <c r="E170" s="8"/>
      <c r="F170" s="8"/>
    </row>
    <row r="171" spans="1:6" x14ac:dyDescent="0.4">
      <c r="A171" s="7" t="s">
        <v>147</v>
      </c>
      <c r="B171" s="8"/>
      <c r="C171" s="8"/>
      <c r="E171" s="8">
        <f>(B144*(1+I143)^4-B144)*(1-I16)</f>
        <v>10226.545279750799</v>
      </c>
      <c r="F171" s="8"/>
    </row>
    <row r="172" spans="1:6" x14ac:dyDescent="0.4">
      <c r="A172" s="9" t="s">
        <v>128</v>
      </c>
      <c r="B172" s="8"/>
      <c r="C172" s="8"/>
      <c r="D172" s="8"/>
      <c r="E172" s="8"/>
      <c r="F172" s="8"/>
    </row>
    <row r="173" spans="1:6" x14ac:dyDescent="0.4">
      <c r="A173" s="7" t="s">
        <v>130</v>
      </c>
      <c r="B173" s="8"/>
      <c r="C173" s="8"/>
      <c r="D173" s="8"/>
      <c r="E173" s="8"/>
      <c r="F173" s="8">
        <f>(B146*(1+I144)^5-B146)*(1-I16)</f>
        <v>14404.30937244797</v>
      </c>
    </row>
    <row r="174" spans="1:6" x14ac:dyDescent="0.4">
      <c r="A174" s="7" t="s">
        <v>149</v>
      </c>
      <c r="B174" s="8"/>
      <c r="C174" s="8"/>
      <c r="D174" s="8"/>
      <c r="E174" s="8"/>
      <c r="F174" s="8">
        <f>(B147*(1+I145)^5-B147)*(1-I16)</f>
        <v>16262.217861120012</v>
      </c>
    </row>
    <row r="175" spans="1:6" s="3" customFormat="1" x14ac:dyDescent="0.4">
      <c r="A175" s="9" t="s">
        <v>155</v>
      </c>
      <c r="B175" s="33">
        <f>SUM(B166:B174)</f>
        <v>438.9</v>
      </c>
      <c r="C175" s="33">
        <f t="shared" ref="C175:F175" si="16">SUM(C166:C174)</f>
        <v>3635.9977499999868</v>
      </c>
      <c r="D175" s="33">
        <f t="shared" si="16"/>
        <v>1265.1187499999951</v>
      </c>
      <c r="E175" s="33">
        <f t="shared" si="16"/>
        <v>10226.545279750799</v>
      </c>
      <c r="F175" s="33">
        <f t="shared" si="16"/>
        <v>30666.527233567984</v>
      </c>
    </row>
    <row r="176" spans="1:6" x14ac:dyDescent="0.4">
      <c r="A176" s="35" t="s">
        <v>157</v>
      </c>
      <c r="B176" s="36">
        <f>B175*$I$5</f>
        <v>2084.7750000000001</v>
      </c>
      <c r="C176" s="36">
        <f t="shared" ref="C176:F176" si="17">C175*$I$5</f>
        <v>17270.989312499936</v>
      </c>
      <c r="D176" s="36">
        <f t="shared" si="17"/>
        <v>6009.3140624999769</v>
      </c>
      <c r="E176" s="36">
        <f t="shared" si="17"/>
        <v>48576.090078816291</v>
      </c>
      <c r="F176" s="36">
        <f t="shared" si="17"/>
        <v>145666.00435944792</v>
      </c>
    </row>
    <row r="178" spans="1:6" x14ac:dyDescent="0.4">
      <c r="A178" s="3" t="s">
        <v>168</v>
      </c>
      <c r="B178" s="29">
        <f>B48+B161+B176</f>
        <v>2158851.2999999993</v>
      </c>
      <c r="C178" s="29">
        <f t="shared" ref="C178:F178" si="18">C48+C161+C176</f>
        <v>2198821.6066874997</v>
      </c>
      <c r="D178" s="29">
        <f t="shared" si="18"/>
        <v>2266626.2260153121</v>
      </c>
      <c r="E178" s="29">
        <f t="shared" si="18"/>
        <v>2366499.5852178456</v>
      </c>
      <c r="F178" s="29">
        <f t="shared" si="18"/>
        <v>2670095.3687215359</v>
      </c>
    </row>
    <row r="179" spans="1:6" x14ac:dyDescent="0.4">
      <c r="A179" s="3" t="s">
        <v>170</v>
      </c>
      <c r="B179" s="29">
        <f>B123-B178</f>
        <v>-3443.2999999993481</v>
      </c>
      <c r="C179" s="29">
        <f t="shared" ref="C179:F179" si="19">C123-C178</f>
        <v>-8123.8146874993108</v>
      </c>
      <c r="D179" s="29">
        <f t="shared" si="19"/>
        <v>-43555.931487312075</v>
      </c>
      <c r="E179" s="29">
        <f t="shared" si="19"/>
        <v>-112667.88479928486</v>
      </c>
      <c r="F179" s="29">
        <f t="shared" si="19"/>
        <v>-378611.70749293035</v>
      </c>
    </row>
    <row r="182" spans="1:6" x14ac:dyDescent="0.4">
      <c r="A182" s="9" t="s">
        <v>159</v>
      </c>
      <c r="B182" s="7"/>
      <c r="C182" s="7"/>
    </row>
    <row r="183" spans="1:6" x14ac:dyDescent="0.4">
      <c r="A183" s="9" t="s">
        <v>160</v>
      </c>
      <c r="B183" s="9" t="s">
        <v>162</v>
      </c>
      <c r="C183" s="33" t="s">
        <v>174</v>
      </c>
    </row>
    <row r="184" spans="1:6" ht="111" x14ac:dyDescent="0.4">
      <c r="A184" s="30" t="s">
        <v>161</v>
      </c>
      <c r="B184" s="37" t="s">
        <v>163</v>
      </c>
      <c r="C184" s="37" t="s">
        <v>173</v>
      </c>
    </row>
    <row r="185" spans="1:6" ht="124.9" x14ac:dyDescent="0.4">
      <c r="A185" s="37" t="s">
        <v>166</v>
      </c>
      <c r="B185" s="37" t="s">
        <v>172</v>
      </c>
      <c r="C185" s="7"/>
    </row>
    <row r="186" spans="1:6" ht="166.5" x14ac:dyDescent="0.4">
      <c r="A186" s="37" t="s">
        <v>169</v>
      </c>
      <c r="B186" s="37" t="s">
        <v>171</v>
      </c>
      <c r="C186" s="7"/>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6BA79-D86F-4152-9538-D9228F89FDC4}">
  <dimension ref="A1"/>
  <sheetViews>
    <sheetView workbookViewId="0">
      <selection sqref="A1:F56"/>
    </sheetView>
  </sheetViews>
  <sheetFormatPr defaultRowHeight="13.9" x14ac:dyDescent="0.4"/>
  <cols>
    <col min="1" max="4" width="9.0664062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 hal tian luo</dc:creator>
  <cp:lastModifiedBy>luo hal tian luo</cp:lastModifiedBy>
  <dcterms:created xsi:type="dcterms:W3CDTF">2015-06-05T18:19:34Z</dcterms:created>
  <dcterms:modified xsi:type="dcterms:W3CDTF">2025-01-19T15:40:35Z</dcterms:modified>
</cp:coreProperties>
</file>