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thomas/Documents/Financial modelling/"/>
    </mc:Choice>
  </mc:AlternateContent>
  <xr:revisionPtr revIDLastSave="0" documentId="8_{FEADF0D6-507D-8F49-978C-83CF4C04E09B}" xr6:coauthVersionLast="47" xr6:coauthVersionMax="47" xr10:uidLastSave="{00000000-0000-0000-0000-000000000000}"/>
  <bookViews>
    <workbookView xWindow="0" yWindow="520" windowWidth="28800" windowHeight="15800" firstSheet="1" activeTab="11" xr2:uid="{66B35A44-5DE0-CD4A-AF2E-31968E68FB73}"/>
  </bookViews>
  <sheets>
    <sheet name="Forecasted sales" sheetId="1" r:id="rId1"/>
    <sheet name="Costs without VAT" sheetId="3" r:id="rId2"/>
    <sheet name="Investment budget" sheetId="4" r:id="rId3"/>
    <sheet name="Investment in WC budget" sheetId="6" r:id="rId4"/>
    <sheet name="Depreciation" sheetId="5" r:id="rId5"/>
    <sheet name="VAT" sheetId="7" r:id="rId6"/>
    <sheet name="Investment coverage" sheetId="21" state="hidden" r:id="rId7"/>
    <sheet name="Investment Financial Indicators" sheetId="11" state="hidden" r:id="rId8"/>
    <sheet name="Map of expenses" sheetId="14" r:id="rId9"/>
    <sheet name="Income Statement (Predicted)" sheetId="9" r:id="rId10"/>
    <sheet name="Financing options" sheetId="12" r:id="rId11"/>
    <sheet name="Project cash flow" sheetId="2" r:id="rId12"/>
    <sheet name="Invest. Coverage" sheetId="22" r:id="rId13"/>
    <sheet name="Statement of Financial Position" sheetId="10" r:id="rId14"/>
    <sheet name="Financial Indicators" sheetId="18" r:id="rId15"/>
    <sheet name="Sensitivity analysis" sheetId="17" r:id="rId16"/>
    <sheet name="Activity Schedule" sheetId="19" r:id="rId17"/>
    <sheet name="CPM and PERT" sheetId="20" r:id="rId18"/>
    <sheet name="Sheet2" sheetId="24" r:id="rId19"/>
    <sheet name="Sheet1" sheetId="23" r:id="rId20"/>
  </sheets>
  <externalReferences>
    <externalReference r:id="rId21"/>
  </externalReferences>
  <definedNames>
    <definedName name="V">'Project cash flow'!$C$45</definedName>
    <definedName name="Valor_Atual_Líquido__V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9" i="2"/>
  <c r="D54" i="2"/>
  <c r="E6" i="2"/>
  <c r="M109" i="2"/>
  <c r="H9" i="2" l="1"/>
  <c r="F6" i="2"/>
  <c r="G6" i="2" s="1"/>
  <c r="H6" i="2" s="1"/>
  <c r="I6" i="2" s="1"/>
  <c r="D36" i="2"/>
  <c r="Q179" i="2"/>
  <c r="R179" i="2" s="1"/>
  <c r="S179" i="2" s="1"/>
  <c r="T179" i="2" s="1"/>
  <c r="U179" i="2" s="1"/>
  <c r="V179" i="2" s="1"/>
  <c r="P157" i="2"/>
  <c r="D27" i="1"/>
  <c r="O179" i="2"/>
  <c r="N179" i="2" s="1"/>
  <c r="J10" i="10"/>
  <c r="K10" i="10"/>
  <c r="M10" i="10"/>
  <c r="N10" i="10"/>
  <c r="B27" i="7"/>
  <c r="A21" i="7"/>
  <c r="B21" i="7"/>
  <c r="C16" i="7"/>
  <c r="C23" i="7" s="1"/>
  <c r="C24" i="7" s="1"/>
  <c r="D16" i="7"/>
  <c r="D23" i="7" s="1"/>
  <c r="D24" i="7" s="1"/>
  <c r="E16" i="7"/>
  <c r="E23" i="7" s="1"/>
  <c r="E24" i="7" s="1"/>
  <c r="F16" i="7"/>
  <c r="F23" i="7" s="1"/>
  <c r="F24" i="7" s="1"/>
  <c r="G16" i="7"/>
  <c r="G23" i="7" s="1"/>
  <c r="G24" i="7" s="1"/>
  <c r="B16" i="7"/>
  <c r="B23" i="7" s="1"/>
  <c r="B24" i="7" s="1"/>
  <c r="D20" i="7"/>
  <c r="E20" i="7"/>
  <c r="F20" i="7"/>
  <c r="G20" i="7"/>
  <c r="B20" i="7"/>
  <c r="B18" i="7" s="1"/>
  <c r="B22" i="7" s="1"/>
  <c r="C20" i="7"/>
  <c r="C18" i="7" s="1"/>
  <c r="C22" i="7" s="1"/>
  <c r="B12" i="7"/>
  <c r="B13" i="7"/>
  <c r="B14" i="7"/>
  <c r="B19" i="7"/>
  <c r="D19" i="7"/>
  <c r="D18" i="7" s="1"/>
  <c r="D22" i="7" s="1"/>
  <c r="E19" i="7"/>
  <c r="E18" i="7" s="1"/>
  <c r="E22" i="7" s="1"/>
  <c r="F19" i="7"/>
  <c r="F18" i="7" s="1"/>
  <c r="F22" i="7" s="1"/>
  <c r="G19" i="7"/>
  <c r="G18" i="7" s="1"/>
  <c r="G22" i="7" s="1"/>
  <c r="C19" i="7"/>
  <c r="C15" i="7"/>
  <c r="D15" i="7"/>
  <c r="E15" i="7"/>
  <c r="F15" i="7"/>
  <c r="G15" i="7"/>
  <c r="B15" i="7"/>
  <c r="D14" i="7"/>
  <c r="F14" i="7"/>
  <c r="G14" i="7"/>
  <c r="D13" i="7"/>
  <c r="F13" i="7"/>
  <c r="G13" i="7"/>
  <c r="G11" i="7" s="1"/>
  <c r="D12" i="7"/>
  <c r="D11" i="7" s="1"/>
  <c r="E12" i="7"/>
  <c r="F12" i="7"/>
  <c r="G12" i="7"/>
  <c r="M138" i="2" l="1"/>
  <c r="F9" i="2"/>
  <c r="G9" i="2"/>
  <c r="I9" i="2"/>
  <c r="N109" i="2"/>
  <c r="F11" i="7"/>
  <c r="B11" i="7"/>
  <c r="B17" i="7" s="1"/>
  <c r="D17" i="7"/>
  <c r="G17" i="7"/>
  <c r="F17" i="7"/>
  <c r="A20" i="7" l="1"/>
  <c r="A19" i="7"/>
  <c r="A15" i="7"/>
  <c r="C13" i="7"/>
  <c r="C14" i="7"/>
  <c r="C12" i="7"/>
  <c r="C11" i="7" s="1"/>
  <c r="C17" i="7" s="1"/>
  <c r="A14" i="7"/>
  <c r="A13" i="7"/>
  <c r="A12" i="7"/>
  <c r="B28" i="7"/>
  <c r="D30" i="2" l="1"/>
  <c r="D14" i="6"/>
  <c r="C76" i="2"/>
  <c r="L168" i="2" l="1"/>
  <c r="L164" i="2"/>
  <c r="L165" i="2" s="1"/>
  <c r="L166" i="2" s="1"/>
  <c r="L167" i="2" s="1"/>
  <c r="L158" i="2"/>
  <c r="L159" i="2" s="1"/>
  <c r="L160" i="2" s="1"/>
  <c r="L161" i="2" s="1"/>
  <c r="L162" i="2" s="1"/>
  <c r="L163" i="2" s="1"/>
  <c r="L150" i="2"/>
  <c r="L151" i="2" s="1"/>
  <c r="L152" i="2" s="1"/>
  <c r="L153" i="2" s="1"/>
  <c r="L154" i="2" s="1"/>
  <c r="L146" i="2"/>
  <c r="L147" i="2" s="1"/>
  <c r="L148" i="2" s="1"/>
  <c r="L149" i="2" s="1"/>
  <c r="I15" i="10"/>
  <c r="L71" i="2"/>
  <c r="L72" i="2" s="1"/>
  <c r="L73" i="2" s="1"/>
  <c r="L74" i="2" s="1"/>
  <c r="L68" i="2"/>
  <c r="L69" i="2" s="1"/>
  <c r="L65" i="2"/>
  <c r="L66" i="2" s="1"/>
  <c r="L76" i="2"/>
  <c r="M189" i="2"/>
  <c r="M190" i="2" s="1"/>
  <c r="M191" i="2" s="1"/>
  <c r="M192" i="2" s="1"/>
  <c r="M193" i="2" s="1"/>
  <c r="M194" i="2" s="1"/>
  <c r="M195" i="2" s="1"/>
  <c r="M187" i="2"/>
  <c r="M186" i="2" s="1"/>
  <c r="M185" i="2" s="1"/>
  <c r="M184" i="2" s="1"/>
  <c r="M183" i="2" s="1"/>
  <c r="M182" i="2" s="1"/>
  <c r="M181" i="2" s="1"/>
  <c r="M180" i="2" s="1"/>
  <c r="G5" i="2"/>
  <c r="H5" i="2"/>
  <c r="I5" i="2"/>
  <c r="P163" i="2"/>
  <c r="P164" i="2"/>
  <c r="P165" i="2"/>
  <c r="P166" i="2"/>
  <c r="P167" i="2"/>
  <c r="P168" i="2"/>
  <c r="P147" i="2"/>
  <c r="P148" i="2"/>
  <c r="P149" i="2"/>
  <c r="P150" i="2"/>
  <c r="P151" i="2"/>
  <c r="P152" i="2"/>
  <c r="P153" i="2"/>
  <c r="P154" i="2"/>
  <c r="R154" i="2" s="1"/>
  <c r="P155" i="2"/>
  <c r="P156" i="2"/>
  <c r="P158" i="2"/>
  <c r="P159" i="2"/>
  <c r="P160" i="2"/>
  <c r="P161" i="2"/>
  <c r="P162" i="2"/>
  <c r="L104" i="2"/>
  <c r="L101" i="2"/>
  <c r="D6" i="17"/>
  <c r="B6" i="17" s="1"/>
  <c r="B17" i="3"/>
  <c r="D15" i="2" s="1"/>
  <c r="S39" i="12"/>
  <c r="S40" i="12" s="1"/>
  <c r="S38" i="12"/>
  <c r="S37" i="12"/>
  <c r="Q68" i="2" l="1"/>
  <c r="C73" i="2"/>
  <c r="J10" i="9"/>
  <c r="J12" i="14"/>
  <c r="L155" i="2"/>
  <c r="L156" i="2" s="1"/>
  <c r="O60" i="2"/>
  <c r="N81" i="2" s="1"/>
  <c r="Q81" i="2" s="1"/>
  <c r="Q70" i="2"/>
  <c r="Q66" i="2"/>
  <c r="E7" i="2"/>
  <c r="Q72" i="2"/>
  <c r="Q69" i="2"/>
  <c r="Q76" i="2"/>
  <c r="Q67" i="2"/>
  <c r="F5" i="2"/>
  <c r="Q74" i="2"/>
  <c r="Q65" i="2"/>
  <c r="Q73" i="2"/>
  <c r="Q71" i="2"/>
  <c r="L75" i="2"/>
  <c r="D5" i="17"/>
  <c r="B5" i="17" s="1"/>
  <c r="O85" i="2"/>
  <c r="L97" i="2"/>
  <c r="Q64" i="2" l="1"/>
  <c r="O81" i="2"/>
  <c r="P81" i="2" s="1"/>
  <c r="L77" i="2"/>
  <c r="Q77" i="2" s="1"/>
  <c r="Q75" i="2"/>
  <c r="C51" i="12"/>
  <c r="D51" i="12"/>
  <c r="E51" i="12"/>
  <c r="F51" i="12"/>
  <c r="G51" i="12"/>
  <c r="H51" i="12"/>
  <c r="I51" i="12"/>
  <c r="J51" i="12"/>
  <c r="B51" i="12"/>
  <c r="L42" i="12"/>
  <c r="M42" i="12"/>
  <c r="K42" i="12"/>
  <c r="C42" i="12"/>
  <c r="D42" i="12"/>
  <c r="E42" i="12"/>
  <c r="B42" i="12"/>
  <c r="C33" i="12"/>
  <c r="D33" i="12"/>
  <c r="E33" i="12"/>
  <c r="F33" i="12"/>
  <c r="G33" i="12"/>
  <c r="H33" i="12"/>
  <c r="I33" i="12"/>
  <c r="J33" i="12"/>
  <c r="B33" i="12"/>
  <c r="L22" i="12"/>
  <c r="B13" i="3"/>
  <c r="B12" i="3"/>
  <c r="B10" i="3"/>
  <c r="B6" i="3"/>
  <c r="B8" i="3" s="1"/>
  <c r="B9" i="3" s="1"/>
  <c r="D18" i="6" s="1"/>
  <c r="I28" i="10" s="1"/>
  <c r="L134" i="2"/>
  <c r="L126" i="2"/>
  <c r="L121" i="2"/>
  <c r="L122" i="2" s="1"/>
  <c r="L118" i="2"/>
  <c r="L119" i="2" s="1"/>
  <c r="D34" i="2" l="1"/>
  <c r="B14" i="3"/>
  <c r="D33" i="2"/>
  <c r="L120" i="2"/>
  <c r="L123" i="2"/>
  <c r="L127" i="2"/>
  <c r="J7" i="9" l="1"/>
  <c r="D16" i="2"/>
  <c r="J15" i="14"/>
  <c r="L128" i="2"/>
  <c r="L124" i="2"/>
  <c r="L125" i="2" l="1"/>
  <c r="L129" i="2"/>
  <c r="L130" i="2" l="1"/>
  <c r="L131" i="2" l="1"/>
  <c r="L132" i="2" l="1"/>
  <c r="L133" i="2" l="1"/>
  <c r="Q89" i="2" l="1"/>
  <c r="Q92" i="2"/>
  <c r="Q96" i="2"/>
  <c r="Q97" i="2"/>
  <c r="Q102" i="2"/>
  <c r="Q104" i="2"/>
  <c r="Q105" i="2"/>
  <c r="V26" i="12"/>
  <c r="U26" i="12"/>
  <c r="T26" i="12"/>
  <c r="S26" i="12"/>
  <c r="R26" i="12"/>
  <c r="Q26" i="12"/>
  <c r="Q17" i="12"/>
  <c r="D16" i="12"/>
  <c r="I23" i="10" s="1"/>
  <c r="C16" i="12"/>
  <c r="B16" i="12"/>
  <c r="B12" i="12"/>
  <c r="T37" i="12" s="1"/>
  <c r="C12" i="12"/>
  <c r="D12" i="12"/>
  <c r="N13" i="12"/>
  <c r="R17" i="12"/>
  <c r="F6" i="17"/>
  <c r="C6" i="17"/>
  <c r="F5" i="17"/>
  <c r="E5" i="17"/>
  <c r="C5" i="17"/>
  <c r="D4" i="17"/>
  <c r="B4" i="17" s="1"/>
  <c r="Q109" i="2"/>
  <c r="L103" i="2"/>
  <c r="Q103" i="2" s="1"/>
  <c r="L98" i="2"/>
  <c r="L99" i="2" s="1"/>
  <c r="Q99" i="2" s="1"/>
  <c r="L93" i="2"/>
  <c r="L94" i="2" s="1"/>
  <c r="Q94" i="2" s="1"/>
  <c r="L90" i="2"/>
  <c r="Q90" i="2" s="1"/>
  <c r="T39" i="12" l="1"/>
  <c r="T38" i="12"/>
  <c r="T40" i="12" s="1"/>
  <c r="Q22" i="12"/>
  <c r="Q23" i="12" s="1"/>
  <c r="F4" i="17"/>
  <c r="E4" i="17"/>
  <c r="Q98" i="2"/>
  <c r="Q93" i="2"/>
  <c r="N12" i="12"/>
  <c r="Q24" i="12" s="1"/>
  <c r="Q25" i="12" s="1"/>
  <c r="C4" i="17"/>
  <c r="E6" i="17"/>
  <c r="L91" i="2"/>
  <c r="Q91" i="2" s="1"/>
  <c r="O109" i="2"/>
  <c r="P109" i="2" s="1"/>
  <c r="L100" i="2"/>
  <c r="Q100" i="2" s="1"/>
  <c r="Q95" i="2"/>
  <c r="Q101" i="2" l="1"/>
  <c r="N24" i="12" l="1"/>
  <c r="R18" i="12" s="1"/>
  <c r="C4" i="7"/>
  <c r="C5" i="7" s="1"/>
  <c r="D26" i="1"/>
  <c r="B4" i="12" l="1"/>
  <c r="K21" i="12" s="1"/>
  <c r="B11" i="12" l="1"/>
  <c r="R37" i="12" s="1"/>
  <c r="C11" i="12"/>
  <c r="D11" i="12"/>
  <c r="B21" i="12"/>
  <c r="L9" i="14"/>
  <c r="M9" i="14"/>
  <c r="N9" i="14"/>
  <c r="O9" i="14"/>
  <c r="K9" i="14"/>
  <c r="P9" i="14" s="1"/>
  <c r="D15" i="12" l="1"/>
  <c r="R39" i="12"/>
  <c r="U39" i="12" s="1"/>
  <c r="C15" i="12"/>
  <c r="R38" i="12"/>
  <c r="U38" i="12" s="1"/>
  <c r="U37" i="12"/>
  <c r="U40" i="12" s="1"/>
  <c r="N11" i="12"/>
  <c r="Q19" i="12" s="1"/>
  <c r="B15" i="12"/>
  <c r="K18" i="14"/>
  <c r="D68" i="2"/>
  <c r="C18" i="3"/>
  <c r="K13" i="14" s="1"/>
  <c r="D18" i="3"/>
  <c r="L13" i="14" s="1"/>
  <c r="E18" i="3"/>
  <c r="M13" i="14" s="1"/>
  <c r="F18" i="3"/>
  <c r="N13" i="14" s="1"/>
  <c r="G18" i="3"/>
  <c r="O13" i="14" s="1"/>
  <c r="B62" i="12"/>
  <c r="C53" i="12"/>
  <c r="K33" i="12"/>
  <c r="L33" i="12"/>
  <c r="M33" i="12"/>
  <c r="C22" i="12"/>
  <c r="D22" i="12"/>
  <c r="E22" i="12"/>
  <c r="F22" i="12"/>
  <c r="G22" i="12"/>
  <c r="H22" i="12"/>
  <c r="I22" i="12"/>
  <c r="J22" i="12"/>
  <c r="K22" i="12"/>
  <c r="K25" i="12" s="1"/>
  <c r="M22" i="12"/>
  <c r="B22" i="12"/>
  <c r="B25" i="12" s="1"/>
  <c r="D25" i="1"/>
  <c r="D28" i="1"/>
  <c r="B3" i="5"/>
  <c r="R40" i="12" l="1"/>
  <c r="Q21" i="12"/>
  <c r="Q27" i="12" s="1"/>
  <c r="P13" i="14"/>
  <c r="N33" i="12"/>
  <c r="S24" i="12" s="1"/>
  <c r="S25" i="12" s="1"/>
  <c r="C62" i="12"/>
  <c r="D53" i="12"/>
  <c r="Q20" i="12" l="1"/>
  <c r="E53" i="12"/>
  <c r="D62" i="12"/>
  <c r="F53" i="12" l="1"/>
  <c r="E62" i="12"/>
  <c r="C86" i="2"/>
  <c r="C87" i="2" l="1"/>
  <c r="C75" i="2" s="1"/>
  <c r="G53" i="12"/>
  <c r="F62" i="12"/>
  <c r="H53" i="12" l="1"/>
  <c r="G62" i="12"/>
  <c r="I53" i="12" l="1"/>
  <c r="H62" i="12"/>
  <c r="N44" i="12"/>
  <c r="T18" i="12" s="1"/>
  <c r="N35" i="12"/>
  <c r="S18" i="12" s="1"/>
  <c r="N61" i="12"/>
  <c r="V22" i="12" s="1"/>
  <c r="V23" i="12" s="1"/>
  <c r="N52" i="12"/>
  <c r="U22" i="12" s="1"/>
  <c r="U23" i="12" s="1"/>
  <c r="N43" i="12"/>
  <c r="T22" i="12" s="1"/>
  <c r="T23" i="12" s="1"/>
  <c r="N34" i="12"/>
  <c r="S22" i="12" s="1"/>
  <c r="S23" i="12" s="1"/>
  <c r="N23" i="12"/>
  <c r="R22" i="12" s="1"/>
  <c r="R23" i="12" s="1"/>
  <c r="N22" i="12"/>
  <c r="R24" i="12" s="1"/>
  <c r="R25" i="12" s="1"/>
  <c r="B60" i="12"/>
  <c r="C60" i="12"/>
  <c r="D60" i="12"/>
  <c r="E60" i="12"/>
  <c r="F60" i="12"/>
  <c r="G60" i="12"/>
  <c r="H60" i="12"/>
  <c r="I60" i="12"/>
  <c r="J60" i="12"/>
  <c r="K60" i="12"/>
  <c r="L60" i="12"/>
  <c r="M60" i="12"/>
  <c r="K51" i="12"/>
  <c r="L51" i="12"/>
  <c r="M51" i="12"/>
  <c r="C6" i="12"/>
  <c r="D6" i="12" s="1"/>
  <c r="B5" i="12"/>
  <c r="F42" i="12"/>
  <c r="G42" i="12"/>
  <c r="H42" i="12"/>
  <c r="I42" i="12"/>
  <c r="J42" i="12"/>
  <c r="B26" i="12"/>
  <c r="C21" i="12" s="1"/>
  <c r="C25" i="12" s="1"/>
  <c r="D21" i="2" l="1"/>
  <c r="Q30" i="12"/>
  <c r="N51" i="12"/>
  <c r="U24" i="12" s="1"/>
  <c r="U25" i="12" s="1"/>
  <c r="N42" i="12"/>
  <c r="T24" i="12" s="1"/>
  <c r="T25" i="12" s="1"/>
  <c r="N60" i="12"/>
  <c r="V24" i="12" s="1"/>
  <c r="V25" i="12" s="1"/>
  <c r="J53" i="12"/>
  <c r="I62" i="12"/>
  <c r="J17" i="14" l="1"/>
  <c r="J15" i="9"/>
  <c r="K53" i="12"/>
  <c r="J62" i="12"/>
  <c r="C26" i="12"/>
  <c r="D21" i="12" s="1"/>
  <c r="D25" i="12" s="1"/>
  <c r="L53" i="12" l="1"/>
  <c r="K62" i="12"/>
  <c r="D26" i="12"/>
  <c r="M53" i="12" l="1"/>
  <c r="M62" i="12" s="1"/>
  <c r="L62" i="12"/>
  <c r="N62" i="12" s="1"/>
  <c r="V18" i="12" s="1"/>
  <c r="N53" i="12"/>
  <c r="U18" i="12" s="1"/>
  <c r="E21" i="12"/>
  <c r="E25" i="12" s="1"/>
  <c r="E26" i="12" l="1"/>
  <c r="F21" i="12"/>
  <c r="F25" i="12" s="1"/>
  <c r="F26" i="12" l="1"/>
  <c r="G21" i="12" s="1"/>
  <c r="G25" i="12" s="1"/>
  <c r="G26" i="12" l="1"/>
  <c r="H21" i="12" s="1"/>
  <c r="H25" i="12" s="1"/>
  <c r="H26" i="12"/>
  <c r="I21" i="12" s="1"/>
  <c r="I25" i="12" s="1"/>
  <c r="I26" i="12" l="1"/>
  <c r="J21" i="12" s="1"/>
  <c r="J25" i="12" s="1"/>
  <c r="J26" i="12" l="1"/>
  <c r="K26" i="12" l="1"/>
  <c r="L20" i="12" l="1"/>
  <c r="L21" i="12" s="1"/>
  <c r="L26" i="12"/>
  <c r="M20" i="12" l="1"/>
  <c r="M21" i="12" s="1"/>
  <c r="N21" i="12" s="1"/>
  <c r="I24" i="10"/>
  <c r="M26" i="12"/>
  <c r="J23" i="10" s="1"/>
  <c r="J24" i="10" s="1"/>
  <c r="R19" i="12" l="1"/>
  <c r="R20" i="12"/>
  <c r="B31" i="12"/>
  <c r="S17" i="12" s="1"/>
  <c r="N25" i="12"/>
  <c r="B37" i="12"/>
  <c r="C31" i="12" s="1"/>
  <c r="C32" i="12" s="1"/>
  <c r="B7" i="18" l="1"/>
  <c r="R21" i="12"/>
  <c r="R27" i="12" s="1"/>
  <c r="R30" i="12" s="1"/>
  <c r="B32" i="12"/>
  <c r="B36" i="12"/>
  <c r="C37" i="12"/>
  <c r="D31" i="12" s="1"/>
  <c r="D32" i="12" s="1"/>
  <c r="C36" i="12"/>
  <c r="E21" i="2" l="1"/>
  <c r="D37" i="12"/>
  <c r="E31" i="12" s="1"/>
  <c r="E32" i="12" s="1"/>
  <c r="D36" i="12"/>
  <c r="K17" i="14" l="1"/>
  <c r="K15" i="9"/>
  <c r="K16" i="9" s="1"/>
  <c r="E37" i="12"/>
  <c r="F31" i="12" s="1"/>
  <c r="F32" i="12" s="1"/>
  <c r="E36" i="12"/>
  <c r="F37" i="12" l="1"/>
  <c r="G31" i="12" s="1"/>
  <c r="G32" i="12" s="1"/>
  <c r="F36" i="12"/>
  <c r="G36" i="12" l="1"/>
  <c r="G37" i="12"/>
  <c r="H31" i="12" s="1"/>
  <c r="H32" i="12" s="1"/>
  <c r="H36" i="12" l="1"/>
  <c r="H37" i="12"/>
  <c r="I31" i="12" s="1"/>
  <c r="I32" i="12" s="1"/>
  <c r="I36" i="12" l="1"/>
  <c r="I37" i="12"/>
  <c r="J31" i="12" s="1"/>
  <c r="J32" i="12" s="1"/>
  <c r="J37" i="12" l="1"/>
  <c r="K31" i="12" s="1"/>
  <c r="K32" i="12" s="1"/>
  <c r="J36" i="12"/>
  <c r="K36" i="12" l="1"/>
  <c r="K37" i="12"/>
  <c r="L31" i="12" s="1"/>
  <c r="L32" i="12" s="1"/>
  <c r="L36" i="12" l="1"/>
  <c r="L37" i="12"/>
  <c r="M31" i="12" s="1"/>
  <c r="M32" i="12" s="1"/>
  <c r="M37" i="12" l="1"/>
  <c r="K23" i="10" l="1"/>
  <c r="K24" i="10" s="1"/>
  <c r="B40" i="12"/>
  <c r="B46" i="12"/>
  <c r="C40" i="12" s="1"/>
  <c r="C41" i="12" s="1"/>
  <c r="M36" i="12"/>
  <c r="N32" i="12"/>
  <c r="B41" i="12" l="1"/>
  <c r="T17" i="12"/>
  <c r="S19" i="12"/>
  <c r="N36" i="12"/>
  <c r="B45" i="12"/>
  <c r="C46" i="12"/>
  <c r="D40" i="12" s="1"/>
  <c r="D41" i="12" s="1"/>
  <c r="C45" i="12"/>
  <c r="S21" i="12" l="1"/>
  <c r="S27" i="12" s="1"/>
  <c r="S30" i="12" s="1"/>
  <c r="C7" i="18"/>
  <c r="C8" i="18" s="1"/>
  <c r="S20" i="12"/>
  <c r="D46" i="12"/>
  <c r="E40" i="12" s="1"/>
  <c r="E41" i="12" s="1"/>
  <c r="D45" i="12"/>
  <c r="F21" i="2" l="1"/>
  <c r="E46" i="12"/>
  <c r="F40" i="12" s="1"/>
  <c r="F41" i="12" s="1"/>
  <c r="L17" i="14" l="1"/>
  <c r="L15" i="9"/>
  <c r="L16" i="9" s="1"/>
  <c r="F46" i="12"/>
  <c r="G40" i="12" s="1"/>
  <c r="G41" i="12" s="1"/>
  <c r="F45" i="12"/>
  <c r="E45" i="12"/>
  <c r="G46" i="12" l="1"/>
  <c r="H40" i="12" s="1"/>
  <c r="H41" i="12" s="1"/>
  <c r="H46" i="12" l="1"/>
  <c r="I40" i="12" s="1"/>
  <c r="I41" i="12" s="1"/>
  <c r="H45" i="12"/>
  <c r="G45" i="12"/>
  <c r="I46" i="12" l="1"/>
  <c r="J40" i="12" s="1"/>
  <c r="J41" i="12" s="1"/>
  <c r="I45" i="12" l="1"/>
  <c r="J45" i="12"/>
  <c r="J46" i="12"/>
  <c r="K40" i="12" s="1"/>
  <c r="K41" i="12" s="1"/>
  <c r="K45" i="12" l="1"/>
  <c r="K46" i="12"/>
  <c r="L40" i="12" s="1"/>
  <c r="L41" i="12" s="1"/>
  <c r="L45" i="12" l="1"/>
  <c r="L46" i="12"/>
  <c r="M40" i="12" s="1"/>
  <c r="M41" i="12" s="1"/>
  <c r="M46" i="12" l="1"/>
  <c r="L23" i="10" s="1"/>
  <c r="L24" i="10" l="1"/>
  <c r="B49" i="12"/>
  <c r="M45" i="12"/>
  <c r="N41" i="12"/>
  <c r="T19" i="12" l="1"/>
  <c r="T20" i="12"/>
  <c r="B50" i="12"/>
  <c r="U17" i="12"/>
  <c r="N45" i="12"/>
  <c r="B55" i="12"/>
  <c r="C49" i="12" s="1"/>
  <c r="C50" i="12" s="1"/>
  <c r="T21" i="12" l="1"/>
  <c r="T27" i="12" s="1"/>
  <c r="T30" i="12" s="1"/>
  <c r="D7" i="18"/>
  <c r="D8" i="18" s="1"/>
  <c r="G21" i="2"/>
  <c r="C54" i="12"/>
  <c r="C55" i="12"/>
  <c r="D49" i="12" s="1"/>
  <c r="D50" i="12" s="1"/>
  <c r="B54" i="12"/>
  <c r="M17" i="14" l="1"/>
  <c r="M15" i="9"/>
  <c r="M16" i="9" s="1"/>
  <c r="D55" i="12"/>
  <c r="E49" i="12" s="1"/>
  <c r="E50" i="12" s="1"/>
  <c r="D54" i="12" l="1"/>
  <c r="E55" i="12"/>
  <c r="F49" i="12" s="1"/>
  <c r="F50" i="12" s="1"/>
  <c r="E54" i="12"/>
  <c r="F54" i="12" l="1"/>
  <c r="F55" i="12"/>
  <c r="G49" i="12" s="1"/>
  <c r="G50" i="12" s="1"/>
  <c r="G55" i="12" l="1"/>
  <c r="H49" i="12" s="1"/>
  <c r="H50" i="12" s="1"/>
  <c r="H54" i="12" l="1"/>
  <c r="H55" i="12"/>
  <c r="I49" i="12" s="1"/>
  <c r="I50" i="12" s="1"/>
  <c r="G54" i="12"/>
  <c r="I55" i="12" l="1"/>
  <c r="J49" i="12" s="1"/>
  <c r="J50" i="12" s="1"/>
  <c r="I54" i="12" l="1"/>
  <c r="J55" i="12"/>
  <c r="K49" i="12" s="1"/>
  <c r="K50" i="12" s="1"/>
  <c r="J54" i="12"/>
  <c r="K54" i="12" l="1"/>
  <c r="K55" i="12"/>
  <c r="L49" i="12" s="1"/>
  <c r="L50" i="12" s="1"/>
  <c r="L54" i="12" l="1"/>
  <c r="L55" i="12"/>
  <c r="M49" i="12" s="1"/>
  <c r="M50" i="12" s="1"/>
  <c r="C20" i="3"/>
  <c r="C8" i="3"/>
  <c r="C9" i="3" s="1"/>
  <c r="K8" i="3"/>
  <c r="C10" i="3"/>
  <c r="D29" i="1"/>
  <c r="O5" i="3" s="1"/>
  <c r="K8" i="14" l="1"/>
  <c r="M55" i="12"/>
  <c r="M23" i="10" s="1"/>
  <c r="M24" i="10" l="1"/>
  <c r="B58" i="12"/>
  <c r="V17" i="12" s="1"/>
  <c r="M54" i="12"/>
  <c r="N50" i="12"/>
  <c r="F11" i="3"/>
  <c r="G11" i="3"/>
  <c r="E11" i="3"/>
  <c r="D11" i="3"/>
  <c r="C11" i="3"/>
  <c r="C12" i="3"/>
  <c r="E18" i="6" s="1"/>
  <c r="E34" i="2" s="1"/>
  <c r="F5" i="4"/>
  <c r="F13" i="3"/>
  <c r="G13" i="3"/>
  <c r="E13" i="3"/>
  <c r="B33" i="7"/>
  <c r="C25" i="1"/>
  <c r="C34" i="1" s="1"/>
  <c r="B37" i="2"/>
  <c r="B36" i="2"/>
  <c r="U19" i="12" l="1"/>
  <c r="U20" i="12"/>
  <c r="B59" i="12"/>
  <c r="B64" i="12"/>
  <c r="C58" i="12" s="1"/>
  <c r="C59" i="12" s="1"/>
  <c r="N54" i="12"/>
  <c r="C29" i="1"/>
  <c r="A18" i="4"/>
  <c r="E18" i="4"/>
  <c r="E17" i="4"/>
  <c r="E16" i="4"/>
  <c r="E15" i="4"/>
  <c r="F8" i="4"/>
  <c r="F7" i="4"/>
  <c r="B29" i="5"/>
  <c r="F16" i="4"/>
  <c r="F6" i="4"/>
  <c r="F4" i="4"/>
  <c r="F18" i="4" s="1"/>
  <c r="B11" i="5"/>
  <c r="C11" i="5" s="1"/>
  <c r="F3" i="4"/>
  <c r="F15" i="4" s="1"/>
  <c r="C3" i="5"/>
  <c r="D8" i="4"/>
  <c r="B35" i="5" s="1"/>
  <c r="D7" i="4"/>
  <c r="D6" i="4"/>
  <c r="D5" i="4"/>
  <c r="B18" i="4"/>
  <c r="D18" i="4" s="1"/>
  <c r="B68" i="5" s="1"/>
  <c r="C68" i="5" s="1"/>
  <c r="D3" i="4"/>
  <c r="B17" i="4"/>
  <c r="D17" i="4" s="1"/>
  <c r="B62" i="5" s="1"/>
  <c r="B16" i="4"/>
  <c r="D16" i="4" s="1"/>
  <c r="B52" i="5" s="1"/>
  <c r="C15" i="4"/>
  <c r="B15" i="4"/>
  <c r="D15" i="4" s="1"/>
  <c r="F10" i="3"/>
  <c r="G10" i="3"/>
  <c r="E10" i="3"/>
  <c r="D10" i="3"/>
  <c r="F7" i="3"/>
  <c r="G7" i="3"/>
  <c r="E7" i="3"/>
  <c r="F6" i="3"/>
  <c r="G6" i="3"/>
  <c r="E6" i="3"/>
  <c r="F5" i="3"/>
  <c r="G5" i="3"/>
  <c r="E5" i="3"/>
  <c r="M8" i="3"/>
  <c r="N8" i="3"/>
  <c r="O8" i="3"/>
  <c r="L8" i="3"/>
  <c r="L34" i="3"/>
  <c r="L31" i="3"/>
  <c r="D19" i="3"/>
  <c r="L10" i="14" s="1"/>
  <c r="E19" i="3"/>
  <c r="M10" i="14" s="1"/>
  <c r="F19" i="3"/>
  <c r="N10" i="14" s="1"/>
  <c r="G19" i="3"/>
  <c r="O10" i="14" s="1"/>
  <c r="C19" i="3"/>
  <c r="D17" i="3"/>
  <c r="E17" i="3"/>
  <c r="F17" i="3"/>
  <c r="G17" i="3"/>
  <c r="C17" i="3"/>
  <c r="D12" i="3"/>
  <c r="E12" i="3"/>
  <c r="F12" i="3"/>
  <c r="G12" i="3"/>
  <c r="D20" i="3"/>
  <c r="L8" i="14" s="1"/>
  <c r="E20" i="3"/>
  <c r="M8" i="14" s="1"/>
  <c r="F20" i="3"/>
  <c r="N8" i="14" s="1"/>
  <c r="G20" i="3"/>
  <c r="O8" i="14" s="1"/>
  <c r="D21" i="3"/>
  <c r="L11" i="14" s="1"/>
  <c r="E21" i="3"/>
  <c r="M11" i="14" s="1"/>
  <c r="F21" i="3"/>
  <c r="N11" i="14" s="1"/>
  <c r="G21" i="3"/>
  <c r="O11" i="14" s="1"/>
  <c r="C21" i="3"/>
  <c r="D13" i="3"/>
  <c r="C13" i="3"/>
  <c r="C14" i="3" s="1"/>
  <c r="E16" i="2" s="1"/>
  <c r="C27" i="1"/>
  <c r="D29" i="2"/>
  <c r="C52" i="5" l="1"/>
  <c r="K10" i="14"/>
  <c r="B19" i="3"/>
  <c r="B18" i="5"/>
  <c r="C18" i="5" s="1"/>
  <c r="C19" i="5" s="1"/>
  <c r="C20" i="5" s="1"/>
  <c r="C29" i="5"/>
  <c r="D29" i="5" s="1"/>
  <c r="B30" i="5" s="1"/>
  <c r="B19" i="4"/>
  <c r="B12" i="4"/>
  <c r="U21" i="12"/>
  <c r="U27" i="12" s="1"/>
  <c r="U30" i="12" s="1"/>
  <c r="E7" i="18"/>
  <c r="E8" i="18" s="1"/>
  <c r="K15" i="14"/>
  <c r="K7" i="9"/>
  <c r="E17" i="6"/>
  <c r="K12" i="14"/>
  <c r="E15" i="2"/>
  <c r="K10" i="9" s="1"/>
  <c r="C22" i="3"/>
  <c r="I17" i="6"/>
  <c r="I36" i="2" s="1"/>
  <c r="O12" i="14"/>
  <c r="G22" i="3"/>
  <c r="I15" i="2"/>
  <c r="O10" i="9" s="1"/>
  <c r="H17" i="6"/>
  <c r="H36" i="2" s="1"/>
  <c r="N12" i="14"/>
  <c r="F22" i="3"/>
  <c r="H15" i="2"/>
  <c r="N10" i="9" s="1"/>
  <c r="P8" i="14"/>
  <c r="G17" i="6"/>
  <c r="G36" i="2" s="1"/>
  <c r="M12" i="14"/>
  <c r="G15" i="2"/>
  <c r="M10" i="9" s="1"/>
  <c r="E22" i="3"/>
  <c r="F17" i="6"/>
  <c r="F36" i="2" s="1"/>
  <c r="L12" i="14"/>
  <c r="F15" i="2"/>
  <c r="L10" i="9" s="1"/>
  <c r="D22" i="3"/>
  <c r="P10" i="14"/>
  <c r="K11" i="14"/>
  <c r="P11" i="14" s="1"/>
  <c r="E14" i="2"/>
  <c r="B63" i="12"/>
  <c r="C64" i="12"/>
  <c r="D58" i="12" s="1"/>
  <c r="D59" i="12" s="1"/>
  <c r="C63" i="12"/>
  <c r="G14" i="2"/>
  <c r="F14" i="2"/>
  <c r="I14" i="2"/>
  <c r="H14" i="2"/>
  <c r="C70" i="5"/>
  <c r="D68" i="5"/>
  <c r="B69" i="5" s="1"/>
  <c r="C69" i="5"/>
  <c r="C53" i="5"/>
  <c r="C54" i="5" s="1"/>
  <c r="C55" i="5" s="1"/>
  <c r="C56" i="5" s="1"/>
  <c r="C57" i="5" s="1"/>
  <c r="C58" i="5" s="1"/>
  <c r="C36" i="5"/>
  <c r="C37" i="5"/>
  <c r="C39" i="5"/>
  <c r="C35" i="5"/>
  <c r="C38" i="5"/>
  <c r="D3" i="5"/>
  <c r="B4" i="5" s="1"/>
  <c r="C4" i="5"/>
  <c r="B46" i="5"/>
  <c r="C46" i="5" s="1"/>
  <c r="C47" i="5" s="1"/>
  <c r="C48" i="5" s="1"/>
  <c r="F17" i="4"/>
  <c r="C62" i="5" s="1"/>
  <c r="C13" i="5"/>
  <c r="D11" i="5"/>
  <c r="B12" i="5" s="1"/>
  <c r="C12" i="5"/>
  <c r="C30" i="5" l="1"/>
  <c r="C31" i="5" s="1"/>
  <c r="H21" i="2"/>
  <c r="G3" i="5"/>
  <c r="G4" i="5" s="1"/>
  <c r="E36" i="2"/>
  <c r="J28" i="10"/>
  <c r="D14" i="2"/>
  <c r="J10" i="14"/>
  <c r="B22" i="3"/>
  <c r="B36" i="3" s="1"/>
  <c r="C63" i="5"/>
  <c r="C64" i="5" s="1"/>
  <c r="D62" i="5"/>
  <c r="B63" i="5" s="1"/>
  <c r="K16" i="14"/>
  <c r="K13" i="9"/>
  <c r="J5" i="10"/>
  <c r="D35" i="5"/>
  <c r="B36" i="5" s="1"/>
  <c r="D36" i="5" s="1"/>
  <c r="B37" i="5" s="1"/>
  <c r="D37" i="5" s="1"/>
  <c r="B38" i="5" s="1"/>
  <c r="D38" i="5" s="1"/>
  <c r="B39" i="5" s="1"/>
  <c r="D39" i="5" s="1"/>
  <c r="D44" i="2"/>
  <c r="E28" i="7"/>
  <c r="E27" i="7"/>
  <c r="G44" i="2"/>
  <c r="N17" i="14"/>
  <c r="N15" i="9"/>
  <c r="N16" i="9" s="1"/>
  <c r="K8" i="9"/>
  <c r="K11" i="9" s="1"/>
  <c r="E17" i="2"/>
  <c r="P12" i="14"/>
  <c r="D64" i="12"/>
  <c r="E58" i="12" s="1"/>
  <c r="E59" i="12" s="1"/>
  <c r="D63" i="12"/>
  <c r="L8" i="9"/>
  <c r="N8" i="9"/>
  <c r="O8" i="9"/>
  <c r="M8" i="9"/>
  <c r="C21" i="5"/>
  <c r="J3" i="5" s="1"/>
  <c r="D69" i="5"/>
  <c r="B70" i="5" s="1"/>
  <c r="D70" i="5" s="1"/>
  <c r="D52" i="5"/>
  <c r="B53" i="5" s="1"/>
  <c r="D53" i="5" s="1"/>
  <c r="B54" i="5" s="1"/>
  <c r="D54" i="5" s="1"/>
  <c r="B55" i="5" s="1"/>
  <c r="D55" i="5" s="1"/>
  <c r="B56" i="5" s="1"/>
  <c r="D56" i="5" s="1"/>
  <c r="B57" i="5" s="1"/>
  <c r="D57" i="5" s="1"/>
  <c r="B58" i="5" s="1"/>
  <c r="D30" i="5"/>
  <c r="B31" i="5" s="1"/>
  <c r="D31" i="5" s="1"/>
  <c r="D18" i="5"/>
  <c r="B19" i="5" s="1"/>
  <c r="D19" i="5" s="1"/>
  <c r="B20" i="5" s="1"/>
  <c r="D20" i="5" s="1"/>
  <c r="B21" i="5" s="1"/>
  <c r="C5" i="5"/>
  <c r="I3" i="5" s="1"/>
  <c r="H3" i="5"/>
  <c r="D46" i="5"/>
  <c r="B47" i="5" s="1"/>
  <c r="D47" i="5" s="1"/>
  <c r="B48" i="5" s="1"/>
  <c r="D48" i="5" s="1"/>
  <c r="D12" i="5"/>
  <c r="B13" i="5" s="1"/>
  <c r="D13" i="5" s="1"/>
  <c r="D4" i="5"/>
  <c r="B5" i="5" s="1"/>
  <c r="C22" i="5" l="1"/>
  <c r="K3" i="5" s="1"/>
  <c r="D21" i="5"/>
  <c r="B22" i="5" s="1"/>
  <c r="D63" i="5"/>
  <c r="B64" i="5" s="1"/>
  <c r="D64" i="5" s="1"/>
  <c r="J8" i="9"/>
  <c r="D17" i="2"/>
  <c r="D18" i="2" s="1"/>
  <c r="D20" i="2" s="1"/>
  <c r="K5" i="10"/>
  <c r="D22" i="5"/>
  <c r="B23" i="5" s="1"/>
  <c r="D23" i="5" s="1"/>
  <c r="B24" i="5" s="1"/>
  <c r="H4" i="5"/>
  <c r="I4" i="5" s="1"/>
  <c r="J4" i="5" s="1"/>
  <c r="K4" i="5" s="1"/>
  <c r="O16" i="14"/>
  <c r="O13" i="9"/>
  <c r="L13" i="9"/>
  <c r="L16" i="14"/>
  <c r="D3" i="22"/>
  <c r="G30" i="2"/>
  <c r="N16" i="14"/>
  <c r="N13" i="9"/>
  <c r="M13" i="9"/>
  <c r="M16" i="14"/>
  <c r="L4" i="10"/>
  <c r="M4" i="10" s="1"/>
  <c r="N4" i="10" s="1"/>
  <c r="I4" i="10"/>
  <c r="E64" i="12"/>
  <c r="F58" i="12" s="1"/>
  <c r="F59" i="12" s="1"/>
  <c r="C23" i="5"/>
  <c r="C24" i="5" s="1"/>
  <c r="D5" i="5"/>
  <c r="B3" i="22" l="1"/>
  <c r="J11" i="9"/>
  <c r="J12" i="9" s="1"/>
  <c r="J14" i="9" s="1"/>
  <c r="I19" i="10"/>
  <c r="P16" i="14"/>
  <c r="J4" i="10"/>
  <c r="J6" i="10" s="1"/>
  <c r="I6" i="10"/>
  <c r="F64" i="12"/>
  <c r="G58" i="12" s="1"/>
  <c r="G59" i="12" s="1"/>
  <c r="F63" i="12"/>
  <c r="E63" i="12"/>
  <c r="L5" i="10"/>
  <c r="L39" i="3"/>
  <c r="P28" i="3"/>
  <c r="L27" i="3"/>
  <c r="L28" i="3" s="1"/>
  <c r="G8" i="3"/>
  <c r="F8" i="3"/>
  <c r="E8" i="3"/>
  <c r="D8" i="3"/>
  <c r="K4" i="10" l="1"/>
  <c r="K6" i="10" s="1"/>
  <c r="G64" i="12"/>
  <c r="H58" i="12" s="1"/>
  <c r="H59" i="12" s="1"/>
  <c r="M5" i="10"/>
  <c r="N5" i="10" s="1"/>
  <c r="L6" i="10"/>
  <c r="O14" i="3"/>
  <c r="G32" i="3" s="1"/>
  <c r="K14" i="3"/>
  <c r="C32" i="3" s="1"/>
  <c r="K5" i="14" s="1"/>
  <c r="L14" i="3"/>
  <c r="D9" i="3"/>
  <c r="D14" i="3" s="1"/>
  <c r="F16" i="2" s="1"/>
  <c r="G9" i="3"/>
  <c r="G14" i="3" s="1"/>
  <c r="I16" i="2" s="1"/>
  <c r="I17" i="2" s="1"/>
  <c r="F9" i="3"/>
  <c r="F14" i="3" s="1"/>
  <c r="H16" i="2" s="1"/>
  <c r="E9" i="3"/>
  <c r="E14" i="3" s="1"/>
  <c r="G16" i="2" s="1"/>
  <c r="M14" i="3"/>
  <c r="N14" i="3"/>
  <c r="O15" i="14" l="1"/>
  <c r="O7" i="9"/>
  <c r="O11" i="9" s="1"/>
  <c r="M7" i="9"/>
  <c r="M11" i="9" s="1"/>
  <c r="M15" i="14"/>
  <c r="N7" i="9"/>
  <c r="N11" i="9" s="1"/>
  <c r="N15" i="14"/>
  <c r="L7" i="9"/>
  <c r="L11" i="9" s="1"/>
  <c r="L15" i="14"/>
  <c r="H63" i="12"/>
  <c r="H64" i="12"/>
  <c r="I58" i="12" s="1"/>
  <c r="I59" i="12" s="1"/>
  <c r="G63" i="12"/>
  <c r="N6" i="10"/>
  <c r="M6" i="10"/>
  <c r="F18" i="6"/>
  <c r="F34" i="2" s="1"/>
  <c r="F33" i="2"/>
  <c r="E33" i="2"/>
  <c r="G33" i="2"/>
  <c r="G18" i="6"/>
  <c r="G34" i="2" s="1"/>
  <c r="H33" i="2"/>
  <c r="H18" i="6"/>
  <c r="H34" i="2" s="1"/>
  <c r="I33" i="2"/>
  <c r="I18" i="6"/>
  <c r="I34" i="2" s="1"/>
  <c r="H17" i="2"/>
  <c r="D32" i="3"/>
  <c r="F32" i="3"/>
  <c r="E32" i="3"/>
  <c r="P15" i="14" l="1"/>
  <c r="I64" i="12"/>
  <c r="J58" i="12" s="1"/>
  <c r="J59" i="12" s="1"/>
  <c r="H19" i="2"/>
  <c r="I19" i="2"/>
  <c r="G19" i="2"/>
  <c r="F19" i="2"/>
  <c r="E19" i="2"/>
  <c r="G17" i="2"/>
  <c r="F17" i="2"/>
  <c r="C28" i="1"/>
  <c r="C26" i="1"/>
  <c r="J64" i="12" l="1"/>
  <c r="K58" i="12" s="1"/>
  <c r="K59" i="12" s="1"/>
  <c r="J63" i="12"/>
  <c r="I63" i="12"/>
  <c r="E47" i="1"/>
  <c r="K64" i="12" l="1"/>
  <c r="L58" i="12" s="1"/>
  <c r="L59" i="12" s="1"/>
  <c r="K63" i="12"/>
  <c r="F47" i="1"/>
  <c r="G47" i="1" s="1"/>
  <c r="H47" i="1" s="1"/>
  <c r="L64" i="12" l="1"/>
  <c r="M58" i="12" s="1"/>
  <c r="M59" i="12" s="1"/>
  <c r="L63" i="12"/>
  <c r="I47" i="1"/>
  <c r="D36" i="1"/>
  <c r="D37" i="1"/>
  <c r="D38" i="1"/>
  <c r="C35" i="1"/>
  <c r="D34" i="1"/>
  <c r="E34" i="1" s="1"/>
  <c r="E29" i="1"/>
  <c r="E28" i="1"/>
  <c r="N5" i="3" s="1"/>
  <c r="N10" i="3" s="1"/>
  <c r="C36" i="1"/>
  <c r="D11" i="1"/>
  <c r="D10" i="1"/>
  <c r="E8" i="1"/>
  <c r="D8" i="1" s="1"/>
  <c r="D9" i="1"/>
  <c r="C14" i="1" a="1"/>
  <c r="E12" i="1" a="1"/>
  <c r="M64" i="12" l="1"/>
  <c r="N23" i="10" s="1"/>
  <c r="N24" i="10" s="1"/>
  <c r="C38" i="3"/>
  <c r="E13" i="6"/>
  <c r="F34" i="3"/>
  <c r="N7" i="14" s="1"/>
  <c r="F29" i="3"/>
  <c r="G34" i="3"/>
  <c r="O7" i="14" s="1"/>
  <c r="G29" i="3"/>
  <c r="G28" i="3"/>
  <c r="O10" i="3"/>
  <c r="G33" i="3" s="1"/>
  <c r="O6" i="14" s="1"/>
  <c r="O6" i="3"/>
  <c r="G30" i="3"/>
  <c r="O16" i="3"/>
  <c r="G27" i="3"/>
  <c r="F28" i="3"/>
  <c r="F30" i="3"/>
  <c r="N6" i="3"/>
  <c r="F33" i="3"/>
  <c r="N6" i="14" s="1"/>
  <c r="F27" i="3"/>
  <c r="N16" i="3"/>
  <c r="F29" i="1"/>
  <c r="F38" i="1" s="1"/>
  <c r="F28" i="1"/>
  <c r="F37" i="1" s="1"/>
  <c r="E25" i="1"/>
  <c r="K5" i="3" s="1"/>
  <c r="E26" i="1"/>
  <c r="L5" i="3" s="1"/>
  <c r="E27" i="1"/>
  <c r="M5" i="3" s="1"/>
  <c r="H28" i="1"/>
  <c r="C37" i="1"/>
  <c r="E37" i="1" s="1"/>
  <c r="F38" i="3" s="1"/>
  <c r="D35" i="1"/>
  <c r="E35" i="1" s="1"/>
  <c r="D38" i="3" s="1"/>
  <c r="E36" i="1"/>
  <c r="E38" i="3" s="1"/>
  <c r="C38" i="1"/>
  <c r="E38" i="1" s="1"/>
  <c r="G38" i="3" s="1"/>
  <c r="H29" i="1"/>
  <c r="D15" i="1"/>
  <c r="D13" i="1"/>
  <c r="D16" i="1"/>
  <c r="C14" i="1"/>
  <c r="D14" i="1" s="1"/>
  <c r="E12" i="1"/>
  <c r="E17" i="1"/>
  <c r="C17" i="1"/>
  <c r="P5" i="3"/>
  <c r="C34" i="3" l="1"/>
  <c r="E29" i="2"/>
  <c r="M63" i="12"/>
  <c r="N59" i="12"/>
  <c r="B67" i="12" s="1"/>
  <c r="H12" i="2"/>
  <c r="N5" i="14" s="1"/>
  <c r="E28" i="3"/>
  <c r="E29" i="3"/>
  <c r="E34" i="3"/>
  <c r="E30" i="3"/>
  <c r="M10" i="3"/>
  <c r="M6" i="3"/>
  <c r="E27" i="3"/>
  <c r="M16" i="3"/>
  <c r="K6" i="3"/>
  <c r="K7" i="14"/>
  <c r="K10" i="3"/>
  <c r="C33" i="3" s="1"/>
  <c r="K6" i="14" s="1"/>
  <c r="I13" i="6"/>
  <c r="I29" i="2" s="1"/>
  <c r="N9" i="10" s="1"/>
  <c r="G13" i="6"/>
  <c r="G29" i="2" s="1"/>
  <c r="L9" i="10" s="1"/>
  <c r="F13" i="6"/>
  <c r="F29" i="2" s="1"/>
  <c r="K9" i="10" s="1"/>
  <c r="H13" i="6"/>
  <c r="H29" i="2" s="1"/>
  <c r="M9" i="10" s="1"/>
  <c r="I12" i="2"/>
  <c r="O5" i="14" s="1"/>
  <c r="L10" i="3"/>
  <c r="D34" i="3"/>
  <c r="L7" i="14" s="1"/>
  <c r="D30" i="3"/>
  <c r="D29" i="3"/>
  <c r="F31" i="3"/>
  <c r="F36" i="3" s="1"/>
  <c r="G31" i="3"/>
  <c r="G36" i="3" s="1"/>
  <c r="D28" i="3"/>
  <c r="L6" i="3"/>
  <c r="L7" i="3" s="1"/>
  <c r="D27" i="3"/>
  <c r="L16" i="3"/>
  <c r="H25" i="1"/>
  <c r="G38" i="1"/>
  <c r="I53" i="1" s="1"/>
  <c r="F25" i="1"/>
  <c r="F34" i="1" s="1"/>
  <c r="G34" i="1" s="1"/>
  <c r="H34" i="1" s="1"/>
  <c r="G37" i="1"/>
  <c r="H53" i="1" s="1"/>
  <c r="F26" i="1"/>
  <c r="F35" i="1" s="1"/>
  <c r="G35" i="1" s="1"/>
  <c r="F53" i="1" s="1"/>
  <c r="F27" i="1"/>
  <c r="F36" i="1" s="1"/>
  <c r="G36" i="1" s="1"/>
  <c r="H36" i="1" s="1"/>
  <c r="I7" i="2"/>
  <c r="H7" i="2"/>
  <c r="H27" i="1"/>
  <c r="H26" i="1"/>
  <c r="D17" i="1"/>
  <c r="D12" i="1"/>
  <c r="M7" i="14" l="1"/>
  <c r="E14" i="7"/>
  <c r="D33" i="3"/>
  <c r="L6" i="14" s="1"/>
  <c r="P7" i="14"/>
  <c r="E33" i="3"/>
  <c r="G12" i="2" s="1"/>
  <c r="M5" i="14" s="1"/>
  <c r="C74" i="2"/>
  <c r="V19" i="12"/>
  <c r="E31" i="3"/>
  <c r="E36" i="3" s="1"/>
  <c r="N63" i="12"/>
  <c r="N5" i="9"/>
  <c r="E12" i="2"/>
  <c r="G4" i="7"/>
  <c r="G5" i="7" s="1"/>
  <c r="G33" i="7" s="1"/>
  <c r="O2" i="9"/>
  <c r="O5" i="9"/>
  <c r="F4" i="7"/>
  <c r="F5" i="7" s="1"/>
  <c r="F33" i="7" s="1"/>
  <c r="N2" i="9"/>
  <c r="F12" i="2"/>
  <c r="L5" i="14" s="1"/>
  <c r="C27" i="3"/>
  <c r="C30" i="3"/>
  <c r="C29" i="3"/>
  <c r="D31" i="3"/>
  <c r="H38" i="1"/>
  <c r="G42" i="3"/>
  <c r="G40" i="3"/>
  <c r="F42" i="3"/>
  <c r="F40" i="3"/>
  <c r="C28" i="3"/>
  <c r="K7" i="3"/>
  <c r="K16" i="3"/>
  <c r="H37" i="1"/>
  <c r="F7" i="2"/>
  <c r="G7" i="2"/>
  <c r="E53" i="1"/>
  <c r="G53" i="1"/>
  <c r="H35" i="1"/>
  <c r="M6" i="14" l="1"/>
  <c r="E13" i="7"/>
  <c r="E11" i="7" s="1"/>
  <c r="E17" i="7" s="1"/>
  <c r="V21" i="12"/>
  <c r="I21" i="2"/>
  <c r="F7" i="18"/>
  <c r="F8" i="18" s="1"/>
  <c r="E3" i="18"/>
  <c r="E5" i="18"/>
  <c r="F3" i="18"/>
  <c r="F5" i="18"/>
  <c r="P6" i="14"/>
  <c r="V20" i="12"/>
  <c r="V27" i="12"/>
  <c r="V30" i="12" s="1"/>
  <c r="Q31" i="12" s="1"/>
  <c r="P5" i="14"/>
  <c r="K2" i="9"/>
  <c r="M5" i="9"/>
  <c r="E42" i="3"/>
  <c r="E40" i="3"/>
  <c r="C31" i="3"/>
  <c r="L35" i="3" s="1"/>
  <c r="K5" i="9"/>
  <c r="D36" i="3"/>
  <c r="D42" i="3" s="1"/>
  <c r="C33" i="7"/>
  <c r="L5" i="9"/>
  <c r="E4" i="7"/>
  <c r="E5" i="7" s="1"/>
  <c r="E33" i="7" s="1"/>
  <c r="M2" i="9"/>
  <c r="D4" i="7"/>
  <c r="D5" i="7" s="1"/>
  <c r="D33" i="7" s="1"/>
  <c r="L2" i="9"/>
  <c r="I12" i="6" l="1"/>
  <c r="D12" i="6"/>
  <c r="O17" i="14"/>
  <c r="O15" i="9"/>
  <c r="F6" i="18"/>
  <c r="F4" i="18"/>
  <c r="B3" i="18"/>
  <c r="B5" i="18"/>
  <c r="C3" i="18"/>
  <c r="C5" i="18"/>
  <c r="D3" i="18"/>
  <c r="E4" i="18" s="1"/>
  <c r="D5" i="18"/>
  <c r="E6" i="18" s="1"/>
  <c r="O16" i="9"/>
  <c r="D40" i="3"/>
  <c r="C36" i="3"/>
  <c r="C42" i="3" s="1"/>
  <c r="D16" i="6" l="1"/>
  <c r="I26" i="10" s="1"/>
  <c r="O114" i="2"/>
  <c r="G10" i="2"/>
  <c r="I10" i="2"/>
  <c r="F10" i="2"/>
  <c r="Q126" i="2"/>
  <c r="Q134" i="2"/>
  <c r="Q119" i="2"/>
  <c r="Q121" i="2"/>
  <c r="Q122" i="2"/>
  <c r="Q118" i="2"/>
  <c r="Q127" i="2"/>
  <c r="Q123" i="2"/>
  <c r="Q120" i="2"/>
  <c r="Q124" i="2"/>
  <c r="Q128" i="2"/>
  <c r="Q125" i="2"/>
  <c r="Q129" i="2"/>
  <c r="Q130" i="2"/>
  <c r="Q131" i="2"/>
  <c r="Q132" i="2"/>
  <c r="Q133" i="2"/>
  <c r="E10" i="2"/>
  <c r="C4" i="18"/>
  <c r="C6" i="18"/>
  <c r="D4" i="18"/>
  <c r="D6" i="18"/>
  <c r="C40" i="3"/>
  <c r="E12" i="6"/>
  <c r="F12" i="6"/>
  <c r="G12" i="6"/>
  <c r="E7" i="7" s="1"/>
  <c r="F8" i="7" s="1"/>
  <c r="H12" i="6"/>
  <c r="I8" i="10" l="1"/>
  <c r="N3" i="14"/>
  <c r="I16" i="6"/>
  <c r="N26" i="10" s="1"/>
  <c r="O3" i="9"/>
  <c r="I8" i="2" s="1"/>
  <c r="M3" i="14"/>
  <c r="G7" i="7"/>
  <c r="O3" i="14"/>
  <c r="K3" i="14"/>
  <c r="L3" i="14"/>
  <c r="E16" i="6"/>
  <c r="M8" i="10"/>
  <c r="N3" i="9"/>
  <c r="H8" i="2" s="1"/>
  <c r="L8" i="10"/>
  <c r="H16" i="6"/>
  <c r="M26" i="10" s="1"/>
  <c r="M3" i="9"/>
  <c r="G8" i="2" s="1"/>
  <c r="N8" i="10"/>
  <c r="F7" i="7"/>
  <c r="G8" i="7" s="1"/>
  <c r="K8" i="10"/>
  <c r="G16" i="6"/>
  <c r="L26" i="10" s="1"/>
  <c r="L3" i="9"/>
  <c r="F8" i="2" s="1"/>
  <c r="J8" i="10"/>
  <c r="C7" i="7"/>
  <c r="K3" i="9"/>
  <c r="F16" i="6"/>
  <c r="K26" i="10" s="1"/>
  <c r="D28" i="2"/>
  <c r="C6" i="7"/>
  <c r="B7" i="7"/>
  <c r="B9" i="7" s="1"/>
  <c r="B25" i="7" s="1"/>
  <c r="B29" i="7" s="1"/>
  <c r="D7" i="7"/>
  <c r="E8" i="7" s="1"/>
  <c r="E28" i="2"/>
  <c r="E32" i="2" s="1"/>
  <c r="F28" i="2"/>
  <c r="F32" i="2" s="1"/>
  <c r="H28" i="2"/>
  <c r="H32" i="2" s="1"/>
  <c r="G28" i="2"/>
  <c r="G32" i="2" s="1"/>
  <c r="I28" i="2"/>
  <c r="I32" i="2" s="1"/>
  <c r="K4" i="14" l="1"/>
  <c r="K2" i="14" s="1"/>
  <c r="K4" i="9"/>
  <c r="F11" i="2"/>
  <c r="F13" i="2" s="1"/>
  <c r="H35" i="2"/>
  <c r="P3" i="14"/>
  <c r="E8" i="2"/>
  <c r="E11" i="2" s="1"/>
  <c r="E13" i="2" s="1"/>
  <c r="I11" i="2"/>
  <c r="I13" i="2" s="1"/>
  <c r="E6" i="7"/>
  <c r="E9" i="7" s="1"/>
  <c r="E25" i="7" s="1"/>
  <c r="E29" i="7" s="1"/>
  <c r="G35" i="2"/>
  <c r="I35" i="2"/>
  <c r="J26" i="10"/>
  <c r="E35" i="2"/>
  <c r="B10" i="7"/>
  <c r="B26" i="7" s="1"/>
  <c r="C8" i="7"/>
  <c r="C9" i="7" s="1"/>
  <c r="C25" i="7" s="1"/>
  <c r="B2" i="11"/>
  <c r="F35" i="2"/>
  <c r="D8" i="7"/>
  <c r="D35" i="2"/>
  <c r="D40" i="2" s="1"/>
  <c r="B30" i="7" l="1"/>
  <c r="K6" i="9"/>
  <c r="E18" i="2"/>
  <c r="E20" i="2" s="1"/>
  <c r="I18" i="2"/>
  <c r="I20" i="2" s="1"/>
  <c r="Q50" i="2" s="1"/>
  <c r="M4" i="9"/>
  <c r="O4" i="14"/>
  <c r="O2" i="14" s="1"/>
  <c r="O4" i="9"/>
  <c r="M4" i="14"/>
  <c r="M2" i="14" s="1"/>
  <c r="G11" i="2"/>
  <c r="G13" i="2" s="1"/>
  <c r="G6" i="7"/>
  <c r="G9" i="7" s="1"/>
  <c r="G25" i="7" s="1"/>
  <c r="L4" i="14"/>
  <c r="L4" i="9"/>
  <c r="D6" i="7"/>
  <c r="D9" i="7" s="1"/>
  <c r="D25" i="7" s="1"/>
  <c r="E10" i="7"/>
  <c r="E26" i="7" s="1"/>
  <c r="E30" i="7" s="1"/>
  <c r="E34" i="7" s="1"/>
  <c r="C29" i="7"/>
  <c r="C10" i="7"/>
  <c r="C26" i="7" s="1"/>
  <c r="D29" i="7" l="1"/>
  <c r="G29" i="7"/>
  <c r="C30" i="7"/>
  <c r="C34" i="7" s="1"/>
  <c r="E22" i="2"/>
  <c r="M50" i="2"/>
  <c r="K12" i="9"/>
  <c r="B16" i="18"/>
  <c r="O6" i="9"/>
  <c r="M6" i="9"/>
  <c r="B34" i="7"/>
  <c r="B35" i="7" s="1"/>
  <c r="B36" i="7" s="1"/>
  <c r="B37" i="7" s="1"/>
  <c r="D15" i="6" s="1"/>
  <c r="D21" i="6" s="1"/>
  <c r="D22" i="6" s="1"/>
  <c r="D23" i="6" s="1"/>
  <c r="G18" i="2"/>
  <c r="G20" i="2" s="1"/>
  <c r="O50" i="2" s="1"/>
  <c r="I22" i="2"/>
  <c r="I24" i="2" s="1"/>
  <c r="F18" i="2"/>
  <c r="F20" i="2" s="1"/>
  <c r="G10" i="7"/>
  <c r="G26" i="7" s="1"/>
  <c r="L2" i="14"/>
  <c r="L6" i="9"/>
  <c r="D10" i="7"/>
  <c r="D26" i="7" s="1"/>
  <c r="E25" i="2" l="1"/>
  <c r="E26" i="2" s="1"/>
  <c r="D31" i="2"/>
  <c r="D32" i="2" s="1"/>
  <c r="D41" i="2" s="1"/>
  <c r="G30" i="7"/>
  <c r="G34" i="7" s="1"/>
  <c r="G35" i="7" s="1"/>
  <c r="I38" i="2" s="1"/>
  <c r="D30" i="7"/>
  <c r="D34" i="7" s="1"/>
  <c r="D35" i="7" s="1"/>
  <c r="F38" i="2" s="1"/>
  <c r="Q51" i="2"/>
  <c r="M51" i="2"/>
  <c r="K14" i="9"/>
  <c r="L12" i="9"/>
  <c r="C16" i="18"/>
  <c r="C17" i="18" s="1"/>
  <c r="M12" i="9"/>
  <c r="D16" i="18"/>
  <c r="O12" i="9"/>
  <c r="F16" i="18"/>
  <c r="N50" i="2"/>
  <c r="F22" i="2"/>
  <c r="Q52" i="2"/>
  <c r="I23" i="2"/>
  <c r="G22" i="2"/>
  <c r="G24" i="2" s="1"/>
  <c r="M52" i="2"/>
  <c r="C35" i="7"/>
  <c r="E35" i="7"/>
  <c r="G38" i="2" s="1"/>
  <c r="G23" i="2" l="1"/>
  <c r="F24" i="2"/>
  <c r="D42" i="2"/>
  <c r="C3" i="22"/>
  <c r="B9" i="22" s="1"/>
  <c r="B11" i="22" s="1"/>
  <c r="C4" i="22" s="1"/>
  <c r="C5" i="22" s="1"/>
  <c r="I10" i="10"/>
  <c r="I11" i="10" s="1"/>
  <c r="C36" i="7"/>
  <c r="C38" i="7" s="1"/>
  <c r="C39" i="7" s="1"/>
  <c r="E20" i="6" s="1"/>
  <c r="E21" i="6" s="1"/>
  <c r="E38" i="2"/>
  <c r="O51" i="2"/>
  <c r="B18" i="18"/>
  <c r="D17" i="18"/>
  <c r="K17" i="9"/>
  <c r="K19" i="9" s="1"/>
  <c r="O14" i="9"/>
  <c r="M14" i="9"/>
  <c r="L14" i="9"/>
  <c r="I29" i="10"/>
  <c r="I30" i="10" s="1"/>
  <c r="N52" i="2"/>
  <c r="I25" i="2"/>
  <c r="I26" i="2" s="1"/>
  <c r="N51" i="2"/>
  <c r="F23" i="2"/>
  <c r="O52" i="2"/>
  <c r="O20" i="9"/>
  <c r="O18" i="14" s="1"/>
  <c r="I19" i="6"/>
  <c r="B20" i="18" l="1"/>
  <c r="E22" i="6"/>
  <c r="E23" i="6" s="1"/>
  <c r="B4" i="22"/>
  <c r="B5" i="22" s="1"/>
  <c r="B6" i="22" s="1"/>
  <c r="C6" i="22" s="1"/>
  <c r="D4" i="22"/>
  <c r="D5" i="22" s="1"/>
  <c r="J27" i="10"/>
  <c r="J9" i="10" s="1"/>
  <c r="J11" i="10" s="1"/>
  <c r="K11" i="10" s="1"/>
  <c r="L11" i="10" s="1"/>
  <c r="M11" i="10" s="1"/>
  <c r="N11" i="10" s="1"/>
  <c r="E39" i="2"/>
  <c r="E40" i="2" s="1"/>
  <c r="E41" i="2" s="1"/>
  <c r="D36" i="7"/>
  <c r="D38" i="7" s="1"/>
  <c r="D39" i="7" s="1"/>
  <c r="F18" i="18"/>
  <c r="D18" i="18"/>
  <c r="C18" i="18"/>
  <c r="C19" i="18" s="1"/>
  <c r="O17" i="9"/>
  <c r="M17" i="9"/>
  <c r="L17" i="9"/>
  <c r="Q29" i="2"/>
  <c r="F19" i="6"/>
  <c r="G25" i="2"/>
  <c r="O29" i="2" s="1"/>
  <c r="M29" i="2"/>
  <c r="F25" i="2"/>
  <c r="F26" i="2" s="1"/>
  <c r="L20" i="9"/>
  <c r="L18" i="14" s="1"/>
  <c r="N28" i="10"/>
  <c r="F2" i="11"/>
  <c r="I37" i="2"/>
  <c r="M20" i="9"/>
  <c r="G19" i="6"/>
  <c r="E42" i="2" l="1"/>
  <c r="E43" i="2" s="1"/>
  <c r="D6" i="22"/>
  <c r="B12" i="22" s="1"/>
  <c r="F39" i="2"/>
  <c r="F40" i="2" s="1"/>
  <c r="F41" i="2" s="1"/>
  <c r="F42" i="2" s="1"/>
  <c r="F20" i="6"/>
  <c r="F21" i="6" s="1"/>
  <c r="E36" i="7"/>
  <c r="E38" i="7" s="1"/>
  <c r="J29" i="10"/>
  <c r="J30" i="10" s="1"/>
  <c r="K27" i="10"/>
  <c r="D19" i="18"/>
  <c r="B13" i="22"/>
  <c r="K28" i="10"/>
  <c r="G26" i="2"/>
  <c r="C2" i="11"/>
  <c r="N29" i="2"/>
  <c r="G37" i="2"/>
  <c r="L28" i="10"/>
  <c r="D2" i="11"/>
  <c r="M18" i="14"/>
  <c r="M21" i="9"/>
  <c r="C77" i="2"/>
  <c r="F73" i="2" s="1"/>
  <c r="J15" i="10"/>
  <c r="J12" i="10" l="1"/>
  <c r="B38" i="18" s="1"/>
  <c r="O142" i="2"/>
  <c r="E45" i="2"/>
  <c r="N30" i="2"/>
  <c r="F43" i="2"/>
  <c r="F45" i="2" s="1"/>
  <c r="K12" i="10"/>
  <c r="E39" i="7"/>
  <c r="K29" i="10"/>
  <c r="K30" i="10" s="1"/>
  <c r="Q149" i="2"/>
  <c r="Q152" i="2"/>
  <c r="R152" i="2" s="1"/>
  <c r="Q164" i="2"/>
  <c r="R164" i="2" s="1"/>
  <c r="Q157" i="2"/>
  <c r="R157" i="2" s="1"/>
  <c r="Q150" i="2"/>
  <c r="Q147" i="2"/>
  <c r="R147" i="2" s="1"/>
  <c r="Q151" i="2"/>
  <c r="Q168" i="2"/>
  <c r="R168" i="2" s="1"/>
  <c r="Q154" i="2"/>
  <c r="Q153" i="2"/>
  <c r="Q148" i="2"/>
  <c r="Q155" i="2"/>
  <c r="R155" i="2" s="1"/>
  <c r="Q158" i="2"/>
  <c r="R158" i="2" s="1"/>
  <c r="Q156" i="2"/>
  <c r="R156" i="2" s="1"/>
  <c r="Q159" i="2"/>
  <c r="R159" i="2" s="1"/>
  <c r="Q165" i="2"/>
  <c r="R165" i="2" s="1"/>
  <c r="Q160" i="2"/>
  <c r="R160" i="2" s="1"/>
  <c r="Q166" i="2"/>
  <c r="R166" i="2" s="1"/>
  <c r="Q161" i="2"/>
  <c r="R161" i="2" s="1"/>
  <c r="Q167" i="2"/>
  <c r="R167" i="2" s="1"/>
  <c r="Q162" i="2"/>
  <c r="R162" i="2" s="1"/>
  <c r="Q163" i="2"/>
  <c r="R163" i="2" s="1"/>
  <c r="D18" i="22"/>
  <c r="D20" i="22" s="1"/>
  <c r="C18" i="22"/>
  <c r="C20" i="22" s="1"/>
  <c r="B18" i="22"/>
  <c r="B20" i="22" s="1"/>
  <c r="B21" i="22" s="1"/>
  <c r="F22" i="6"/>
  <c r="F23" i="6" s="1"/>
  <c r="C20" i="18"/>
  <c r="C21" i="18" s="1"/>
  <c r="N31" i="2"/>
  <c r="K15" i="10"/>
  <c r="G39" i="2" l="1"/>
  <c r="G40" i="2" s="1"/>
  <c r="G41" i="2" s="1"/>
  <c r="O30" i="2" s="1"/>
  <c r="O31" i="2" s="1"/>
  <c r="G20" i="6"/>
  <c r="G21" i="6" s="1"/>
  <c r="L27" i="10"/>
  <c r="L29" i="10" s="1"/>
  <c r="L30" i="10" s="1"/>
  <c r="C38" i="18"/>
  <c r="C21" i="22"/>
  <c r="D21" i="22" s="1"/>
  <c r="D7" i="17"/>
  <c r="B7" i="17" s="1"/>
  <c r="Q146" i="2"/>
  <c r="M33" i="2"/>
  <c r="F47" i="2"/>
  <c r="E47" i="2"/>
  <c r="N33" i="2"/>
  <c r="N34" i="2" s="1"/>
  <c r="O33" i="2"/>
  <c r="P33" i="2"/>
  <c r="L15" i="10"/>
  <c r="L25" i="12"/>
  <c r="M25" i="12"/>
  <c r="O34" i="2" l="1"/>
  <c r="G22" i="6"/>
  <c r="G23" i="6" s="1"/>
  <c r="D20" i="18"/>
  <c r="D21" i="18" s="1"/>
  <c r="G42" i="2"/>
  <c r="G43" i="2" s="1"/>
  <c r="G45" i="2" s="1"/>
  <c r="Q33" i="2"/>
  <c r="C7" i="17"/>
  <c r="F7" i="17"/>
  <c r="E7" i="17"/>
  <c r="N15" i="12"/>
  <c r="P17" i="14"/>
  <c r="M15" i="10"/>
  <c r="G47" i="2" l="1"/>
  <c r="J16" i="9"/>
  <c r="K21" i="9"/>
  <c r="J19" i="10" s="1"/>
  <c r="N15" i="10"/>
  <c r="K22" i="9" l="1"/>
  <c r="L18" i="9" s="1"/>
  <c r="D22" i="2"/>
  <c r="J17" i="9"/>
  <c r="J19" i="9" s="1"/>
  <c r="J21" i="9" s="1"/>
  <c r="N12" i="10"/>
  <c r="K16" i="10"/>
  <c r="D26" i="2" l="1"/>
  <c r="D43" i="2" s="1"/>
  <c r="D45" i="2" s="1"/>
  <c r="D25" i="2"/>
  <c r="M30" i="2"/>
  <c r="M31" i="2" s="1"/>
  <c r="F30" i="18"/>
  <c r="J22" i="9"/>
  <c r="I20" i="10"/>
  <c r="I31" i="10" s="1"/>
  <c r="B5" i="11"/>
  <c r="L19" i="9"/>
  <c r="J20" i="10"/>
  <c r="D47" i="2" l="1"/>
  <c r="E46" i="2"/>
  <c r="M34" i="2"/>
  <c r="B28" i="18"/>
  <c r="J31" i="10"/>
  <c r="L21" i="9"/>
  <c r="K19" i="10" s="1"/>
  <c r="L16" i="10" s="1"/>
  <c r="G46" i="2" l="1"/>
  <c r="D46" i="2"/>
  <c r="F46" i="2"/>
  <c r="K20" i="10"/>
  <c r="L22" i="9"/>
  <c r="M18" i="9" s="1"/>
  <c r="M19" i="9" s="1"/>
  <c r="L19" i="10"/>
  <c r="M22" i="9"/>
  <c r="C22" i="18" l="1"/>
  <c r="E48" i="2"/>
  <c r="D48" i="2"/>
  <c r="F48" i="2"/>
  <c r="G48" i="2"/>
  <c r="C28" i="18"/>
  <c r="C29" i="18" s="1"/>
  <c r="C24" i="18"/>
  <c r="L20" i="10"/>
  <c r="D22" i="18" s="1"/>
  <c r="K31" i="10"/>
  <c r="D28" i="18" l="1"/>
  <c r="D29" i="18" s="1"/>
  <c r="D24" i="18"/>
  <c r="D25" i="18" s="1"/>
  <c r="L31" i="10"/>
  <c r="I12" i="10"/>
  <c r="I13" i="10" s="1"/>
  <c r="I32" i="10" s="1"/>
  <c r="D23" i="18" l="1"/>
  <c r="K13" i="10"/>
  <c r="C36" i="18" l="1"/>
  <c r="B36" i="18"/>
  <c r="K32" i="10"/>
  <c r="C30" i="18"/>
  <c r="J13" i="10"/>
  <c r="B30" i="18"/>
  <c r="L12" i="10"/>
  <c r="D38" i="18" s="1"/>
  <c r="J32" i="10" l="1"/>
  <c r="C39" i="18"/>
  <c r="C37" i="18"/>
  <c r="D36" i="18"/>
  <c r="D37" i="18" s="1"/>
  <c r="D39" i="18"/>
  <c r="C31" i="18"/>
  <c r="L13" i="10"/>
  <c r="D30" i="18"/>
  <c r="D31" i="18" s="1"/>
  <c r="N13" i="10"/>
  <c r="M12" i="10"/>
  <c r="O21" i="9"/>
  <c r="H10" i="2"/>
  <c r="F6" i="7" s="1"/>
  <c r="F9" i="7" s="1"/>
  <c r="F25" i="7" s="1"/>
  <c r="L32" i="10" l="1"/>
  <c r="M13" i="10"/>
  <c r="E30" i="18"/>
  <c r="O22" i="9"/>
  <c r="N19" i="10"/>
  <c r="N17" i="10" s="1"/>
  <c r="F29" i="7"/>
  <c r="F10" i="7"/>
  <c r="F26" i="7" s="1"/>
  <c r="N4" i="14"/>
  <c r="N4" i="9"/>
  <c r="H11" i="2"/>
  <c r="H13" i="2" s="1"/>
  <c r="F30" i="7" l="1"/>
  <c r="F34" i="7" s="1"/>
  <c r="F35" i="7" s="1"/>
  <c r="H38" i="2" s="1"/>
  <c r="E31" i="18"/>
  <c r="F31" i="18"/>
  <c r="N6" i="9"/>
  <c r="N18" i="10"/>
  <c r="H18" i="2"/>
  <c r="H20" i="2" s="1"/>
  <c r="N2" i="14"/>
  <c r="P2" i="14" s="1"/>
  <c r="P4" i="14"/>
  <c r="N12" i="9" l="1"/>
  <c r="E16" i="18"/>
  <c r="F36" i="7"/>
  <c r="F38" i="7" s="1"/>
  <c r="F39" i="7" s="1"/>
  <c r="H22" i="2"/>
  <c r="H24" i="2" s="1"/>
  <c r="P50" i="2"/>
  <c r="M27" i="10" l="1"/>
  <c r="H20" i="6"/>
  <c r="E17" i="18"/>
  <c r="F17" i="18"/>
  <c r="N14" i="9"/>
  <c r="H39" i="2"/>
  <c r="G36" i="7"/>
  <c r="G38" i="7" s="1"/>
  <c r="G39" i="7" s="1"/>
  <c r="H23" i="2"/>
  <c r="P52" i="2"/>
  <c r="P51" i="2"/>
  <c r="I39" i="2" l="1"/>
  <c r="I40" i="2" s="1"/>
  <c r="I41" i="2" s="1"/>
  <c r="Q30" i="2" s="1"/>
  <c r="Q31" i="2" s="1"/>
  <c r="Q34" i="2" s="1"/>
  <c r="I20" i="6"/>
  <c r="I21" i="6" s="1"/>
  <c r="F20" i="18" s="1"/>
  <c r="E18" i="18"/>
  <c r="E19" i="18" s="1"/>
  <c r="N17" i="9"/>
  <c r="N27" i="10"/>
  <c r="N29" i="10" s="1"/>
  <c r="F38" i="18" s="1"/>
  <c r="H25" i="2"/>
  <c r="P29" i="2" s="1"/>
  <c r="H19" i="6"/>
  <c r="H21" i="6" s="1"/>
  <c r="N20" i="9"/>
  <c r="Q32" i="2" l="1"/>
  <c r="Q35" i="2" s="1"/>
  <c r="F19" i="18"/>
  <c r="N18" i="9"/>
  <c r="N19" i="9" s="1"/>
  <c r="N30" i="10"/>
  <c r="F36" i="18"/>
  <c r="H26" i="2"/>
  <c r="N18" i="14"/>
  <c r="P18" i="14" s="1"/>
  <c r="N21" i="9"/>
  <c r="M28" i="10"/>
  <c r="M29" i="10" s="1"/>
  <c r="E38" i="18" s="1"/>
  <c r="H37" i="2"/>
  <c r="H40" i="2" s="1"/>
  <c r="H41" i="2" s="1"/>
  <c r="E2" i="11"/>
  <c r="E20" i="18" l="1"/>
  <c r="M30" i="10"/>
  <c r="E36" i="18"/>
  <c r="E37" i="18" s="1"/>
  <c r="I22" i="6"/>
  <c r="I23" i="6" s="1"/>
  <c r="H22" i="6"/>
  <c r="H23" i="6" s="1"/>
  <c r="P30" i="2"/>
  <c r="P31" i="2" s="1"/>
  <c r="H42" i="2"/>
  <c r="H43" i="2" s="1"/>
  <c r="H45" i="2" s="1"/>
  <c r="D64" i="2" s="1"/>
  <c r="I42" i="2"/>
  <c r="I43" i="2" s="1"/>
  <c r="I45" i="2" s="1"/>
  <c r="N22" i="9"/>
  <c r="O18" i="9" s="1"/>
  <c r="O19" i="9" s="1"/>
  <c r="M19" i="10"/>
  <c r="D56" i="2" l="1"/>
  <c r="D62" i="2" s="1"/>
  <c r="E21" i="18"/>
  <c r="F21" i="18"/>
  <c r="M18" i="10"/>
  <c r="M16" i="10" s="1"/>
  <c r="P34" i="2"/>
  <c r="D58" i="2"/>
  <c r="M171" i="2" s="1"/>
  <c r="M172" i="2" s="1"/>
  <c r="E39" i="18"/>
  <c r="F37" i="18"/>
  <c r="I47" i="2"/>
  <c r="D60" i="2"/>
  <c r="O63" i="2" s="1"/>
  <c r="I46" i="2"/>
  <c r="H46" i="2"/>
  <c r="H47" i="2"/>
  <c r="M63" i="2" l="1"/>
  <c r="C62" i="2"/>
  <c r="M20" i="10"/>
  <c r="M36" i="2"/>
  <c r="N117" i="2"/>
  <c r="N63" i="2"/>
  <c r="M179" i="2"/>
  <c r="N145" i="2"/>
  <c r="N88" i="2"/>
  <c r="F39" i="18"/>
  <c r="O117" i="2"/>
  <c r="O145" i="2"/>
  <c r="M88" i="2"/>
  <c r="M145" i="2"/>
  <c r="P146" i="2" s="1"/>
  <c r="R146" i="2" s="1"/>
  <c r="M117" i="2"/>
  <c r="P118" i="2" s="1"/>
  <c r="H48" i="2"/>
  <c r="D66" i="2" s="1"/>
  <c r="I48" i="2"/>
  <c r="O88" i="2"/>
  <c r="E64" i="2"/>
  <c r="M37" i="2" l="1"/>
  <c r="M38" i="2" s="1"/>
  <c r="E28" i="18"/>
  <c r="E29" i="18" s="1"/>
  <c r="E22" i="18"/>
  <c r="E23" i="18" s="1"/>
  <c r="M31" i="10"/>
  <c r="M32" i="10" s="1"/>
  <c r="E24" i="18"/>
  <c r="E25" i="18" s="1"/>
  <c r="P64" i="2"/>
  <c r="R64" i="2" s="1"/>
  <c r="P65" i="2"/>
  <c r="R65" i="2" s="1"/>
  <c r="P73" i="2"/>
  <c r="R73" i="2" s="1"/>
  <c r="P66" i="2"/>
  <c r="R66" i="2" s="1"/>
  <c r="P74" i="2"/>
  <c r="R74" i="2" s="1"/>
  <c r="P67" i="2"/>
  <c r="R67" i="2" s="1"/>
  <c r="P75" i="2"/>
  <c r="R75" i="2" s="1"/>
  <c r="P68" i="2"/>
  <c r="R68" i="2" s="1"/>
  <c r="P76" i="2"/>
  <c r="R76" i="2" s="1"/>
  <c r="P69" i="2"/>
  <c r="R69" i="2" s="1"/>
  <c r="P77" i="2"/>
  <c r="R77" i="2" s="1"/>
  <c r="P70" i="2"/>
  <c r="R70" i="2" s="1"/>
  <c r="P71" i="2"/>
  <c r="R71" i="2" s="1"/>
  <c r="P72" i="2"/>
  <c r="R72" i="2" s="1"/>
  <c r="P89" i="2"/>
  <c r="R89" i="2" s="1"/>
  <c r="P97" i="2"/>
  <c r="R97" i="2" s="1"/>
  <c r="P105" i="2"/>
  <c r="R105" i="2" s="1"/>
  <c r="P99" i="2"/>
  <c r="R99" i="2" s="1"/>
  <c r="P100" i="2"/>
  <c r="R100" i="2" s="1"/>
  <c r="P101" i="2"/>
  <c r="R101" i="2" s="1"/>
  <c r="P90" i="2"/>
  <c r="R90" i="2" s="1"/>
  <c r="P98" i="2"/>
  <c r="R98" i="2" s="1"/>
  <c r="P91" i="2"/>
  <c r="R91" i="2" s="1"/>
  <c r="P95" i="2"/>
  <c r="R95" i="2" s="1"/>
  <c r="P103" i="2"/>
  <c r="R103" i="2" s="1"/>
  <c r="P92" i="2"/>
  <c r="R92" i="2" s="1"/>
  <c r="P93" i="2"/>
  <c r="R93" i="2" s="1"/>
  <c r="P94" i="2"/>
  <c r="R94" i="2" s="1"/>
  <c r="P96" i="2"/>
  <c r="R96" i="2" s="1"/>
  <c r="P104" i="2"/>
  <c r="R104" i="2" s="1"/>
  <c r="P102" i="2"/>
  <c r="R102" i="2" s="1"/>
  <c r="P121" i="2"/>
  <c r="R121" i="2" s="1"/>
  <c r="R151" i="2"/>
  <c r="R150" i="2"/>
  <c r="R149" i="2"/>
  <c r="R148" i="2"/>
  <c r="R153" i="2"/>
  <c r="P120" i="2"/>
  <c r="R120" i="2" s="1"/>
  <c r="P119" i="2"/>
  <c r="R119" i="2" s="1"/>
  <c r="P134" i="2"/>
  <c r="R134" i="2" s="1"/>
  <c r="P127" i="2"/>
  <c r="R127" i="2" s="1"/>
  <c r="P132" i="2"/>
  <c r="R132" i="2" s="1"/>
  <c r="P131" i="2"/>
  <c r="R131" i="2" s="1"/>
  <c r="P124" i="2"/>
  <c r="R124" i="2" s="1"/>
  <c r="P123" i="2"/>
  <c r="R123" i="2" s="1"/>
  <c r="P122" i="2"/>
  <c r="R122" i="2" s="1"/>
  <c r="P130" i="2"/>
  <c r="R130" i="2" s="1"/>
  <c r="P129" i="2"/>
  <c r="R129" i="2" s="1"/>
  <c r="P133" i="2"/>
  <c r="R133" i="2" s="1"/>
  <c r="P128" i="2"/>
  <c r="R128" i="2" s="1"/>
  <c r="R118" i="2"/>
  <c r="P126" i="2"/>
  <c r="R126" i="2" s="1"/>
  <c r="P125" i="2"/>
  <c r="R125" i="2" s="1"/>
  <c r="G64" i="2"/>
  <c r="J64" i="2" s="1"/>
  <c r="E66" i="2"/>
  <c r="G66" i="2" l="1"/>
  <c r="J66" i="2" s="1"/>
  <c r="N16" i="10"/>
  <c r="N20" i="10" s="1"/>
  <c r="F22" i="18" s="1"/>
  <c r="F24" i="18" l="1"/>
  <c r="F25" i="18" s="1"/>
  <c r="F23" i="18"/>
  <c r="F28" i="18"/>
  <c r="F29" i="18" s="1"/>
  <c r="N31" i="10"/>
  <c r="N3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<sst xmlns="http://schemas.openxmlformats.org/spreadsheetml/2006/main" count="1675" uniqueCount="578">
  <si>
    <t>Table 1: Forecast of Turnover and market shares</t>
  </si>
  <si>
    <t>Year</t>
  </si>
  <si>
    <t>Turnover of the Portuguese industry (€)</t>
  </si>
  <si>
    <t>Market shares (Decorpita)</t>
  </si>
  <si>
    <t>Decorpita's turnover (€)</t>
  </si>
  <si>
    <t xml:space="preserve">Forecasts </t>
  </si>
  <si>
    <t>Table 2: Alusa Mirrors Forecasted Sales by Quantity</t>
  </si>
  <si>
    <t>At Decorpita (in units)</t>
  </si>
  <si>
    <t>Other distributors (in units)</t>
  </si>
  <si>
    <t>Total of new mirros sold (in units)</t>
  </si>
  <si>
    <t>Total mirrors sold from other brands (in units)</t>
  </si>
  <si>
    <t>Total quantity of mirrors sold (in units)</t>
  </si>
  <si>
    <t>% of qty of new mirrors sold / tot. Mirrors sold</t>
  </si>
  <si>
    <t>Table 3: Alusa Mirrors Forecasted Sales by Business Volume</t>
  </si>
  <si>
    <t>Years</t>
  </si>
  <si>
    <t>At Decorpita (€)</t>
  </si>
  <si>
    <t>Other distributors (€)</t>
  </si>
  <si>
    <t>Total of new mirrors sold (€)</t>
  </si>
  <si>
    <t>Total mirrors sold from other brands (€)</t>
  </si>
  <si>
    <t>Total sales of mirrors (€)</t>
  </si>
  <si>
    <t>% of mirrors sales / tot. turnover</t>
  </si>
  <si>
    <t>Alusa mirror's price with VAT:</t>
  </si>
  <si>
    <t>Average price of the mirrors sold (other brands):</t>
  </si>
  <si>
    <t>Table 4: Expacted inflation rates for the next 5 years</t>
  </si>
  <si>
    <t>YEARS</t>
  </si>
  <si>
    <t>Yearly Inflation Rates</t>
  </si>
  <si>
    <t>General Inflation</t>
  </si>
  <si>
    <t>Cumulated Inflation Indexes</t>
  </si>
  <si>
    <t>Table 5: Sales forecast with inflation</t>
  </si>
  <si>
    <t>Sales in € with inflation</t>
  </si>
  <si>
    <t xml:space="preserve">Fixed Costs </t>
  </si>
  <si>
    <t>Personnel Expenses</t>
  </si>
  <si>
    <t>- Designer</t>
  </si>
  <si>
    <t>Sales Units</t>
  </si>
  <si>
    <t>- Logistics</t>
  </si>
  <si>
    <t>Average/month</t>
  </si>
  <si>
    <t>- Marketing</t>
  </si>
  <si>
    <t>1,5 months</t>
  </si>
  <si>
    <t>- Salaries</t>
  </si>
  <si>
    <t>MKT Exp. V</t>
  </si>
  <si>
    <t>Total</t>
  </si>
  <si>
    <t>Social Security</t>
  </si>
  <si>
    <t>Meal allowance</t>
  </si>
  <si>
    <t>per unit</t>
  </si>
  <si>
    <t>Medicine at work</t>
  </si>
  <si>
    <t>Insurance on work accidents</t>
  </si>
  <si>
    <t>Training</t>
  </si>
  <si>
    <t>Tot. Personnel expenses</t>
  </si>
  <si>
    <t>Transportation</t>
  </si>
  <si>
    <t>Marketing (paid promotion)</t>
  </si>
  <si>
    <t>Other operational expenses</t>
  </si>
  <si>
    <t>Warehouse rent</t>
  </si>
  <si>
    <t xml:space="preserve">Software </t>
  </si>
  <si>
    <t>Electricity, water…</t>
  </si>
  <si>
    <t>Maintenance (IT, cleaning..)</t>
  </si>
  <si>
    <t>Accounting expenses</t>
  </si>
  <si>
    <t>Tot. Operational expenses</t>
  </si>
  <si>
    <t>Variable Costs</t>
  </si>
  <si>
    <t xml:space="preserve">this price changed </t>
  </si>
  <si>
    <t>Production Costs</t>
  </si>
  <si>
    <t>Mirror</t>
  </si>
  <si>
    <t>Tranportation costs per oder</t>
  </si>
  <si>
    <t>- Contractors</t>
  </si>
  <si>
    <t>Price (per m2)</t>
  </si>
  <si>
    <t>Wood to Mirror</t>
  </si>
  <si>
    <t>- Mirror</t>
  </si>
  <si>
    <t>Dimension</t>
  </si>
  <si>
    <t>m2</t>
  </si>
  <si>
    <t>To warehouse</t>
  </si>
  <si>
    <t>- Wood</t>
  </si>
  <si>
    <t>Price / mirror</t>
  </si>
  <si>
    <t>- Eletricity</t>
  </si>
  <si>
    <t>Price includes labour costs</t>
  </si>
  <si>
    <t>- Assembly costs</t>
  </si>
  <si>
    <t>Electricity</t>
  </si>
  <si>
    <t xml:space="preserve">mirrors </t>
  </si>
  <si>
    <t>Total production costs</t>
  </si>
  <si>
    <t>per mirror</t>
  </si>
  <si>
    <t>Transportation costs</t>
  </si>
  <si>
    <t>Marketing Expenses</t>
  </si>
  <si>
    <t>Assume we have a big truck - and we can transport 130 cabinets</t>
  </si>
  <si>
    <t>Assembly costs</t>
  </si>
  <si>
    <t>mirrors per hour</t>
  </si>
  <si>
    <t>Office supplies</t>
  </si>
  <si>
    <t>Total cost/mirroir</t>
  </si>
  <si>
    <t>Total Costs</t>
  </si>
  <si>
    <t>Sales</t>
  </si>
  <si>
    <t>Training costs</t>
  </si>
  <si>
    <t>per 40 hours</t>
  </si>
  <si>
    <t>per hour</t>
  </si>
  <si>
    <t>Sales - Total Costs</t>
  </si>
  <si>
    <t>Furnitures</t>
  </si>
  <si>
    <t>per unit sold</t>
  </si>
  <si>
    <t>Total Costs / sales units</t>
  </si>
  <si>
    <t>Fixed Tangible Assets</t>
  </si>
  <si>
    <t>Unit price</t>
  </si>
  <si>
    <t>Number of units</t>
  </si>
  <si>
    <t>Acquisition Value (€) </t>
  </si>
  <si>
    <t>Useful life (years) </t>
  </si>
  <si>
    <t>Depreciation rate </t>
  </si>
  <si>
    <t>Designer computer</t>
  </si>
  <si>
    <t>Other computers</t>
  </si>
  <si>
    <t>Desks</t>
  </si>
  <si>
    <t>Chairs</t>
  </si>
  <si>
    <t>Graphic tablet</t>
  </si>
  <si>
    <t>Printer</t>
  </si>
  <si>
    <t>Branding</t>
  </si>
  <si>
    <t>Legal fees (company incorporation, lawyer)</t>
  </si>
  <si>
    <t>Website</t>
  </si>
  <si>
    <t>TOTAL</t>
  </si>
  <si>
    <t>Year 3</t>
  </si>
  <si>
    <t>desks+chairs</t>
  </si>
  <si>
    <t>graphic tablet</t>
  </si>
  <si>
    <t>Average collection period: </t>
  </si>
  <si>
    <t>30 days</t>
  </si>
  <si>
    <t>Inventory:</t>
  </si>
  <si>
    <t>25% of costs of units sold the following year</t>
  </si>
  <si>
    <t>Average payment period to suppliers:</t>
  </si>
  <si>
    <t>60 days</t>
  </si>
  <si>
    <t>Social charges and insurance payment</t>
  </si>
  <si>
    <t xml:space="preserve">Income tax payment </t>
  </si>
  <si>
    <t>Following year</t>
  </si>
  <si>
    <t>Rent</t>
  </si>
  <si>
    <t>Inventory</t>
  </si>
  <si>
    <t>Accounts Receivable</t>
  </si>
  <si>
    <t>Accounts Payable ( suppliers)</t>
  </si>
  <si>
    <t>Rent to be paid next year</t>
  </si>
  <si>
    <t>Social charges and insurance to be paid next year</t>
  </si>
  <si>
    <t>Taxes to be paid next year</t>
  </si>
  <si>
    <t>NOWC requirement</t>
  </si>
  <si>
    <t>Investment in NOWC</t>
  </si>
  <si>
    <t>Cash flow from changes in NOWC requirement</t>
  </si>
  <si>
    <t>Straight-line depreciation design computer (33%)</t>
  </si>
  <si>
    <t>Book value (boy)</t>
  </si>
  <si>
    <t>Depreciation</t>
  </si>
  <si>
    <t>Book value (eoy)</t>
  </si>
  <si>
    <t>Total Depreciation</t>
  </si>
  <si>
    <t>Straight-line depreciation other computers (33%)</t>
  </si>
  <si>
    <t>Straight-line Depreciation office furnitures (12,5%)</t>
  </si>
  <si>
    <t>Straight-line Depreciation graphic tablet (33%)</t>
  </si>
  <si>
    <t>Straight-line Depreciation printer (20%)</t>
  </si>
  <si>
    <t>Capex Year 3</t>
  </si>
  <si>
    <t>Auxiliary Sales and Purchases Table (without and with VAT):</t>
  </si>
  <si>
    <t>Year 0</t>
  </si>
  <si>
    <t>Year 1</t>
  </si>
  <si>
    <t>Year 2</t>
  </si>
  <si>
    <t>Year 4</t>
  </si>
  <si>
    <t>Year 5</t>
  </si>
  <si>
    <t>Sales without VAT</t>
  </si>
  <si>
    <t>Sales with VAT</t>
  </si>
  <si>
    <t>COGS</t>
  </si>
  <si>
    <t>Value of stock  left at the end of period</t>
  </si>
  <si>
    <t>Value of stock at start of time period</t>
  </si>
  <si>
    <t>COGS Purchases without VAT</t>
  </si>
  <si>
    <t xml:space="preserve">electricity </t>
  </si>
  <si>
    <t>COGS Purchases with VAT</t>
  </si>
  <si>
    <t>VAT Tax rate:</t>
  </si>
  <si>
    <t>Average VAT payment (months):</t>
  </si>
  <si>
    <t>Operational Purchases without VAT</t>
  </si>
  <si>
    <t>Operational Purchases with VAT</t>
  </si>
  <si>
    <t>Investments in Capex without VAT</t>
  </si>
  <si>
    <t>Investments in Capex with VAT</t>
  </si>
  <si>
    <t>Total Purchases without VAT</t>
  </si>
  <si>
    <t>Total Purchases with VAT</t>
  </si>
  <si>
    <t>Auxiliary Table to determine VAT and Remaining Items of State and Other Public Entities</t>
  </si>
  <si>
    <t>VAT over Sales (Charged to Customers)</t>
  </si>
  <si>
    <t>VAT over purchases (Paid to Suppliers)</t>
  </si>
  <si>
    <t>VAT due to be paid (from the period)</t>
  </si>
  <si>
    <t xml:space="preserve">(Accumulated) VAT due to be paid  </t>
  </si>
  <si>
    <t>VAT to be received (Balance Sheet)</t>
  </si>
  <si>
    <t xml:space="preserve">VAT to be paid </t>
  </si>
  <si>
    <t>Credit VAT to be paid in the end of the Year (Balance Sheet)</t>
  </si>
  <si>
    <t>PROJECT CASH FLOW TABLE AT YEAR 0 PRICES</t>
  </si>
  <si>
    <t>Invest.</t>
  </si>
  <si>
    <t>Operations</t>
  </si>
  <si>
    <t>Assump.</t>
  </si>
  <si>
    <t>Sales in Unit (Quantities)</t>
  </si>
  <si>
    <t>Real Growth Rates (in quantities)</t>
  </si>
  <si>
    <t>Unit Selling Price without VAT</t>
  </si>
  <si>
    <t>Sales in €</t>
  </si>
  <si>
    <t>Variation in stocks of finished goods</t>
  </si>
  <si>
    <t>Unit COGS ( without transportation)</t>
  </si>
  <si>
    <t>COGS = Cost of Goods Sold</t>
  </si>
  <si>
    <t>Gross Profit in €</t>
  </si>
  <si>
    <t>Variable External Supplies and Services</t>
  </si>
  <si>
    <t>Contribution Margin in €</t>
  </si>
  <si>
    <t xml:space="preserve">Fixed External Supplies and Services </t>
  </si>
  <si>
    <t xml:space="preserve">Other fixed operational expenses </t>
  </si>
  <si>
    <t>Staff Costs</t>
  </si>
  <si>
    <t>Cash Fixed Charges</t>
  </si>
  <si>
    <t>EBITDA</t>
  </si>
  <si>
    <t>Depreciations and Amortizations</t>
  </si>
  <si>
    <t>EBIT = Operating Profit</t>
  </si>
  <si>
    <t>Financial expenses</t>
  </si>
  <si>
    <t>EBT=Earnings Before Taxes</t>
  </si>
  <si>
    <t>growth rate</t>
  </si>
  <si>
    <t>CIT</t>
  </si>
  <si>
    <t>Municipal surtax</t>
  </si>
  <si>
    <t>[EBIAT = EBIT(1-t)]</t>
  </si>
  <si>
    <t>Operating Cash Flow or Cash Flow from Operations</t>
  </si>
  <si>
    <t>VAT Tax Rate</t>
  </si>
  <si>
    <t>Discounted CF Method</t>
  </si>
  <si>
    <t>Inventories</t>
  </si>
  <si>
    <t xml:space="preserve">Accounts Receivable </t>
  </si>
  <si>
    <t>After-tax earnings</t>
  </si>
  <si>
    <t>VAT to be received (Capital Expenditures)</t>
  </si>
  <si>
    <t>Capex+Inv. in NWC</t>
  </si>
  <si>
    <t xml:space="preserve">VAT to be received </t>
  </si>
  <si>
    <t>FCFF</t>
  </si>
  <si>
    <t>Working Capital Needs (Current Assets)</t>
  </si>
  <si>
    <t>Terminal Value</t>
  </si>
  <si>
    <t>Social Charges included in Staff Costs</t>
  </si>
  <si>
    <t>Discount factor</t>
  </si>
  <si>
    <t>Social Charges and insurance to be paid next year</t>
  </si>
  <si>
    <t>1 month</t>
  </si>
  <si>
    <t>Discounted FCFF</t>
  </si>
  <si>
    <t>Accounts Payable (suppliers)</t>
  </si>
  <si>
    <t>Discounted Terminal Value</t>
  </si>
  <si>
    <t>Enterprise value</t>
  </si>
  <si>
    <t>Income tax and CIT</t>
  </si>
  <si>
    <t>Firm Value</t>
  </si>
  <si>
    <t xml:space="preserve">VAT due to be paid </t>
  </si>
  <si>
    <t>Equity Value</t>
  </si>
  <si>
    <t>VAT to be paid in the following year</t>
  </si>
  <si>
    <t>Net Working Capital Needs or Requirements</t>
  </si>
  <si>
    <t>Investment in Net Working Capital Needs</t>
  </si>
  <si>
    <t>Net Operating Cash Flow</t>
  </si>
  <si>
    <t>CAPEX (fixed Assets)</t>
  </si>
  <si>
    <t>PROJECT NET CASH FLOW</t>
  </si>
  <si>
    <t>Cumulated Net Cash Flow</t>
  </si>
  <si>
    <t>PV of Project Net Cash Flow</t>
  </si>
  <si>
    <t>Financial Risk Indicators</t>
  </si>
  <si>
    <t>Cumulated PV of Project Net Cash Flow</t>
  </si>
  <si>
    <t>Operating Leverage Degree (OLD)</t>
  </si>
  <si>
    <t>Financial Leverage Degree (FLD)</t>
  </si>
  <si>
    <t>Total or Combined Leverage Degree (CLD)</t>
  </si>
  <si>
    <t>Hurdle Rate ( WACC+ Risk premium 3%)</t>
  </si>
  <si>
    <t xml:space="preserve">  NPV = Net Present Value</t>
  </si>
  <si>
    <t xml:space="preserve">  IRR = Internal Rate of Return</t>
  </si>
  <si>
    <t xml:space="preserve">  MIRR = Modified Internal Rate of Return</t>
  </si>
  <si>
    <t>Profitability Index</t>
  </si>
  <si>
    <t>Value Creation Index</t>
  </si>
  <si>
    <t>PAY BACK (Accounting)</t>
  </si>
  <si>
    <t>Months</t>
  </si>
  <si>
    <t>Days</t>
  </si>
  <si>
    <t>SENSITIVITY ANALYSIS (UNIT SELLING PRICE)</t>
  </si>
  <si>
    <t>Current unit selling price:</t>
  </si>
  <si>
    <t>PAY BACK Discounted (Financial)</t>
  </si>
  <si>
    <t>NPV</t>
  </si>
  <si>
    <t>IRR</t>
  </si>
  <si>
    <t>MIRR</t>
  </si>
  <si>
    <t>Debt to equity ratio</t>
  </si>
  <si>
    <t>Unit's Selling Price (USP)</t>
  </si>
  <si>
    <t>NPV % Var</t>
  </si>
  <si>
    <t>USP % Var</t>
  </si>
  <si>
    <t>Leverage Degree = NPV Var/USP Var</t>
  </si>
  <si>
    <t>Value of equity (E)</t>
  </si>
  <si>
    <t>WACC</t>
  </si>
  <si>
    <t>Market Value of debt (D)</t>
  </si>
  <si>
    <t>Cost of equity (Ce)</t>
  </si>
  <si>
    <t>Cost of debt (Cd)</t>
  </si>
  <si>
    <t>V (E+D)</t>
  </si>
  <si>
    <t>Levered Beta</t>
  </si>
  <si>
    <t>Unlevered beta</t>
  </si>
  <si>
    <t>Beta (retail of building supplies)</t>
  </si>
  <si>
    <t>risk free rate:</t>
  </si>
  <si>
    <t>PSI return</t>
  </si>
  <si>
    <t>Market risk premium</t>
  </si>
  <si>
    <t>Cost of equity</t>
  </si>
  <si>
    <t>Values obtained by Goal Seek:</t>
  </si>
  <si>
    <t>Break Even</t>
  </si>
  <si>
    <t>Original</t>
  </si>
  <si>
    <t>% BE/Original</t>
  </si>
  <si>
    <t>% Max. Drop</t>
  </si>
  <si>
    <t>Safety Margin</t>
  </si>
  <si>
    <t>Interest on debt</t>
  </si>
  <si>
    <t xml:space="preserve">Minimum selling Price (NPV=0) </t>
  </si>
  <si>
    <t>SENSITIVITY ANALYSIS (COGS)</t>
  </si>
  <si>
    <t>Current COGS/unit sold:</t>
  </si>
  <si>
    <t>COGS (€)</t>
  </si>
  <si>
    <t>COGS % Var</t>
  </si>
  <si>
    <t>Leverage Degree = NPV Var/COGS Var</t>
  </si>
  <si>
    <t>by Goal Seek</t>
  </si>
  <si>
    <t>% Variation from Base Case</t>
  </si>
  <si>
    <t>SENSITIVITY ANALYSIS (Real discount rate)</t>
  </si>
  <si>
    <t xml:space="preserve">Real discount rate </t>
  </si>
  <si>
    <t>R % Var</t>
  </si>
  <si>
    <t>Leverage Degree = NPV Var/RATE Var</t>
  </si>
  <si>
    <t>Discount Rate Breakeven (=IRR)</t>
  </si>
  <si>
    <t xml:space="preserve"> % Variation from Base Case</t>
  </si>
  <si>
    <t xml:space="preserve"> Unit's COGS</t>
  </si>
  <si>
    <t>Working Capital Ratio</t>
  </si>
  <si>
    <t>CIT:</t>
  </si>
  <si>
    <t> Years</t>
  </si>
  <si>
    <t>Operating costs</t>
  </si>
  <si>
    <t>Maintenance (IT, cleaning...)</t>
  </si>
  <si>
    <t>Electricity, water</t>
  </si>
  <si>
    <t>Software</t>
  </si>
  <si>
    <t>Labour costs</t>
  </si>
  <si>
    <t>Salaries</t>
  </si>
  <si>
    <t xml:space="preserve">Depreciations </t>
  </si>
  <si>
    <t>Financial Expenses  (Medium Term)</t>
  </si>
  <si>
    <t>Income Taxes</t>
  </si>
  <si>
    <t> </t>
  </si>
  <si>
    <t>Contribution Margin</t>
  </si>
  <si>
    <t>rent et social charges a payer</t>
  </si>
  <si>
    <t>Capex</t>
  </si>
  <si>
    <t>Other Operational Expenses</t>
  </si>
  <si>
    <t>EBIT = Operational Profit</t>
  </si>
  <si>
    <t>Total Financial Expenses</t>
  </si>
  <si>
    <t>Loss Report /Net Loss</t>
  </si>
  <si>
    <t>Taxable Income</t>
  </si>
  <si>
    <t>Net Income</t>
  </si>
  <si>
    <t>Net Loss to report</t>
  </si>
  <si>
    <t>LOAN REPAYMENT SCHEDULE: Medium-long term Loan</t>
  </si>
  <si>
    <t>Imp.</t>
  </si>
  <si>
    <t>TOT.</t>
  </si>
  <si>
    <t>Amount of the loan:</t>
  </si>
  <si>
    <t>Monthly interest rate (5% annually)</t>
  </si>
  <si>
    <t>Stamp duty tax (0,6% of the loan)</t>
  </si>
  <si>
    <t>Study and hiring fee</t>
  </si>
  <si>
    <t>Corporate Income Tax</t>
  </si>
  <si>
    <t>Total/year</t>
  </si>
  <si>
    <t>Principal at BOY (Beginning of year)</t>
  </si>
  <si>
    <t xml:space="preserve">Monthly interest payment </t>
  </si>
  <si>
    <t>Comission</t>
  </si>
  <si>
    <t>Imp</t>
  </si>
  <si>
    <t>Repayment of Principal</t>
  </si>
  <si>
    <t>Installment =Interest + Repayment</t>
  </si>
  <si>
    <t>Financing map</t>
  </si>
  <si>
    <t>Principal at EOY (End of year)</t>
  </si>
  <si>
    <t>Starting value</t>
  </si>
  <si>
    <t>Amortisation</t>
  </si>
  <si>
    <t>Interest</t>
  </si>
  <si>
    <t>Annual payment</t>
  </si>
  <si>
    <t>Taxshield on interest payment</t>
  </si>
  <si>
    <t>Interest tax</t>
  </si>
  <si>
    <t>Taxshield on tax payments on interest</t>
  </si>
  <si>
    <t>Commission</t>
  </si>
  <si>
    <t>Taxshield on commission</t>
  </si>
  <si>
    <t>Taxshield on Tax on opening a credit line</t>
  </si>
  <si>
    <t>Cash outflow</t>
  </si>
  <si>
    <t>Cash flow</t>
  </si>
  <si>
    <t>Annual All-In Cost</t>
  </si>
  <si>
    <t>Interim calculation of intermediate interest rate</t>
  </si>
  <si>
    <t>Action</t>
  </si>
  <si>
    <t>Date</t>
  </si>
  <si>
    <t>Intermediary interest</t>
  </si>
  <si>
    <t>Subscription of the loan</t>
  </si>
  <si>
    <t>Payment of monthly interests</t>
  </si>
  <si>
    <t>Total interests paid</t>
  </si>
  <si>
    <t>Assets:</t>
  </si>
  <si>
    <t>Fixed Assets</t>
  </si>
  <si>
    <t>Accumulated Depreciations and Amortizations</t>
  </si>
  <si>
    <t>Net Fixed Assets (Non-Current Assets)</t>
  </si>
  <si>
    <t>Current Assets:</t>
  </si>
  <si>
    <t>Finished Goods Inventories</t>
  </si>
  <si>
    <t>VAT to recover</t>
  </si>
  <si>
    <t>Liquidity (Cash and Banks)</t>
  </si>
  <si>
    <t>Total Current Assets</t>
  </si>
  <si>
    <t>Net Total Assets</t>
  </si>
  <si>
    <t>Owners' Equity:</t>
  </si>
  <si>
    <t>Share Capital</t>
  </si>
  <si>
    <t xml:space="preserve"> Retained Earnings</t>
  </si>
  <si>
    <t>Dividends</t>
  </si>
  <si>
    <t>Reserve (&gt;2500€)</t>
  </si>
  <si>
    <t>Net Profit/Loss (Current Year)</t>
  </si>
  <si>
    <t>Total Equity</t>
  </si>
  <si>
    <t>Liabilities:</t>
  </si>
  <si>
    <t>Non-Current Liabilities:</t>
  </si>
  <si>
    <t>Medium Term Loans</t>
  </si>
  <si>
    <t>Total Non- Current Liabilities</t>
  </si>
  <si>
    <t>Investment Suppliers</t>
  </si>
  <si>
    <t>Operational Suppliers</t>
  </si>
  <si>
    <t>Vat due to be paid</t>
  </si>
  <si>
    <t>Other Accounts Payable (Income taxes to pay included)</t>
  </si>
  <si>
    <t>Total Current Liabilities</t>
  </si>
  <si>
    <t>Total Liabilities</t>
  </si>
  <si>
    <t>Total (Funding or) Sources of Funds</t>
  </si>
  <si>
    <t>Control (Difference)</t>
  </si>
  <si>
    <t>Company Performance</t>
  </si>
  <si>
    <t>Indicators</t>
  </si>
  <si>
    <t>Revenues</t>
  </si>
  <si>
    <t>Variation Revenue</t>
  </si>
  <si>
    <t>Variation COGS</t>
  </si>
  <si>
    <t>Interest Expense</t>
  </si>
  <si>
    <t>Variation Interest Expense</t>
  </si>
  <si>
    <t>Ratio Analysis</t>
  </si>
  <si>
    <t>Profitability Ratios</t>
  </si>
  <si>
    <t>Contribution Margin ( in % of sales)</t>
  </si>
  <si>
    <t>Variation Contribution Margin (% of sales)</t>
  </si>
  <si>
    <t>Return on Sales</t>
  </si>
  <si>
    <t>Variation on Return on Sales</t>
  </si>
  <si>
    <t>NWC/Sales</t>
  </si>
  <si>
    <t>Variation NWC/Sales</t>
  </si>
  <si>
    <t>Variation ROI</t>
  </si>
  <si>
    <t>Return-On-Equity (ROE)</t>
  </si>
  <si>
    <t>Variation ROE</t>
  </si>
  <si>
    <t>Solvency Ratios</t>
  </si>
  <si>
    <t>Debt-to-Equity</t>
  </si>
  <si>
    <t>Variation Debt-to-Equity</t>
  </si>
  <si>
    <t>Debt-to-Asset</t>
  </si>
  <si>
    <t>Variation Debt-to-Asset</t>
  </si>
  <si>
    <t>Liquidity Ratios</t>
  </si>
  <si>
    <t>Current Ratio</t>
  </si>
  <si>
    <t>Variation Current Ratio</t>
  </si>
  <si>
    <t>Quick Ratio</t>
  </si>
  <si>
    <t>Variation Quick Ratio</t>
  </si>
  <si>
    <t>Scenario Sensitivity Analysis</t>
  </si>
  <si>
    <t>Evolution of the factors</t>
  </si>
  <si>
    <t>Optimisitic +10%</t>
  </si>
  <si>
    <t>Current 0%</t>
  </si>
  <si>
    <t>Pessimistic -10%</t>
  </si>
  <si>
    <t>Worst case -15%</t>
  </si>
  <si>
    <t>Unit selling price</t>
  </si>
  <si>
    <t>Unit COGS</t>
  </si>
  <si>
    <t>Real discount rate</t>
  </si>
  <si>
    <t>ACTIVITY SCHEDULE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</si>
  <si>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</si>
  <si>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</si>
  <si>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</si>
  <si>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</si>
  <si>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</si>
  <si>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</si>
  <si>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</si>
  <si>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</si>
  <si>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</si>
  <si>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</si>
  <si>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W1</t>
  </si>
  <si>
    <t>W2</t>
  </si>
  <si>
    <t>W3</t>
  </si>
  <si>
    <t>W4</t>
  </si>
  <si>
    <t>R&amp;D</t>
  </si>
  <si>
    <t>Design</t>
  </si>
  <si>
    <t>Production</t>
  </si>
  <si>
    <t>- Mirrors</t>
  </si>
  <si>
    <t>- Lights</t>
  </si>
  <si>
    <t>- Cabinets (Producton + Transportation)</t>
  </si>
  <si>
    <t>- Assembly</t>
  </si>
  <si>
    <t>Marketing</t>
  </si>
  <si>
    <t>- Website improvement</t>
  </si>
  <si>
    <t>- Social media improvement</t>
  </si>
  <si>
    <t>- SEO Strategies</t>
  </si>
  <si>
    <t>- Partnerships with architects/designers</t>
  </si>
  <si>
    <t>- Social media promotion</t>
  </si>
  <si>
    <t>- Outdoors</t>
  </si>
  <si>
    <t>- TV commercial</t>
  </si>
  <si>
    <t>- TV Decor show</t>
  </si>
  <si>
    <t>- Partnerships with influencer/celebrity</t>
  </si>
  <si>
    <t>- Decor magazines</t>
  </si>
  <si>
    <t>Assume Launch</t>
  </si>
  <si>
    <t>ACTIVITIES</t>
  </si>
  <si>
    <t>START</t>
  </si>
  <si>
    <t>END</t>
  </si>
  <si>
    <t>DURATION (in days)</t>
  </si>
  <si>
    <t>MEAN DURATION</t>
  </si>
  <si>
    <t>TOTAL FLOAT</t>
  </si>
  <si>
    <t>VARIANCE</t>
  </si>
  <si>
    <t>ACTIVITY</t>
  </si>
  <si>
    <t>PRECEDENT</t>
  </si>
  <si>
    <t>MOST LIKELY</t>
  </si>
  <si>
    <t>OPTIMISTIC</t>
  </si>
  <si>
    <t>PESSIMISTIC</t>
  </si>
  <si>
    <t>A</t>
  </si>
  <si>
    <t>M1W1</t>
  </si>
  <si>
    <t>M1W2</t>
  </si>
  <si>
    <t>B</t>
  </si>
  <si>
    <t>M1W3</t>
  </si>
  <si>
    <t>M2W2</t>
  </si>
  <si>
    <t>C</t>
  </si>
  <si>
    <t>M2W3</t>
  </si>
  <si>
    <t>M3W1</t>
  </si>
  <si>
    <t>D</t>
  </si>
  <si>
    <t>M3W2</t>
  </si>
  <si>
    <t>- Cabinets</t>
  </si>
  <si>
    <t>E</t>
  </si>
  <si>
    <t>F</t>
  </si>
  <si>
    <t>D,E</t>
  </si>
  <si>
    <t>M3W3</t>
  </si>
  <si>
    <t>G</t>
  </si>
  <si>
    <t>M3W4</t>
  </si>
  <si>
    <t>Activity</t>
  </si>
  <si>
    <t>Mean Duration</t>
  </si>
  <si>
    <t>Earliest Start</t>
  </si>
  <si>
    <t>Earliest Finishig</t>
  </si>
  <si>
    <t>Latest Start</t>
  </si>
  <si>
    <t>Latest Finishing</t>
  </si>
  <si>
    <t>DURATION</t>
  </si>
  <si>
    <t>Critical Path:</t>
  </si>
  <si>
    <t>A -&gt; B -&gt; C -&gt; D -&gt; E -&gt; F</t>
  </si>
  <si>
    <t>DAYS</t>
  </si>
  <si>
    <t>A -&gt; B -&gt; E -&gt; F</t>
  </si>
  <si>
    <t>Start</t>
  </si>
  <si>
    <t>Finish</t>
  </si>
  <si>
    <t>Unit Selling Price and Unit COGS Joint (Simultaneous) Sensitivity Analysis</t>
  </si>
  <si>
    <t xml:space="preserve"> Unit's selling price</t>
  </si>
  <si>
    <t>Units sold in the first  year</t>
  </si>
  <si>
    <t>SENSITIVITY ANALYSIS (Units sold in the first year)</t>
  </si>
  <si>
    <t>Units sold</t>
  </si>
  <si>
    <t>Units % Var</t>
  </si>
  <si>
    <t>Current units sold :</t>
  </si>
  <si>
    <t xml:space="preserve">Minimum units sold in year 0 (NPV=0) </t>
  </si>
  <si>
    <t>Investment Coverage</t>
  </si>
  <si>
    <t>Investment</t>
  </si>
  <si>
    <t>Margin of safety</t>
  </si>
  <si>
    <t>Investment needed</t>
  </si>
  <si>
    <t>Cumulative Investment needed</t>
  </si>
  <si>
    <t>Debt</t>
  </si>
  <si>
    <t>Loan</t>
  </si>
  <si>
    <t>Equity Dependance</t>
  </si>
  <si>
    <t>Financing source</t>
  </si>
  <si>
    <t>Cash-Flow</t>
  </si>
  <si>
    <t>Capital</t>
  </si>
  <si>
    <t>Banking  financement</t>
  </si>
  <si>
    <t>Cumulated total</t>
  </si>
  <si>
    <t>Debt Dependance</t>
  </si>
  <si>
    <t>Scenario Summary</t>
  </si>
  <si>
    <t>Current Values:</t>
  </si>
  <si>
    <t>Changing Cells:</t>
  </si>
  <si>
    <t>Result Cells:</t>
  </si>
  <si>
    <t>Net Operating Cash Flow (Year 1)</t>
  </si>
  <si>
    <t>Net Operating Cash Flow (Year 2)</t>
  </si>
  <si>
    <t>Net Operating Cash Flow (Year 3)</t>
  </si>
  <si>
    <t>Net Operating Cash Flow (Year 4)</t>
  </si>
  <si>
    <t>Net Operating Cash Flow (Year 5)</t>
  </si>
  <si>
    <t>Cost of Equity = Shareholders required rate of Return</t>
  </si>
  <si>
    <t>Best cast +15%</t>
  </si>
  <si>
    <t>Cumulated Depreciation</t>
  </si>
  <si>
    <t>Working Capital Resources (Current Liabilities)</t>
  </si>
  <si>
    <t>Assumptions</t>
  </si>
  <si>
    <t>Paid in the following month</t>
  </si>
  <si>
    <t>Following month</t>
  </si>
  <si>
    <t>Investment in Net Operating Working Capital</t>
  </si>
  <si>
    <t> Year</t>
  </si>
  <si>
    <t xml:space="preserve"> Fixed Charges</t>
  </si>
  <si>
    <t>Best case scenario</t>
  </si>
  <si>
    <t>Optimistic scenario</t>
  </si>
  <si>
    <t>Worst case scenario</t>
  </si>
  <si>
    <t>Profitability index</t>
  </si>
  <si>
    <t>MIRR = Modified Internal Rate of Return</t>
  </si>
  <si>
    <t>IRR = Internal Rate of Return</t>
  </si>
  <si>
    <t>NPV = Net Present Value</t>
  </si>
  <si>
    <t>2. Optimistic scenario</t>
  </si>
  <si>
    <t>1. Best case scenario</t>
  </si>
  <si>
    <t>Optimistic scenario units sold (+10%)</t>
  </si>
  <si>
    <t>Best case scenario Units sold (+15%)</t>
  </si>
  <si>
    <t>Best case scenario Unit selling price (+15%)</t>
  </si>
  <si>
    <t>Pessmistic scenario Units sold (-10%)</t>
  </si>
  <si>
    <t>3. Pessimistic scenario</t>
  </si>
  <si>
    <t>4. Worst case scenario</t>
  </si>
  <si>
    <t>Worst case scenario Units sold (-15%)</t>
  </si>
  <si>
    <t xml:space="preserve">water </t>
  </si>
  <si>
    <t xml:space="preserve"> Return On Invested Capital (ROIC)</t>
  </si>
  <si>
    <t>services</t>
  </si>
  <si>
    <t>insurance</t>
  </si>
  <si>
    <t>External Supplies without VAT (23%)</t>
  </si>
  <si>
    <t>External Supplies with VAT (23%)</t>
  </si>
  <si>
    <t>Services with VAT</t>
  </si>
  <si>
    <t xml:space="preserve">Electricity </t>
  </si>
  <si>
    <t>Services without VAT (13%)</t>
  </si>
  <si>
    <t>Water with VAT</t>
  </si>
  <si>
    <t>Water without VAT</t>
  </si>
  <si>
    <t>COGS Break-Even (maximum)</t>
  </si>
  <si>
    <t>Current discount rate:</t>
  </si>
  <si>
    <t>VAT to be received (Capex)</t>
  </si>
  <si>
    <t>VAT due to be paid</t>
  </si>
  <si>
    <t>2 months</t>
  </si>
  <si>
    <t>Best case scenario Unit COGS (-15%)</t>
  </si>
  <si>
    <t>Best case scenario real discount rate (-15%)</t>
  </si>
  <si>
    <t>Optimistic scenario unit selling price (+10%)</t>
  </si>
  <si>
    <t>Optimistic scenario unit COGS (-10%)</t>
  </si>
  <si>
    <t>Optimistic scenario discount rate (-10%)</t>
  </si>
  <si>
    <t>Pessmistic scenario Unit selling price (-10%)</t>
  </si>
  <si>
    <t>Pessmistic scenario unit COGS(+10%)</t>
  </si>
  <si>
    <t>Pessmistic scenario discount rate (+10%)</t>
  </si>
  <si>
    <t>Worst case scenario Unit selling price (-15%)</t>
  </si>
  <si>
    <t>Worst case scenario Unit COGS (+15%)</t>
  </si>
  <si>
    <t>Worst case scenario discount rate (+15%)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</si>
</sst>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0.000%"/>
    <numFmt numFmtId="166" formatCode="0.0000"/>
    <numFmt numFmtId="167" formatCode="#,##0_ ;[Red]\-#,##0\ "/>
    <numFmt numFmtId="168" formatCode="0.0"/>
    <numFmt numFmtId="169" formatCode="#,##0.00_ ;[Red]\-#,##0.00\ "/>
    <numFmt numFmtId="170" formatCode="#,##0.00\ [$€-1];[Red]\-#,##0.00\ [$€-1]"/>
    <numFmt numFmtId="171" formatCode="_-[$€-2]\ * #,##0.00_-;\-[$€-2]\ * #,##0.00_-;_-[$€-2]\ * &quot;-&quot;??_-;_-@_-"/>
    <numFmt numFmtId="172" formatCode="&quot;€&quot;#,##0.00"/>
    <numFmt numFmtId="173" formatCode="0.000000"/>
    <numFmt numFmtId="174" formatCode="0.0%"/>
    <numFmt numFmtId="175" formatCode="#,##0.000"/>
    <numFmt numFmtId="176" formatCode="0.0000%"/>
    <numFmt numFmtId="177" formatCode="#,##0.00\ &quot;€&quot;"/>
    <numFmt numFmtId="178" formatCode="0.000"/>
    <numFmt numFmtId="179" formatCode="0.00000%"/>
    <numFmt numFmtId="180" formatCode="#,##0.000000"/>
    <numFmt numFmtId="181" formatCode="#,##0.00000"/>
  </numFmts>
  <fonts count="5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MS Sans Serif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4"/>
      <color rgb="FFFFFFFF"/>
      <name val="Century Gothic"/>
      <family val="1"/>
      <charset val="1"/>
    </font>
    <font>
      <b/>
      <sz val="11"/>
      <color rgb="FFFFFFFF"/>
      <name val="Century Gothic"/>
      <family val="1"/>
      <charset val="1"/>
    </font>
    <font>
      <b/>
      <sz val="11"/>
      <color rgb="FF000000"/>
      <name val="Century Gothic"/>
      <family val="1"/>
      <charset val="1"/>
    </font>
    <font>
      <sz val="11"/>
      <color rgb="FF000000"/>
      <name val="Arial"/>
      <family val="2"/>
    </font>
    <font>
      <sz val="11"/>
      <color rgb="FF000000"/>
      <name val="Century Gothic"/>
      <family val="1"/>
      <charset val="1"/>
    </font>
    <font>
      <b/>
      <sz val="13"/>
      <color rgb="FFFFFFFF"/>
      <name val="Century Gothic"/>
      <family val="1"/>
      <charset val="1"/>
    </font>
    <font>
      <sz val="11"/>
      <name val="Century Gothic"/>
      <family val="1"/>
      <charset val="1"/>
    </font>
    <font>
      <b/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indexed="9"/>
      <name val="Calibri"/>
      <family val="2"/>
      <scheme val="minor"/>
    </font>
    <font>
      <sz val="25"/>
      <color indexed="9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25"/>
      <color indexed="18"/>
      <name val="Calibri"/>
      <family val="2"/>
      <scheme val="minor"/>
    </font>
    <font>
      <b/>
      <sz val="25"/>
      <color indexed="8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2F83B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AEB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AC3E7"/>
        <bgColor indexed="64"/>
      </patternFill>
    </fill>
    <fill>
      <patternFill patternType="solid">
        <fgColor rgb="FF2F83B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AEBF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2F83B9"/>
        <bgColor indexed="24"/>
      </patternFill>
    </fill>
    <fill>
      <patternFill patternType="solid">
        <fgColor rgb="FFCAEBFF"/>
        <bgColor indexed="2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50">
    <xf numFmtId="0" fontId="0" fillId="0" borderId="0" xfId="0"/>
    <xf numFmtId="0" fontId="3" fillId="0" borderId="0" xfId="0" applyFont="1"/>
    <xf numFmtId="165" fontId="0" fillId="0" borderId="0" xfId="2" applyNumberFormat="1" applyFont="1"/>
    <xf numFmtId="0" fontId="2" fillId="0" borderId="0" xfId="0" applyFont="1" applyAlignment="1">
      <alignment horizontal="left"/>
    </xf>
    <xf numFmtId="165" fontId="0" fillId="0" borderId="1" xfId="2" applyNumberFormat="1" applyFont="1" applyBorder="1" applyAlignment="1">
      <alignment horizontal="center"/>
    </xf>
    <xf numFmtId="165" fontId="0" fillId="0" borderId="8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44" fontId="0" fillId="0" borderId="10" xfId="1" applyFont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4" fontId="3" fillId="0" borderId="1" xfId="0" applyNumberFormat="1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10" fontId="2" fillId="2" borderId="6" xfId="2" applyNumberFormat="1" applyFont="1" applyFill="1" applyBorder="1" applyAlignment="1">
      <alignment horizontal="center"/>
    </xf>
    <xf numFmtId="0" fontId="0" fillId="0" borderId="0" xfId="0" applyFill="1"/>
    <xf numFmtId="0" fontId="2" fillId="4" borderId="5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4" fontId="0" fillId="0" borderId="1" xfId="1" applyNumberFormat="1" applyFont="1" applyBorder="1" applyAlignment="1">
      <alignment horizontal="center"/>
    </xf>
    <xf numFmtId="4" fontId="0" fillId="4" borderId="1" xfId="1" applyNumberFormat="1" applyFont="1" applyFill="1" applyBorder="1" applyAlignment="1">
      <alignment horizontal="center"/>
    </xf>
    <xf numFmtId="4" fontId="0" fillId="4" borderId="8" xfId="1" applyNumberFormat="1" applyFont="1" applyFill="1" applyBorder="1" applyAlignment="1">
      <alignment horizontal="center"/>
    </xf>
    <xf numFmtId="0" fontId="0" fillId="4" borderId="0" xfId="0" applyFill="1"/>
    <xf numFmtId="4" fontId="4" fillId="2" borderId="1" xfId="0" applyNumberFormat="1" applyFont="1" applyFill="1" applyBorder="1" applyAlignment="1">
      <alignment horizontal="center"/>
    </xf>
    <xf numFmtId="4" fontId="4" fillId="2" borderId="8" xfId="0" applyNumberFormat="1" applyFont="1" applyFill="1" applyBorder="1" applyAlignment="1">
      <alignment horizontal="center"/>
    </xf>
    <xf numFmtId="0" fontId="4" fillId="0" borderId="12" xfId="0" applyFont="1" applyBorder="1"/>
    <xf numFmtId="10" fontId="2" fillId="2" borderId="9" xfId="2" applyNumberFormat="1" applyFont="1" applyFill="1" applyBorder="1" applyAlignment="1">
      <alignment horizontal="center"/>
    </xf>
    <xf numFmtId="0" fontId="0" fillId="0" borderId="25" xfId="0" applyBorder="1"/>
    <xf numFmtId="4" fontId="0" fillId="0" borderId="6" xfId="1" applyNumberFormat="1" applyFont="1" applyBorder="1" applyAlignment="1">
      <alignment horizontal="center"/>
    </xf>
    <xf numFmtId="4" fontId="0" fillId="4" borderId="6" xfId="1" applyNumberFormat="1" applyFont="1" applyFill="1" applyBorder="1" applyAlignment="1">
      <alignment horizontal="center"/>
    </xf>
    <xf numFmtId="4" fontId="0" fillId="4" borderId="9" xfId="1" applyNumberFormat="1" applyFont="1" applyFill="1" applyBorder="1" applyAlignment="1">
      <alignment horizontal="center"/>
    </xf>
    <xf numFmtId="4" fontId="4" fillId="2" borderId="10" xfId="0" applyNumberFormat="1" applyFont="1" applyFill="1" applyBorder="1" applyAlignment="1">
      <alignment horizontal="center"/>
    </xf>
    <xf numFmtId="4" fontId="4" fillId="2" borderId="28" xfId="0" applyNumberFormat="1" applyFont="1" applyFill="1" applyBorder="1" applyAlignment="1">
      <alignment horizontal="center"/>
    </xf>
    <xf numFmtId="165" fontId="2" fillId="2" borderId="6" xfId="2" applyNumberFormat="1" applyFont="1" applyFill="1" applyBorder="1" applyAlignment="1">
      <alignment horizontal="center"/>
    </xf>
    <xf numFmtId="165" fontId="2" fillId="2" borderId="9" xfId="2" applyNumberFormat="1" applyFont="1" applyFill="1" applyBorder="1" applyAlignment="1">
      <alignment horizontal="center"/>
    </xf>
    <xf numFmtId="0" fontId="0" fillId="0" borderId="0" xfId="0" applyAlignment="1"/>
    <xf numFmtId="0" fontId="2" fillId="0" borderId="2" xfId="0" applyFont="1" applyBorder="1"/>
    <xf numFmtId="0" fontId="2" fillId="0" borderId="7" xfId="0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44" fontId="9" fillId="2" borderId="1" xfId="1" applyFont="1" applyFill="1" applyBorder="1"/>
    <xf numFmtId="0" fontId="10" fillId="0" borderId="0" xfId="0" applyFont="1" applyAlignment="1">
      <alignment horizontal="center"/>
    </xf>
    <xf numFmtId="4" fontId="0" fillId="2" borderId="8" xfId="0" applyNumberFormat="1" applyFont="1" applyFill="1" applyBorder="1" applyAlignment="1">
      <alignment horizontal="center"/>
    </xf>
    <xf numFmtId="4" fontId="0" fillId="2" borderId="9" xfId="0" applyNumberFormat="1" applyFont="1" applyFill="1" applyBorder="1" applyAlignment="1">
      <alignment horizontal="center"/>
    </xf>
    <xf numFmtId="10" fontId="7" fillId="0" borderId="1" xfId="0" applyNumberFormat="1" applyFont="1" applyBorder="1" applyAlignment="1">
      <alignment horizontal="center"/>
    </xf>
    <xf numFmtId="10" fontId="7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66" fontId="7" fillId="0" borderId="9" xfId="0" applyNumberFormat="1" applyFont="1" applyBorder="1" applyAlignment="1">
      <alignment horizontal="center"/>
    </xf>
    <xf numFmtId="165" fontId="0" fillId="0" borderId="0" xfId="0" applyNumberFormat="1"/>
    <xf numFmtId="10" fontId="0" fillId="0" borderId="0" xfId="2" applyNumberFormat="1" applyFont="1"/>
    <xf numFmtId="0" fontId="12" fillId="0" borderId="0" xfId="0" applyFont="1"/>
    <xf numFmtId="0" fontId="11" fillId="0" borderId="1" xfId="0" applyFont="1" applyBorder="1"/>
    <xf numFmtId="0" fontId="12" fillId="0" borderId="1" xfId="0" applyFont="1" applyBorder="1"/>
    <xf numFmtId="43" fontId="0" fillId="0" borderId="0" xfId="3" applyFont="1"/>
    <xf numFmtId="3" fontId="12" fillId="0" borderId="0" xfId="0" applyNumberFormat="1" applyFont="1"/>
    <xf numFmtId="10" fontId="12" fillId="0" borderId="0" xfId="0" applyNumberFormat="1" applyFont="1"/>
    <xf numFmtId="10" fontId="12" fillId="0" borderId="0" xfId="2" applyNumberFormat="1" applyFont="1" applyBorder="1"/>
    <xf numFmtId="10" fontId="12" fillId="0" borderId="0" xfId="2" applyNumberFormat="1" applyFont="1" applyFill="1" applyBorder="1"/>
    <xf numFmtId="0" fontId="0" fillId="0" borderId="1" xfId="0" applyBorder="1"/>
    <xf numFmtId="0" fontId="4" fillId="0" borderId="0" xfId="0" applyFont="1"/>
    <xf numFmtId="170" fontId="3" fillId="0" borderId="0" xfId="0" applyNumberFormat="1" applyFont="1"/>
    <xf numFmtId="10" fontId="0" fillId="0" borderId="0" xfId="0" applyNumberFormat="1"/>
    <xf numFmtId="0" fontId="3" fillId="6" borderId="0" xfId="0" applyFont="1" applyFill="1"/>
    <xf numFmtId="172" fontId="4" fillId="0" borderId="0" xfId="0" applyNumberFormat="1" applyFont="1"/>
    <xf numFmtId="0" fontId="3" fillId="0" borderId="1" xfId="0" applyFont="1" applyBorder="1"/>
    <xf numFmtId="172" fontId="3" fillId="0" borderId="0" xfId="0" applyNumberFormat="1" applyFont="1"/>
    <xf numFmtId="0" fontId="3" fillId="0" borderId="10" xfId="0" applyFont="1" applyBorder="1"/>
    <xf numFmtId="172" fontId="3" fillId="0" borderId="1" xfId="0" applyNumberFormat="1" applyFont="1" applyBorder="1"/>
    <xf numFmtId="170" fontId="3" fillId="0" borderId="10" xfId="0" applyNumberFormat="1" applyFont="1" applyBorder="1"/>
    <xf numFmtId="0" fontId="3" fillId="0" borderId="34" xfId="0" applyFont="1" applyBorder="1"/>
    <xf numFmtId="0" fontId="3" fillId="0" borderId="35" xfId="0" applyFont="1" applyBorder="1"/>
    <xf numFmtId="170" fontId="3" fillId="0" borderId="1" xfId="0" applyNumberFormat="1" applyFont="1" applyBorder="1"/>
    <xf numFmtId="0" fontId="3" fillId="0" borderId="36" xfId="0" applyFont="1" applyBorder="1"/>
    <xf numFmtId="170" fontId="3" fillId="0" borderId="22" xfId="0" applyNumberFormat="1" applyFont="1" applyBorder="1"/>
    <xf numFmtId="0" fontId="13" fillId="0" borderId="37" xfId="0" applyFont="1" applyBorder="1"/>
    <xf numFmtId="0" fontId="3" fillId="0" borderId="22" xfId="0" applyFont="1" applyBorder="1"/>
    <xf numFmtId="170" fontId="3" fillId="0" borderId="37" xfId="0" applyNumberFormat="1" applyFont="1" applyBorder="1"/>
    <xf numFmtId="172" fontId="3" fillId="0" borderId="22" xfId="0" applyNumberFormat="1" applyFont="1" applyBorder="1"/>
    <xf numFmtId="0" fontId="3" fillId="0" borderId="37" xfId="0" applyFont="1" applyBorder="1"/>
    <xf numFmtId="0" fontId="3" fillId="0" borderId="11" xfId="0" applyFont="1" applyBorder="1"/>
    <xf numFmtId="170" fontId="3" fillId="0" borderId="11" xfId="0" applyNumberFormat="1" applyFont="1" applyBorder="1"/>
    <xf numFmtId="2" fontId="3" fillId="0" borderId="0" xfId="0" applyNumberFormat="1" applyFont="1"/>
    <xf numFmtId="4" fontId="3" fillId="0" borderId="1" xfId="0" applyNumberFormat="1" applyFont="1" applyBorder="1"/>
    <xf numFmtId="171" fontId="3" fillId="0" borderId="0" xfId="0" applyNumberFormat="1" applyFont="1"/>
    <xf numFmtId="9" fontId="3" fillId="0" borderId="0" xfId="2" applyFont="1"/>
    <xf numFmtId="173" fontId="3" fillId="0" borderId="0" xfId="0" applyNumberFormat="1" applyFont="1"/>
    <xf numFmtId="2" fontId="0" fillId="0" borderId="0" xfId="0" applyNumberFormat="1"/>
    <xf numFmtId="44" fontId="0" fillId="0" borderId="0" xfId="1" applyFont="1"/>
    <xf numFmtId="44" fontId="0" fillId="0" borderId="0" xfId="0" applyNumberFormat="1"/>
    <xf numFmtId="0" fontId="14" fillId="0" borderId="0" xfId="0" applyFont="1"/>
    <xf numFmtId="0" fontId="13" fillId="0" borderId="0" xfId="0" applyFont="1"/>
    <xf numFmtId="3" fontId="13" fillId="0" borderId="0" xfId="0" applyNumberFormat="1" applyFont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Border="1"/>
    <xf numFmtId="0" fontId="16" fillId="0" borderId="0" xfId="0" applyFont="1" applyFill="1" applyBorder="1"/>
    <xf numFmtId="3" fontId="16" fillId="0" borderId="0" xfId="0" applyNumberFormat="1" applyFont="1" applyFill="1" applyBorder="1"/>
    <xf numFmtId="4" fontId="13" fillId="0" borderId="38" xfId="0" applyNumberFormat="1" applyFont="1" applyBorder="1" applyAlignment="1">
      <alignment horizontal="right"/>
    </xf>
    <xf numFmtId="4" fontId="0" fillId="0" borderId="0" xfId="0" applyNumberFormat="1"/>
    <xf numFmtId="4" fontId="13" fillId="0" borderId="0" xfId="0" applyNumberFormat="1" applyFont="1" applyFill="1" applyBorder="1" applyAlignment="1">
      <alignment horizontal="right"/>
    </xf>
    <xf numFmtId="4" fontId="13" fillId="0" borderId="1" xfId="0" applyNumberFormat="1" applyFont="1" applyBorder="1" applyAlignment="1">
      <alignment horizontal="right"/>
    </xf>
    <xf numFmtId="4" fontId="13" fillId="0" borderId="22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9" fontId="0" fillId="0" borderId="1" xfId="0" applyNumberFormat="1" applyBorder="1"/>
    <xf numFmtId="0" fontId="3" fillId="0" borderId="0" xfId="0" applyFont="1" applyBorder="1"/>
    <xf numFmtId="4" fontId="12" fillId="0" borderId="0" xfId="0" applyNumberFormat="1" applyFont="1"/>
    <xf numFmtId="0" fontId="12" fillId="0" borderId="0" xfId="0" applyFont="1" applyBorder="1" applyAlignment="1">
      <alignment horizontal="left"/>
    </xf>
    <xf numFmtId="9" fontId="0" fillId="0" borderId="0" xfId="0" applyNumberFormat="1"/>
    <xf numFmtId="9" fontId="0" fillId="0" borderId="10" xfId="0" applyNumberFormat="1" applyBorder="1"/>
    <xf numFmtId="0" fontId="0" fillId="0" borderId="10" xfId="0" applyBorder="1"/>
    <xf numFmtId="0" fontId="4" fillId="0" borderId="0" xfId="0" applyFont="1" applyAlignment="1">
      <alignment horizontal="center"/>
    </xf>
    <xf numFmtId="0" fontId="17" fillId="0" borderId="0" xfId="0" applyFont="1"/>
    <xf numFmtId="172" fontId="17" fillId="0" borderId="0" xfId="0" applyNumberFormat="1" applyFont="1" applyAlignment="1">
      <alignment horizont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Fill="1"/>
    <xf numFmtId="0" fontId="0" fillId="0" borderId="34" xfId="0" applyBorder="1"/>
    <xf numFmtId="0" fontId="21" fillId="0" borderId="0" xfId="0" applyFont="1" applyAlignment="1">
      <alignment wrapText="1"/>
    </xf>
    <xf numFmtId="4" fontId="18" fillId="0" borderId="0" xfId="0" applyNumberFormat="1" applyFont="1" applyAlignment="1">
      <alignment horizontal="center" wrapText="1"/>
    </xf>
    <xf numFmtId="0" fontId="22" fillId="0" borderId="1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3" fontId="0" fillId="0" borderId="1" xfId="0" applyNumberFormat="1" applyBorder="1"/>
    <xf numFmtId="4" fontId="0" fillId="0" borderId="1" xfId="0" applyNumberFormat="1" applyBorder="1"/>
    <xf numFmtId="2" fontId="0" fillId="0" borderId="0" xfId="2" applyNumberFormat="1" applyFont="1"/>
    <xf numFmtId="17" fontId="4" fillId="0" borderId="1" xfId="0" applyNumberFormat="1" applyFont="1" applyBorder="1" applyAlignment="1">
      <alignment horizontal="center"/>
    </xf>
    <xf numFmtId="4" fontId="0" fillId="0" borderId="37" xfId="0" applyNumberFormat="1" applyFill="1" applyBorder="1"/>
    <xf numFmtId="176" fontId="0" fillId="0" borderId="0" xfId="2" applyNumberFormat="1" applyFont="1"/>
    <xf numFmtId="0" fontId="2" fillId="0" borderId="0" xfId="0" applyFont="1"/>
    <xf numFmtId="4" fontId="0" fillId="0" borderId="37" xfId="0" applyNumberFormat="1" applyBorder="1"/>
    <xf numFmtId="2" fontId="0" fillId="0" borderId="1" xfId="0" applyNumberFormat="1" applyBorder="1"/>
    <xf numFmtId="4" fontId="0" fillId="4" borderId="0" xfId="0" applyNumberFormat="1" applyFill="1"/>
    <xf numFmtId="4" fontId="0" fillId="8" borderId="0" xfId="0" applyNumberFormat="1" applyFill="1"/>
    <xf numFmtId="9" fontId="0" fillId="0" borderId="0" xfId="0" applyNumberFormat="1" applyAlignment="1">
      <alignment horizontal="center"/>
    </xf>
    <xf numFmtId="4" fontId="0" fillId="0" borderId="39" xfId="0" applyNumberFormat="1" applyBorder="1"/>
    <xf numFmtId="0" fontId="23" fillId="0" borderId="11" xfId="0" applyFont="1" applyBorder="1" applyAlignment="1">
      <alignment wrapText="1"/>
    </xf>
    <xf numFmtId="0" fontId="22" fillId="0" borderId="39" xfId="0" applyFont="1" applyBorder="1" applyAlignment="1">
      <alignment wrapText="1"/>
    </xf>
    <xf numFmtId="0" fontId="23" fillId="0" borderId="39" xfId="0" applyFont="1" applyBorder="1" applyAlignment="1">
      <alignment wrapText="1"/>
    </xf>
    <xf numFmtId="0" fontId="0" fillId="0" borderId="39" xfId="0" applyBorder="1"/>
    <xf numFmtId="0" fontId="23" fillId="2" borderId="11" xfId="0" applyFont="1" applyFill="1" applyBorder="1" applyAlignment="1">
      <alignment wrapText="1"/>
    </xf>
    <xf numFmtId="0" fontId="0" fillId="2" borderId="39" xfId="0" applyFill="1" applyBorder="1"/>
    <xf numFmtId="177" fontId="0" fillId="0" borderId="0" xfId="0" applyNumberFormat="1"/>
    <xf numFmtId="0" fontId="3" fillId="7" borderId="1" xfId="0" applyFont="1" applyFill="1" applyBorder="1"/>
    <xf numFmtId="0" fontId="0" fillId="0" borderId="42" xfId="0" applyBorder="1"/>
    <xf numFmtId="0" fontId="12" fillId="0" borderId="39" xfId="0" applyFont="1" applyBorder="1"/>
    <xf numFmtId="4" fontId="12" fillId="0" borderId="39" xfId="0" applyNumberFormat="1" applyFont="1" applyBorder="1"/>
    <xf numFmtId="4" fontId="0" fillId="2" borderId="39" xfId="0" applyNumberFormat="1" applyFill="1" applyBorder="1"/>
    <xf numFmtId="0" fontId="23" fillId="0" borderId="38" xfId="0" applyFont="1" applyBorder="1" applyAlignment="1">
      <alignment horizontal="center" wrapText="1"/>
    </xf>
    <xf numFmtId="0" fontId="23" fillId="0" borderId="39" xfId="0" applyFont="1" applyBorder="1" applyAlignment="1">
      <alignment horizontal="center" wrapText="1"/>
    </xf>
    <xf numFmtId="0" fontId="2" fillId="0" borderId="39" xfId="0" applyFont="1" applyBorder="1" applyAlignment="1">
      <alignment horizontal="center"/>
    </xf>
    <xf numFmtId="4" fontId="22" fillId="0" borderId="39" xfId="0" applyNumberFormat="1" applyFont="1" applyBorder="1" applyAlignment="1">
      <alignment horizontal="center" wrapText="1"/>
    </xf>
    <xf numFmtId="4" fontId="22" fillId="0" borderId="39" xfId="0" applyNumberFormat="1" applyFont="1" applyFill="1" applyBorder="1" applyAlignment="1">
      <alignment horizontal="center" wrapText="1"/>
    </xf>
    <xf numFmtId="4" fontId="0" fillId="0" borderId="39" xfId="0" applyNumberFormat="1" applyFill="1" applyBorder="1" applyAlignment="1">
      <alignment horizontal="center"/>
    </xf>
    <xf numFmtId="2" fontId="22" fillId="0" borderId="39" xfId="0" applyNumberFormat="1" applyFont="1" applyBorder="1" applyAlignment="1">
      <alignment horizontal="center" wrapText="1"/>
    </xf>
    <xf numFmtId="4" fontId="22" fillId="8" borderId="39" xfId="0" applyNumberFormat="1" applyFont="1" applyFill="1" applyBorder="1" applyAlignment="1">
      <alignment horizontal="center" wrapText="1"/>
    </xf>
    <xf numFmtId="4" fontId="23" fillId="0" borderId="39" xfId="0" applyNumberFormat="1" applyFont="1" applyBorder="1" applyAlignment="1">
      <alignment horizontal="center" wrapText="1"/>
    </xf>
    <xf numFmtId="0" fontId="0" fillId="0" borderId="39" xfId="0" applyBorder="1" applyAlignment="1">
      <alignment horizontal="center"/>
    </xf>
    <xf numFmtId="3" fontId="23" fillId="0" borderId="39" xfId="0" applyNumberFormat="1" applyFont="1" applyBorder="1" applyAlignment="1">
      <alignment horizontal="center" wrapText="1"/>
    </xf>
    <xf numFmtId="4" fontId="24" fillId="2" borderId="39" xfId="0" applyNumberFormat="1" applyFont="1" applyFill="1" applyBorder="1" applyAlignment="1">
      <alignment horizontal="center" wrapText="1"/>
    </xf>
    <xf numFmtId="175" fontId="24" fillId="2" borderId="39" xfId="0" applyNumberFormat="1" applyFont="1" applyFill="1" applyBorder="1" applyAlignment="1">
      <alignment horizontal="center" wrapText="1"/>
    </xf>
    <xf numFmtId="0" fontId="22" fillId="0" borderId="39" xfId="0" applyFont="1" applyBorder="1" applyAlignment="1">
      <alignment horizontal="center" wrapText="1"/>
    </xf>
    <xf numFmtId="3" fontId="0" fillId="0" borderId="39" xfId="0" applyNumberFormat="1" applyBorder="1" applyAlignment="1">
      <alignment horizontal="center"/>
    </xf>
    <xf numFmtId="0" fontId="22" fillId="0" borderId="39" xfId="0" applyFont="1" applyFill="1" applyBorder="1" applyAlignment="1">
      <alignment horizontal="center" wrapText="1"/>
    </xf>
    <xf numFmtId="4" fontId="23" fillId="2" borderId="39" xfId="0" applyNumberFormat="1" applyFont="1" applyFill="1" applyBorder="1" applyAlignment="1">
      <alignment horizontal="center" wrapText="1"/>
    </xf>
    <xf numFmtId="4" fontId="22" fillId="0" borderId="40" xfId="0" applyNumberFormat="1" applyFont="1" applyBorder="1" applyAlignment="1">
      <alignment horizontal="center" wrapText="1"/>
    </xf>
    <xf numFmtId="4" fontId="24" fillId="0" borderId="39" xfId="0" applyNumberFormat="1" applyFont="1" applyBorder="1" applyAlignment="1">
      <alignment horizontal="center" wrapText="1"/>
    </xf>
    <xf numFmtId="175" fontId="24" fillId="0" borderId="39" xfId="0" applyNumberFormat="1" applyFont="1" applyBorder="1" applyAlignment="1">
      <alignment horizontal="center" wrapText="1"/>
    </xf>
    <xf numFmtId="4" fontId="23" fillId="0" borderId="38" xfId="0" applyNumberFormat="1" applyFont="1" applyBorder="1" applyAlignment="1">
      <alignment horizontal="center" wrapText="1"/>
    </xf>
    <xf numFmtId="0" fontId="22" fillId="9" borderId="1" xfId="0" applyFont="1" applyFill="1" applyBorder="1" applyAlignment="1">
      <alignment wrapText="1"/>
    </xf>
    <xf numFmtId="0" fontId="23" fillId="9" borderId="22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/>
    </xf>
    <xf numFmtId="0" fontId="22" fillId="0" borderId="38" xfId="0" applyFont="1" applyBorder="1" applyAlignment="1">
      <alignment horizontal="center" vertical="center" wrapText="1"/>
    </xf>
    <xf numFmtId="4" fontId="22" fillId="8" borderId="38" xfId="0" applyNumberFormat="1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/>
    </xf>
    <xf numFmtId="4" fontId="22" fillId="0" borderId="1" xfId="0" applyNumberFormat="1" applyFont="1" applyBorder="1" applyAlignment="1">
      <alignment horizontal="center" vertical="center" wrapText="1"/>
    </xf>
    <xf numFmtId="4" fontId="22" fillId="0" borderId="38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" fontId="22" fillId="0" borderId="40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23" fillId="2" borderId="11" xfId="0" applyFont="1" applyFill="1" applyBorder="1" applyAlignment="1">
      <alignment horizontal="center" wrapText="1"/>
    </xf>
    <xf numFmtId="0" fontId="2" fillId="0" borderId="0" xfId="0" applyFont="1" applyFill="1" applyBorder="1"/>
    <xf numFmtId="10" fontId="2" fillId="0" borderId="0" xfId="2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2" applyNumberFormat="1" applyFont="1" applyFill="1" applyBorder="1"/>
    <xf numFmtId="175" fontId="7" fillId="0" borderId="0" xfId="0" applyNumberFormat="1" applyFont="1" applyFill="1" applyBorder="1"/>
    <xf numFmtId="10" fontId="7" fillId="0" borderId="0" xfId="2" applyNumberFormat="1" applyFont="1" applyFill="1" applyBorder="1"/>
    <xf numFmtId="10" fontId="7" fillId="0" borderId="0" xfId="0" applyNumberFormat="1" applyFont="1" applyFill="1" applyBorder="1"/>
    <xf numFmtId="3" fontId="6" fillId="0" borderId="0" xfId="2" applyNumberFormat="1" applyFont="1" applyFill="1" applyBorder="1"/>
    <xf numFmtId="3" fontId="7" fillId="0" borderId="0" xfId="0" applyNumberFormat="1" applyFont="1" applyFill="1" applyBorder="1"/>
    <xf numFmtId="3" fontId="12" fillId="0" borderId="0" xfId="0" applyNumberFormat="1" applyFont="1" applyFill="1"/>
    <xf numFmtId="0" fontId="12" fillId="0" borderId="0" xfId="0" applyFont="1" applyFill="1"/>
    <xf numFmtId="0" fontId="4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4" fillId="0" borderId="1" xfId="0" applyFont="1" applyBorder="1"/>
    <xf numFmtId="164" fontId="0" fillId="0" borderId="0" xfId="0" applyNumberFormat="1"/>
    <xf numFmtId="0" fontId="7" fillId="0" borderId="0" xfId="0" applyFont="1" applyFill="1" applyBorder="1"/>
    <xf numFmtId="44" fontId="6" fillId="0" borderId="0" xfId="1" applyFont="1" applyFill="1" applyBorder="1" applyAlignment="1">
      <alignment horizontal="center"/>
    </xf>
    <xf numFmtId="175" fontId="7" fillId="0" borderId="0" xfId="0" applyNumberFormat="1" applyFont="1" applyFill="1" applyBorder="1" applyAlignment="1">
      <alignment horizontal="center"/>
    </xf>
    <xf numFmtId="10" fontId="7" fillId="0" borderId="0" xfId="2" applyNumberFormat="1" applyFont="1" applyFill="1" applyBorder="1" applyAlignment="1">
      <alignment horizontal="center"/>
    </xf>
    <xf numFmtId="10" fontId="7" fillId="0" borderId="0" xfId="0" applyNumberFormat="1" applyFont="1" applyFill="1" applyBorder="1" applyAlignment="1">
      <alignment horizontal="center"/>
    </xf>
    <xf numFmtId="177" fontId="2" fillId="8" borderId="0" xfId="0" applyNumberFormat="1" applyFont="1" applyFill="1" applyBorder="1" applyAlignment="1">
      <alignment horizontal="center"/>
    </xf>
    <xf numFmtId="177" fontId="0" fillId="0" borderId="0" xfId="0" applyNumberFormat="1" applyBorder="1"/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7" fontId="2" fillId="2" borderId="0" xfId="0" applyNumberFormat="1" applyFon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172" fontId="4" fillId="0" borderId="0" xfId="0" applyNumberFormat="1" applyFont="1" applyFill="1"/>
    <xf numFmtId="177" fontId="3" fillId="0" borderId="0" xfId="0" applyNumberFormat="1" applyFont="1"/>
    <xf numFmtId="177" fontId="4" fillId="0" borderId="0" xfId="0" applyNumberFormat="1" applyFont="1"/>
    <xf numFmtId="0" fontId="20" fillId="0" borderId="0" xfId="0" applyFont="1" applyFill="1"/>
    <xf numFmtId="172" fontId="20" fillId="0" borderId="0" xfId="0" applyNumberFormat="1" applyFont="1" applyFill="1" applyAlignment="1">
      <alignment horizontal="center"/>
    </xf>
    <xf numFmtId="0" fontId="3" fillId="0" borderId="0" xfId="0" applyFont="1" applyFill="1"/>
    <xf numFmtId="172" fontId="3" fillId="0" borderId="0" xfId="0" applyNumberFormat="1" applyFont="1" applyFill="1" applyAlignment="1">
      <alignment horizontal="center"/>
    </xf>
    <xf numFmtId="172" fontId="4" fillId="0" borderId="0" xfId="0" applyNumberFormat="1" applyFont="1" applyFill="1" applyAlignment="1">
      <alignment horizontal="right"/>
    </xf>
    <xf numFmtId="172" fontId="3" fillId="0" borderId="0" xfId="0" applyNumberFormat="1" applyFont="1" applyFill="1"/>
    <xf numFmtId="17" fontId="4" fillId="0" borderId="0" xfId="0" applyNumberFormat="1" applyFont="1" applyBorder="1" applyAlignment="1">
      <alignment horizontal="center"/>
    </xf>
    <xf numFmtId="3" fontId="0" fillId="0" borderId="0" xfId="0" applyNumberFormat="1" applyBorder="1"/>
    <xf numFmtId="4" fontId="0" fillId="0" borderId="0" xfId="0" applyNumberFormat="1" applyBorder="1"/>
    <xf numFmtId="17" fontId="4" fillId="0" borderId="39" xfId="0" applyNumberFormat="1" applyFont="1" applyBorder="1" applyAlignment="1">
      <alignment horizontal="center"/>
    </xf>
    <xf numFmtId="3" fontId="0" fillId="0" borderId="39" xfId="0" applyNumberFormat="1" applyBorder="1"/>
    <xf numFmtId="4" fontId="22" fillId="0" borderId="44" xfId="0" applyNumberFormat="1" applyFont="1" applyBorder="1" applyAlignment="1">
      <alignment wrapText="1"/>
    </xf>
    <xf numFmtId="0" fontId="23" fillId="0" borderId="41" xfId="0" applyFont="1" applyBorder="1" applyAlignment="1">
      <alignment horizontal="center" wrapText="1"/>
    </xf>
    <xf numFmtId="4" fontId="23" fillId="0" borderId="45" xfId="0" applyNumberFormat="1" applyFont="1" applyBorder="1" applyAlignment="1">
      <alignment horizontal="center" wrapText="1"/>
    </xf>
    <xf numFmtId="4" fontId="0" fillId="8" borderId="1" xfId="0" applyNumberFormat="1" applyFill="1" applyBorder="1" applyAlignment="1">
      <alignment horizontal="center"/>
    </xf>
    <xf numFmtId="0" fontId="22" fillId="0" borderId="41" xfId="0" applyFont="1" applyBorder="1" applyAlignment="1">
      <alignment horizontal="center" wrapText="1"/>
    </xf>
    <xf numFmtId="0" fontId="0" fillId="0" borderId="41" xfId="0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10" fontId="0" fillId="0" borderId="1" xfId="2" applyNumberFormat="1" applyFont="1" applyBorder="1"/>
    <xf numFmtId="0" fontId="28" fillId="0" borderId="0" xfId="0" applyFont="1" applyBorder="1" applyAlignment="1">
      <alignment wrapText="1"/>
    </xf>
    <xf numFmtId="0" fontId="28" fillId="0" borderId="38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7" fillId="12" borderId="53" xfId="0" applyFont="1" applyFill="1" applyBorder="1" applyAlignment="1">
      <alignment vertical="center" wrapText="1"/>
    </xf>
    <xf numFmtId="0" fontId="29" fillId="12" borderId="53" xfId="0" quotePrefix="1" applyFont="1" applyFill="1" applyBorder="1" applyAlignment="1">
      <alignment vertical="center" wrapText="1"/>
    </xf>
    <xf numFmtId="0" fontId="27" fillId="12" borderId="55" xfId="0" applyFont="1" applyFill="1" applyBorder="1" applyAlignment="1">
      <alignment vertical="center" wrapText="1"/>
    </xf>
    <xf numFmtId="0" fontId="27" fillId="4" borderId="45" xfId="0" applyFont="1" applyFill="1" applyBorder="1" applyAlignment="1">
      <alignment horizontal="center" vertical="center" wrapText="1"/>
    </xf>
    <xf numFmtId="0" fontId="27" fillId="4" borderId="60" xfId="0" applyFont="1" applyFill="1" applyBorder="1" applyAlignment="1">
      <alignment horizontal="center" vertical="center" wrapText="1"/>
    </xf>
    <xf numFmtId="0" fontId="29" fillId="0" borderId="60" xfId="0" applyFont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8" borderId="60" xfId="0" applyFont="1" applyFill="1" applyBorder="1" applyAlignment="1">
      <alignment horizontal="center" vertical="center" wrapText="1"/>
    </xf>
    <xf numFmtId="0" fontId="27" fillId="0" borderId="45" xfId="0" applyFont="1" applyBorder="1" applyAlignment="1">
      <alignment horizontal="left" vertical="center" wrapText="1"/>
    </xf>
    <xf numFmtId="0" fontId="29" fillId="0" borderId="45" xfId="0" quotePrefix="1" applyFont="1" applyBorder="1" applyAlignment="1">
      <alignment horizontal="left" vertical="center" wrapText="1"/>
    </xf>
    <xf numFmtId="0" fontId="29" fillId="0" borderId="0" xfId="0" applyFont="1" applyBorder="1" applyAlignment="1">
      <alignment wrapText="1"/>
    </xf>
    <xf numFmtId="0" fontId="29" fillId="2" borderId="39" xfId="0" applyFont="1" applyFill="1" applyBorder="1" applyAlignment="1"/>
    <xf numFmtId="0" fontId="29" fillId="2" borderId="40" xfId="0" applyFont="1" applyFill="1" applyBorder="1" applyAlignment="1"/>
    <xf numFmtId="0" fontId="29" fillId="2" borderId="45" xfId="0" applyFont="1" applyFill="1" applyBorder="1" applyAlignment="1"/>
    <xf numFmtId="0" fontId="29" fillId="2" borderId="60" xfId="0" applyFont="1" applyFill="1" applyBorder="1" applyAlignment="1"/>
    <xf numFmtId="0" fontId="29" fillId="0" borderId="0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178" fontId="12" fillId="0" borderId="13" xfId="2" applyNumberFormat="1" applyFont="1" applyFill="1" applyBorder="1" applyAlignment="1">
      <alignment horizontal="center"/>
    </xf>
    <xf numFmtId="0" fontId="0" fillId="0" borderId="11" xfId="0" applyBorder="1"/>
    <xf numFmtId="0" fontId="29" fillId="0" borderId="45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wrapText="1"/>
    </xf>
    <xf numFmtId="0" fontId="0" fillId="2" borderId="0" xfId="0" applyFill="1"/>
    <xf numFmtId="0" fontId="2" fillId="2" borderId="0" xfId="0" applyFont="1" applyFill="1" applyAlignment="1">
      <alignment horizontal="right"/>
    </xf>
    <xf numFmtId="0" fontId="2" fillId="11" borderId="0" xfId="0" applyFont="1" applyFill="1" applyAlignment="1">
      <alignment horizontal="center"/>
    </xf>
    <xf numFmtId="0" fontId="22" fillId="12" borderId="49" xfId="0" applyFont="1" applyFill="1" applyBorder="1" applyAlignment="1">
      <alignment horizontal="center" vertical="center" wrapText="1"/>
    </xf>
    <xf numFmtId="0" fontId="22" fillId="12" borderId="50" xfId="0" applyFont="1" applyFill="1" applyBorder="1" applyAlignment="1">
      <alignment horizontal="center" vertical="center" wrapText="1"/>
    </xf>
    <xf numFmtId="0" fontId="22" fillId="12" borderId="51" xfId="0" applyFont="1" applyFill="1" applyBorder="1" applyAlignment="1">
      <alignment horizontal="center" vertical="center" wrapText="1"/>
    </xf>
    <xf numFmtId="0" fontId="22" fillId="12" borderId="52" xfId="0" applyFont="1" applyFill="1" applyBorder="1" applyAlignment="1">
      <alignment horizontal="center" vertical="center" wrapText="1"/>
    </xf>
    <xf numFmtId="0" fontId="22" fillId="5" borderId="21" xfId="0" applyFont="1" applyFill="1" applyBorder="1" applyAlignment="1">
      <alignment horizontal="center" vertical="center" wrapText="1"/>
    </xf>
    <xf numFmtId="0" fontId="22" fillId="5" borderId="38" xfId="0" applyFont="1" applyFill="1" applyBorder="1" applyAlignment="1">
      <alignment horizontal="center" vertical="center" wrapText="1"/>
    </xf>
    <xf numFmtId="0" fontId="22" fillId="4" borderId="38" xfId="0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0" fontId="22" fillId="4" borderId="54" xfId="0" applyFont="1" applyFill="1" applyBorder="1" applyAlignment="1">
      <alignment horizontal="center" vertical="center" wrapText="1"/>
    </xf>
    <xf numFmtId="0" fontId="22" fillId="4" borderId="21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5" borderId="2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5" borderId="54" xfId="0" applyFont="1" applyFill="1" applyBorder="1" applyAlignment="1">
      <alignment horizontal="center" vertical="center" wrapText="1"/>
    </xf>
    <xf numFmtId="0" fontId="22" fillId="13" borderId="38" xfId="0" applyFont="1" applyFill="1" applyBorder="1" applyAlignment="1">
      <alignment horizontal="center" vertical="center" wrapText="1"/>
    </xf>
    <xf numFmtId="0" fontId="22" fillId="13" borderId="20" xfId="0" applyFont="1" applyFill="1" applyBorder="1" applyAlignment="1">
      <alignment horizontal="center" vertical="center" wrapText="1"/>
    </xf>
    <xf numFmtId="0" fontId="22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 wrapText="1"/>
    </xf>
    <xf numFmtId="0" fontId="22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5" borderId="50" xfId="0" applyFont="1" applyFill="1" applyBorder="1" applyAlignment="1">
      <alignment horizontal="center" vertical="center" wrapText="1"/>
    </xf>
    <xf numFmtId="0" fontId="22" fillId="5" borderId="52" xfId="0" applyFont="1" applyFill="1" applyBorder="1" applyAlignment="1">
      <alignment horizontal="center" vertical="center" wrapText="1"/>
    </xf>
    <xf numFmtId="0" fontId="22" fillId="5" borderId="49" xfId="0" applyFont="1" applyFill="1" applyBorder="1" applyAlignment="1">
      <alignment horizontal="center" vertical="center" wrapText="1"/>
    </xf>
    <xf numFmtId="0" fontId="22" fillId="5" borderId="51" xfId="0" applyFont="1" applyFill="1" applyBorder="1" applyAlignment="1">
      <alignment horizontal="center" vertical="center" wrapText="1"/>
    </xf>
    <xf numFmtId="1" fontId="0" fillId="11" borderId="0" xfId="0" applyNumberFormat="1" applyFill="1" applyAlignment="1">
      <alignment horizontal="center"/>
    </xf>
    <xf numFmtId="0" fontId="2" fillId="4" borderId="0" xfId="0" applyFont="1" applyFill="1"/>
    <xf numFmtId="0" fontId="0" fillId="15" borderId="0" xfId="0" applyFill="1"/>
    <xf numFmtId="0" fontId="2" fillId="15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2" borderId="0" xfId="0" applyFill="1" applyBorder="1"/>
    <xf numFmtId="10" fontId="0" fillId="0" borderId="39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0" fontId="0" fillId="6" borderId="0" xfId="0" applyFill="1" applyBorder="1"/>
    <xf numFmtId="0" fontId="2" fillId="4" borderId="0" xfId="0" applyFont="1" applyFill="1" applyAlignment="1">
      <alignment horizontal="left"/>
    </xf>
    <xf numFmtId="17" fontId="0" fillId="6" borderId="0" xfId="0" applyNumberForma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44" fontId="0" fillId="0" borderId="1" xfId="1" applyFont="1" applyBorder="1" applyAlignment="1"/>
    <xf numFmtId="44" fontId="2" fillId="0" borderId="1" xfId="1" applyFont="1" applyBorder="1" applyAlignment="1"/>
    <xf numFmtId="0" fontId="32" fillId="18" borderId="27" xfId="0" applyFont="1" applyFill="1" applyBorder="1" applyAlignment="1">
      <alignment horizontal="left"/>
    </xf>
    <xf numFmtId="0" fontId="33" fillId="18" borderId="27" xfId="0" applyFont="1" applyFill="1" applyBorder="1" applyAlignment="1">
      <alignment horizontal="right"/>
    </xf>
    <xf numFmtId="0" fontId="32" fillId="18" borderId="54" xfId="0" applyFont="1" applyFill="1" applyBorder="1" applyAlignment="1">
      <alignment horizontal="left"/>
    </xf>
    <xf numFmtId="3" fontId="2" fillId="2" borderId="52" xfId="0" applyNumberFormat="1" applyFont="1" applyFill="1" applyBorder="1"/>
    <xf numFmtId="0" fontId="33" fillId="18" borderId="54" xfId="0" applyFont="1" applyFill="1" applyBorder="1" applyAlignment="1">
      <alignment horizontal="center"/>
    </xf>
    <xf numFmtId="17" fontId="0" fillId="6" borderId="0" xfId="0" applyNumberFormat="1" applyFill="1" applyAlignment="1">
      <alignment horizontal="center"/>
    </xf>
    <xf numFmtId="0" fontId="12" fillId="0" borderId="0" xfId="0" applyFont="1" applyBorder="1"/>
    <xf numFmtId="172" fontId="0" fillId="0" borderId="0" xfId="0" applyNumberFormat="1"/>
    <xf numFmtId="44" fontId="2" fillId="0" borderId="1" xfId="1" applyFont="1" applyBorder="1"/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3" fontId="11" fillId="0" borderId="0" xfId="0" applyNumberFormat="1" applyFont="1" applyBorder="1"/>
    <xf numFmtId="10" fontId="11" fillId="0" borderId="0" xfId="0" applyNumberFormat="1" applyFont="1" applyBorder="1"/>
    <xf numFmtId="3" fontId="12" fillId="0" borderId="0" xfId="0" applyNumberFormat="1" applyFont="1" applyBorder="1"/>
    <xf numFmtId="10" fontId="12" fillId="0" borderId="0" xfId="0" applyNumberFormat="1" applyFont="1" applyBorder="1"/>
    <xf numFmtId="2" fontId="12" fillId="0" borderId="0" xfId="0" applyNumberFormat="1" applyFont="1" applyBorder="1"/>
    <xf numFmtId="0" fontId="12" fillId="0" borderId="0" xfId="0" quotePrefix="1" applyFont="1" applyBorder="1"/>
    <xf numFmtId="0" fontId="0" fillId="0" borderId="10" xfId="0" applyBorder="1" applyAlignment="1"/>
    <xf numFmtId="44" fontId="0" fillId="0" borderId="10" xfId="1" applyFont="1" applyBorder="1" applyAlignment="1"/>
    <xf numFmtId="44" fontId="2" fillId="0" borderId="10" xfId="1" applyFont="1" applyBorder="1" applyAlignment="1"/>
    <xf numFmtId="172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172" fontId="2" fillId="0" borderId="10" xfId="0" applyNumberFormat="1" applyFont="1" applyBorder="1" applyAlignment="1">
      <alignment horizontal="center"/>
    </xf>
    <xf numFmtId="172" fontId="0" fillId="0" borderId="1" xfId="1" applyNumberFormat="1" applyFont="1" applyBorder="1" applyAlignment="1">
      <alignment horizontal="center"/>
    </xf>
    <xf numFmtId="9" fontId="2" fillId="0" borderId="1" xfId="2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1" xfId="0" applyBorder="1" applyAlignment="1"/>
    <xf numFmtId="44" fontId="0" fillId="0" borderId="1" xfId="1" applyFont="1" applyBorder="1"/>
    <xf numFmtId="17" fontId="0" fillId="6" borderId="0" xfId="0" applyNumberFormat="1" applyFill="1" applyBorder="1" applyAlignment="1">
      <alignment horizontal="center"/>
    </xf>
    <xf numFmtId="0" fontId="4" fillId="4" borderId="64" xfId="0" applyFont="1" applyFill="1" applyBorder="1"/>
    <xf numFmtId="0" fontId="3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4" fontId="3" fillId="0" borderId="1" xfId="1" applyFont="1" applyBorder="1" applyAlignment="1">
      <alignment horizontal="center"/>
    </xf>
    <xf numFmtId="0" fontId="36" fillId="20" borderId="0" xfId="0" applyFont="1" applyFill="1"/>
    <xf numFmtId="0" fontId="4" fillId="2" borderId="0" xfId="0" applyFont="1" applyFill="1" applyAlignment="1">
      <alignment horizontal="center"/>
    </xf>
    <xf numFmtId="44" fontId="4" fillId="0" borderId="1" xfId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44" fontId="3" fillId="0" borderId="22" xfId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right"/>
    </xf>
    <xf numFmtId="44" fontId="3" fillId="0" borderId="22" xfId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44" fontId="4" fillId="0" borderId="22" xfId="1" applyFont="1" applyBorder="1" applyAlignment="1">
      <alignment horizontal="center"/>
    </xf>
    <xf numFmtId="44" fontId="3" fillId="0" borderId="38" xfId="1" applyFont="1" applyBorder="1" applyAlignment="1">
      <alignment horizontal="center"/>
    </xf>
    <xf numFmtId="44" fontId="3" fillId="0" borderId="11" xfId="1" applyFont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10" fontId="2" fillId="4" borderId="1" xfId="2" applyNumberFormat="1" applyFont="1" applyFill="1" applyBorder="1" applyAlignment="1">
      <alignment horizontal="left" indent="2"/>
    </xf>
    <xf numFmtId="0" fontId="14" fillId="4" borderId="0" xfId="0" applyFont="1" applyFill="1"/>
    <xf numFmtId="0" fontId="13" fillId="4" borderId="0" xfId="0" applyFont="1" applyFill="1"/>
    <xf numFmtId="0" fontId="14" fillId="0" borderId="0" xfId="0" applyFont="1" applyBorder="1"/>
    <xf numFmtId="0" fontId="14" fillId="6" borderId="0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1" xfId="0" applyFont="1" applyFill="1" applyBorder="1"/>
    <xf numFmtId="0" fontId="14" fillId="2" borderId="11" xfId="0" applyFont="1" applyFill="1" applyBorder="1"/>
    <xf numFmtId="0" fontId="23" fillId="6" borderId="2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 wrapText="1"/>
    </xf>
    <xf numFmtId="0" fontId="22" fillId="2" borderId="1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23" fillId="4" borderId="11" xfId="0" applyFont="1" applyFill="1" applyBorder="1" applyAlignment="1">
      <alignment horizontal="center" wrapText="1"/>
    </xf>
    <xf numFmtId="44" fontId="22" fillId="0" borderId="38" xfId="1" applyFont="1" applyBorder="1" applyAlignment="1">
      <alignment wrapText="1"/>
    </xf>
    <xf numFmtId="44" fontId="22" fillId="8" borderId="38" xfId="1" applyFont="1" applyFill="1" applyBorder="1" applyAlignment="1">
      <alignment wrapText="1"/>
    </xf>
    <xf numFmtId="44" fontId="12" fillId="0" borderId="38" xfId="1" applyFont="1" applyBorder="1"/>
    <xf numFmtId="44" fontId="23" fillId="4" borderId="38" xfId="1" applyFont="1" applyFill="1" applyBorder="1" applyAlignment="1">
      <alignment wrapText="1"/>
    </xf>
    <xf numFmtId="44" fontId="12" fillId="0" borderId="0" xfId="1" applyFont="1"/>
    <xf numFmtId="44" fontId="22" fillId="0" borderId="1" xfId="1" applyFont="1" applyBorder="1" applyAlignment="1">
      <alignment wrapText="1"/>
    </xf>
    <xf numFmtId="0" fontId="35" fillId="21" borderId="63" xfId="0" applyFont="1" applyFill="1" applyBorder="1" applyAlignment="1">
      <alignment horizontal="left"/>
    </xf>
    <xf numFmtId="0" fontId="0" fillId="0" borderId="63" xfId="0" applyBorder="1"/>
    <xf numFmtId="4" fontId="0" fillId="22" borderId="0" xfId="0" applyNumberFormat="1" applyFill="1"/>
    <xf numFmtId="180" fontId="0" fillId="0" borderId="0" xfId="0" applyNumberFormat="1"/>
    <xf numFmtId="180" fontId="0" fillId="22" borderId="0" xfId="0" applyNumberFormat="1" applyFill="1"/>
    <xf numFmtId="175" fontId="0" fillId="0" borderId="0" xfId="0" applyNumberFormat="1"/>
    <xf numFmtId="175" fontId="0" fillId="22" borderId="0" xfId="0" applyNumberFormat="1" applyFill="1"/>
    <xf numFmtId="10" fontId="0" fillId="22" borderId="0" xfId="0" applyNumberFormat="1" applyFill="1"/>
    <xf numFmtId="0" fontId="33" fillId="0" borderId="0" xfId="0" applyFont="1" applyFill="1" applyBorder="1" applyAlignment="1">
      <alignment horizontal="right"/>
    </xf>
    <xf numFmtId="4" fontId="0" fillId="0" borderId="0" xfId="0" applyNumberFormat="1" applyFill="1" applyBorder="1"/>
    <xf numFmtId="180" fontId="0" fillId="0" borderId="0" xfId="0" applyNumberFormat="1" applyFill="1" applyBorder="1"/>
    <xf numFmtId="175" fontId="0" fillId="0" borderId="0" xfId="0" applyNumberFormat="1" applyFill="1" applyBorder="1"/>
    <xf numFmtId="10" fontId="0" fillId="0" borderId="0" xfId="0" applyNumberFormat="1" applyFill="1" applyBorder="1"/>
    <xf numFmtId="165" fontId="0" fillId="0" borderId="0" xfId="0" applyNumberFormat="1" applyFill="1" applyBorder="1"/>
    <xf numFmtId="4" fontId="0" fillId="0" borderId="52" xfId="0" applyNumberFormat="1" applyBorder="1"/>
    <xf numFmtId="44" fontId="23" fillId="0" borderId="0" xfId="1" applyFont="1" applyFill="1" applyBorder="1" applyAlignment="1">
      <alignment wrapText="1"/>
    </xf>
    <xf numFmtId="44" fontId="0" fillId="0" borderId="0" xfId="0" applyNumberFormat="1" applyFill="1"/>
    <xf numFmtId="9" fontId="0" fillId="0" borderId="0" xfId="2" applyFont="1" applyFill="1"/>
    <xf numFmtId="3" fontId="23" fillId="0" borderId="66" xfId="0" applyNumberFormat="1" applyFont="1" applyBorder="1" applyAlignment="1">
      <alignment horizontal="center" wrapText="1"/>
    </xf>
    <xf numFmtId="4" fontId="24" fillId="0" borderId="66" xfId="0" applyNumberFormat="1" applyFont="1" applyFill="1" applyBorder="1" applyAlignment="1">
      <alignment horizontal="center" wrapText="1"/>
    </xf>
    <xf numFmtId="4" fontId="23" fillId="0" borderId="66" xfId="0" applyNumberFormat="1" applyFont="1" applyFill="1" applyBorder="1" applyAlignment="1">
      <alignment horizontal="center" wrapText="1"/>
    </xf>
    <xf numFmtId="4" fontId="0" fillId="0" borderId="0" xfId="0" applyNumberFormat="1" applyFill="1"/>
    <xf numFmtId="9" fontId="23" fillId="0" borderId="66" xfId="2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10" fontId="0" fillId="0" borderId="0" xfId="2" applyNumberFormat="1" applyFont="1" applyFill="1" applyBorder="1"/>
    <xf numFmtId="0" fontId="14" fillId="0" borderId="0" xfId="0" applyFont="1" applyFill="1"/>
    <xf numFmtId="0" fontId="13" fillId="0" borderId="0" xfId="0" applyFont="1" applyFill="1"/>
    <xf numFmtId="44" fontId="13" fillId="0" borderId="38" xfId="1" applyFont="1" applyBorder="1" applyAlignment="1">
      <alignment horizontal="center"/>
    </xf>
    <xf numFmtId="9" fontId="0" fillId="0" borderId="39" xfId="2" applyFont="1" applyBorder="1" applyAlignment="1">
      <alignment horizontal="center"/>
    </xf>
    <xf numFmtId="9" fontId="0" fillId="0" borderId="41" xfId="2" applyFont="1" applyBorder="1" applyAlignment="1">
      <alignment horizontal="center"/>
    </xf>
    <xf numFmtId="9" fontId="0" fillId="0" borderId="0" xfId="0" applyNumberFormat="1" applyFill="1" applyBorder="1"/>
    <xf numFmtId="44" fontId="13" fillId="0" borderId="38" xfId="1" applyFont="1" applyFill="1" applyBorder="1" applyAlignment="1">
      <alignment horizontal="center"/>
    </xf>
    <xf numFmtId="44" fontId="13" fillId="0" borderId="11" xfId="0" applyNumberFormat="1" applyFont="1" applyFill="1" applyBorder="1"/>
    <xf numFmtId="44" fontId="14" fillId="6" borderId="38" xfId="1" applyFont="1" applyFill="1" applyBorder="1" applyAlignment="1">
      <alignment horizontal="center"/>
    </xf>
    <xf numFmtId="44" fontId="14" fillId="20" borderId="38" xfId="1" applyFont="1" applyFill="1" applyBorder="1" applyAlignment="1">
      <alignment horizontal="center"/>
    </xf>
    <xf numFmtId="4" fontId="14" fillId="0" borderId="38" xfId="0" applyNumberFormat="1" applyFont="1" applyBorder="1" applyAlignment="1">
      <alignment horizontal="right"/>
    </xf>
    <xf numFmtId="0" fontId="22" fillId="0" borderId="11" xfId="0" applyFont="1" applyFill="1" applyBorder="1" applyAlignment="1">
      <alignment horizontal="center" wrapText="1"/>
    </xf>
    <xf numFmtId="0" fontId="2" fillId="9" borderId="10" xfId="0" applyFont="1" applyFill="1" applyBorder="1" applyAlignment="1">
      <alignment horizontal="center"/>
    </xf>
    <xf numFmtId="4" fontId="23" fillId="0" borderId="54" xfId="0" applyNumberFormat="1" applyFont="1" applyBorder="1" applyAlignment="1">
      <alignment horizontal="center" wrapText="1"/>
    </xf>
    <xf numFmtId="4" fontId="22" fillId="8" borderId="54" xfId="0" applyNumberFormat="1" applyFont="1" applyFill="1" applyBorder="1" applyAlignment="1">
      <alignment horizontal="center" vertical="center" wrapText="1"/>
    </xf>
    <xf numFmtId="4" fontId="22" fillId="0" borderId="10" xfId="0" applyNumberFormat="1" applyFont="1" applyBorder="1" applyAlignment="1">
      <alignment horizontal="center" vertical="center" wrapText="1"/>
    </xf>
    <xf numFmtId="4" fontId="22" fillId="0" borderId="54" xfId="0" applyNumberFormat="1" applyFont="1" applyBorder="1" applyAlignment="1">
      <alignment horizontal="center" vertical="center" wrapText="1"/>
    </xf>
    <xf numFmtId="4" fontId="22" fillId="0" borderId="57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/>
    </xf>
    <xf numFmtId="176" fontId="11" fillId="4" borderId="1" xfId="2" applyNumberFormat="1" applyFont="1" applyFill="1" applyBorder="1"/>
    <xf numFmtId="0" fontId="37" fillId="2" borderId="0" xfId="0" applyFont="1" applyFill="1" applyAlignment="1">
      <alignment horizontal="center"/>
    </xf>
    <xf numFmtId="0" fontId="38" fillId="18" borderId="27" xfId="0" applyFont="1" applyFill="1" applyBorder="1" applyAlignment="1">
      <alignment horizontal="left"/>
    </xf>
    <xf numFmtId="0" fontId="39" fillId="18" borderId="27" xfId="0" applyFont="1" applyFill="1" applyBorder="1" applyAlignment="1">
      <alignment horizontal="right"/>
    </xf>
    <xf numFmtId="0" fontId="40" fillId="0" borderId="0" xfId="0" applyFont="1"/>
    <xf numFmtId="0" fontId="38" fillId="18" borderId="54" xfId="0" applyFont="1" applyFill="1" applyBorder="1" applyAlignment="1">
      <alignment horizontal="left"/>
    </xf>
    <xf numFmtId="0" fontId="39" fillId="18" borderId="54" xfId="0" applyFont="1" applyFill="1" applyBorder="1" applyAlignment="1">
      <alignment horizontal="center"/>
    </xf>
    <xf numFmtId="0" fontId="37" fillId="21" borderId="63" xfId="0" applyFont="1" applyFill="1" applyBorder="1" applyAlignment="1">
      <alignment horizontal="left"/>
    </xf>
    <xf numFmtId="0" fontId="41" fillId="21" borderId="63" xfId="0" applyFont="1" applyFill="1" applyBorder="1" applyAlignment="1">
      <alignment horizontal="left"/>
    </xf>
    <xf numFmtId="0" fontId="40" fillId="0" borderId="63" xfId="0" applyFont="1" applyBorder="1"/>
    <xf numFmtId="0" fontId="40" fillId="22" borderId="0" xfId="0" applyFont="1" applyFill="1"/>
    <xf numFmtId="4" fontId="40" fillId="0" borderId="0" xfId="0" applyNumberFormat="1" applyFont="1"/>
    <xf numFmtId="165" fontId="40" fillId="0" borderId="0" xfId="0" applyNumberFormat="1" applyFont="1"/>
    <xf numFmtId="10" fontId="40" fillId="0" borderId="0" xfId="0" applyNumberFormat="1" applyFont="1"/>
    <xf numFmtId="4" fontId="40" fillId="0" borderId="52" xfId="0" applyNumberFormat="1" applyFont="1" applyBorder="1"/>
    <xf numFmtId="0" fontId="37" fillId="0" borderId="1" xfId="0" applyFont="1" applyBorder="1" applyAlignment="1">
      <alignment horizontal="left"/>
    </xf>
    <xf numFmtId="0" fontId="37" fillId="4" borderId="1" xfId="0" applyFont="1" applyFill="1" applyBorder="1" applyAlignment="1">
      <alignment horizontal="center"/>
    </xf>
    <xf numFmtId="0" fontId="40" fillId="4" borderId="1" xfId="0" applyFont="1" applyFill="1" applyBorder="1" applyAlignment="1">
      <alignment horizontal="left"/>
    </xf>
    <xf numFmtId="1" fontId="40" fillId="16" borderId="1" xfId="0" applyNumberFormat="1" applyFont="1" applyFill="1" applyBorder="1" applyAlignment="1">
      <alignment horizontal="center"/>
    </xf>
    <xf numFmtId="4" fontId="40" fillId="16" borderId="1" xfId="0" applyNumberFormat="1" applyFont="1" applyFill="1" applyBorder="1" applyAlignment="1">
      <alignment horizontal="center"/>
    </xf>
    <xf numFmtId="0" fontId="40" fillId="16" borderId="1" xfId="0" applyFont="1" applyFill="1" applyBorder="1" applyAlignment="1">
      <alignment horizontal="center"/>
    </xf>
    <xf numFmtId="176" fontId="40" fillId="16" borderId="1" xfId="2" applyNumberFormat="1" applyFont="1" applyFill="1" applyBorder="1" applyAlignment="1">
      <alignment horizontal="center"/>
    </xf>
    <xf numFmtId="176" fontId="40" fillId="16" borderId="1" xfId="0" applyNumberFormat="1" applyFont="1" applyFill="1" applyBorder="1" applyAlignment="1">
      <alignment horizontal="center"/>
    </xf>
    <xf numFmtId="179" fontId="40" fillId="16" borderId="1" xfId="2" applyNumberFormat="1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3" fontId="40" fillId="0" borderId="0" xfId="0" applyNumberFormat="1" applyFont="1"/>
    <xf numFmtId="3" fontId="40" fillId="22" borderId="0" xfId="0" applyNumberFormat="1" applyFont="1" applyFill="1"/>
    <xf numFmtId="180" fontId="40" fillId="0" borderId="0" xfId="0" applyNumberFormat="1" applyFont="1"/>
    <xf numFmtId="180" fontId="40" fillId="22" borderId="0" xfId="0" applyNumberFormat="1" applyFont="1" applyFill="1"/>
    <xf numFmtId="175" fontId="40" fillId="0" borderId="0" xfId="0" applyNumberFormat="1" applyFont="1"/>
    <xf numFmtId="175" fontId="40" fillId="22" borderId="0" xfId="0" applyNumberFormat="1" applyFont="1" applyFill="1"/>
    <xf numFmtId="176" fontId="40" fillId="0" borderId="0" xfId="0" applyNumberFormat="1" applyFont="1"/>
    <xf numFmtId="176" fontId="40" fillId="22" borderId="0" xfId="0" applyNumberFormat="1" applyFont="1" applyFill="1"/>
    <xf numFmtId="0" fontId="37" fillId="6" borderId="0" xfId="0" applyFont="1" applyFill="1" applyAlignment="1">
      <alignment horizontal="center"/>
    </xf>
    <xf numFmtId="0" fontId="37" fillId="4" borderId="0" xfId="0" applyFont="1" applyFill="1" applyBorder="1" applyAlignment="1">
      <alignment horizontal="center"/>
    </xf>
    <xf numFmtId="0" fontId="40" fillId="2" borderId="0" xfId="0" applyFont="1" applyFill="1" applyBorder="1" applyAlignment="1">
      <alignment horizontal="center"/>
    </xf>
    <xf numFmtId="44" fontId="40" fillId="0" borderId="60" xfId="1" applyFont="1" applyBorder="1" applyAlignment="1">
      <alignment horizontal="center"/>
    </xf>
    <xf numFmtId="0" fontId="40" fillId="0" borderId="45" xfId="0" applyFont="1" applyBorder="1" applyAlignment="1">
      <alignment horizontal="center"/>
    </xf>
    <xf numFmtId="44" fontId="40" fillId="0" borderId="45" xfId="1" applyFont="1" applyBorder="1" applyAlignment="1">
      <alignment horizontal="center"/>
    </xf>
    <xf numFmtId="10" fontId="40" fillId="0" borderId="45" xfId="0" applyNumberFormat="1" applyFont="1" applyBorder="1" applyAlignment="1">
      <alignment horizontal="center"/>
    </xf>
    <xf numFmtId="44" fontId="40" fillId="0" borderId="40" xfId="1" applyFont="1" applyBorder="1" applyAlignment="1">
      <alignment horizontal="center"/>
    </xf>
    <xf numFmtId="0" fontId="40" fillId="0" borderId="39" xfId="0" applyFont="1" applyBorder="1" applyAlignment="1">
      <alignment horizontal="center"/>
    </xf>
    <xf numFmtId="44" fontId="40" fillId="0" borderId="39" xfId="1" applyFont="1" applyBorder="1" applyAlignment="1">
      <alignment horizontal="center"/>
    </xf>
    <xf numFmtId="10" fontId="40" fillId="0" borderId="39" xfId="0" applyNumberFormat="1" applyFont="1" applyBorder="1" applyAlignment="1">
      <alignment horizontal="center"/>
    </xf>
    <xf numFmtId="0" fontId="40" fillId="0" borderId="41" xfId="0" applyFont="1" applyBorder="1" applyAlignment="1">
      <alignment horizontal="center"/>
    </xf>
    <xf numFmtId="44" fontId="40" fillId="0" borderId="41" xfId="1" applyFont="1" applyBorder="1" applyAlignment="1">
      <alignment horizontal="center"/>
    </xf>
    <xf numFmtId="10" fontId="40" fillId="0" borderId="41" xfId="0" applyNumberFormat="1" applyFont="1" applyBorder="1" applyAlignment="1">
      <alignment horizontal="center"/>
    </xf>
    <xf numFmtId="44" fontId="40" fillId="0" borderId="65" xfId="1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44" fontId="40" fillId="0" borderId="1" xfId="1" applyFont="1" applyBorder="1" applyAlignment="1">
      <alignment horizontal="center"/>
    </xf>
    <xf numFmtId="10" fontId="40" fillId="0" borderId="1" xfId="0" applyNumberFormat="1" applyFont="1" applyBorder="1" applyAlignment="1">
      <alignment horizontal="center"/>
    </xf>
    <xf numFmtId="44" fontId="40" fillId="0" borderId="22" xfId="1" applyFont="1" applyBorder="1" applyAlignment="1">
      <alignment horizontal="center"/>
    </xf>
    <xf numFmtId="44" fontId="40" fillId="0" borderId="40" xfId="1" applyFont="1" applyBorder="1"/>
    <xf numFmtId="0" fontId="40" fillId="2" borderId="0" xfId="0" applyFont="1" applyFill="1" applyBorder="1"/>
    <xf numFmtId="44" fontId="40" fillId="0" borderId="22" xfId="1" applyFont="1" applyBorder="1"/>
    <xf numFmtId="44" fontId="40" fillId="0" borderId="1" xfId="1" applyFont="1" applyBorder="1"/>
    <xf numFmtId="10" fontId="40" fillId="0" borderId="1" xfId="0" applyNumberFormat="1" applyFont="1" applyBorder="1"/>
    <xf numFmtId="171" fontId="37" fillId="0" borderId="0" xfId="0" applyNumberFormat="1" applyFont="1"/>
    <xf numFmtId="0" fontId="40" fillId="6" borderId="0" xfId="0" applyFont="1" applyFill="1" applyBorder="1" applyAlignment="1">
      <alignment horizontal="center"/>
    </xf>
    <xf numFmtId="10" fontId="40" fillId="6" borderId="0" xfId="0" applyNumberFormat="1" applyFont="1" applyFill="1" applyBorder="1" applyAlignment="1">
      <alignment horizontal="center"/>
    </xf>
    <xf numFmtId="0" fontId="40" fillId="6" borderId="0" xfId="0" applyFont="1" applyFill="1" applyAlignment="1">
      <alignment horizontal="center"/>
    </xf>
    <xf numFmtId="10" fontId="40" fillId="6" borderId="0" xfId="0" applyNumberFormat="1" applyFont="1" applyFill="1" applyAlignment="1">
      <alignment horizontal="center"/>
    </xf>
    <xf numFmtId="0" fontId="40" fillId="6" borderId="0" xfId="0" applyFont="1" applyFill="1"/>
    <xf numFmtId="10" fontId="40" fillId="6" borderId="0" xfId="0" applyNumberFormat="1" applyFont="1" applyFill="1"/>
    <xf numFmtId="0" fontId="43" fillId="5" borderId="0" xfId="0" applyFont="1" applyFill="1" applyAlignment="1">
      <alignment horizontal="center"/>
    </xf>
    <xf numFmtId="171" fontId="43" fillId="5" borderId="0" xfId="0" applyNumberFormat="1" applyFont="1" applyFill="1" applyAlignment="1"/>
    <xf numFmtId="171" fontId="43" fillId="5" borderId="43" xfId="0" applyNumberFormat="1" applyFont="1" applyFill="1" applyBorder="1" applyAlignment="1"/>
    <xf numFmtId="0" fontId="33" fillId="0" borderId="0" xfId="0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left"/>
    </xf>
    <xf numFmtId="180" fontId="0" fillId="0" borderId="0" xfId="0" applyNumberFormat="1" applyFill="1" applyBorder="1" applyAlignment="1">
      <alignment horizontal="center"/>
    </xf>
    <xf numFmtId="175" fontId="0" fillId="0" borderId="0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horizontal="center"/>
    </xf>
    <xf numFmtId="0" fontId="6" fillId="0" borderId="1" xfId="0" applyFont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3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4" fontId="7" fillId="6" borderId="1" xfId="0" applyNumberFormat="1" applyFont="1" applyFill="1" applyBorder="1" applyAlignment="1">
      <alignment horizontal="center"/>
    </xf>
    <xf numFmtId="10" fontId="7" fillId="6" borderId="1" xfId="2" applyNumberFormat="1" applyFont="1" applyFill="1" applyBorder="1" applyAlignment="1">
      <alignment horizontal="center"/>
    </xf>
    <xf numFmtId="180" fontId="7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7" fillId="6" borderId="1" xfId="0" applyFont="1" applyFill="1" applyBorder="1"/>
    <xf numFmtId="4" fontId="6" fillId="6" borderId="1" xfId="0" applyNumberFormat="1" applyFont="1" applyFill="1" applyBorder="1" applyAlignment="1">
      <alignment horizontal="center"/>
    </xf>
    <xf numFmtId="2" fontId="7" fillId="6" borderId="1" xfId="0" applyNumberFormat="1" applyFont="1" applyFill="1" applyBorder="1"/>
    <xf numFmtId="175" fontId="7" fillId="6" borderId="1" xfId="0" applyNumberFormat="1" applyFont="1" applyFill="1" applyBorder="1" applyAlignment="1">
      <alignment horizontal="center"/>
    </xf>
    <xf numFmtId="181" fontId="7" fillId="6" borderId="1" xfId="0" applyNumberFormat="1" applyFont="1" applyFill="1" applyBorder="1" applyAlignment="1">
      <alignment horizontal="center"/>
    </xf>
    <xf numFmtId="3" fontId="7" fillId="6" borderId="1" xfId="0" applyNumberFormat="1" applyFont="1" applyFill="1" applyBorder="1"/>
    <xf numFmtId="9" fontId="6" fillId="6" borderId="1" xfId="0" applyNumberFormat="1" applyFont="1" applyFill="1" applyBorder="1"/>
    <xf numFmtId="3" fontId="6" fillId="6" borderId="1" xfId="0" applyNumberFormat="1" applyFont="1" applyFill="1" applyBorder="1" applyAlignment="1">
      <alignment horizontal="center"/>
    </xf>
    <xf numFmtId="167" fontId="7" fillId="6" borderId="1" xfId="3" applyNumberFormat="1" applyFont="1" applyFill="1" applyBorder="1"/>
    <xf numFmtId="9" fontId="7" fillId="6" borderId="1" xfId="2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74" fontId="7" fillId="6" borderId="1" xfId="2" applyNumberFormat="1" applyFont="1" applyFill="1" applyBorder="1" applyAlignment="1">
      <alignment horizontal="center"/>
    </xf>
    <xf numFmtId="0" fontId="6" fillId="2" borderId="1" xfId="0" applyFont="1" applyFill="1" applyBorder="1"/>
    <xf numFmtId="4" fontId="6" fillId="2" borderId="1" xfId="0" applyNumberFormat="1" applyFont="1" applyFill="1" applyBorder="1" applyAlignment="1">
      <alignment horizontal="center"/>
    </xf>
    <xf numFmtId="9" fontId="7" fillId="6" borderId="1" xfId="0" applyNumberFormat="1" applyFont="1" applyFill="1" applyBorder="1" applyAlignment="1">
      <alignment horizontal="center"/>
    </xf>
    <xf numFmtId="9" fontId="7" fillId="6" borderId="1" xfId="0" applyNumberFormat="1" applyFont="1" applyFill="1" applyBorder="1"/>
    <xf numFmtId="2" fontId="7" fillId="6" borderId="1" xfId="0" applyNumberFormat="1" applyFont="1" applyFill="1" applyBorder="1" applyAlignment="1">
      <alignment horizontal="center"/>
    </xf>
    <xf numFmtId="168" fontId="7" fillId="6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" fontId="7" fillId="2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2" fillId="0" borderId="1" xfId="0" applyFont="1" applyBorder="1"/>
    <xf numFmtId="166" fontId="0" fillId="0" borderId="1" xfId="0" applyNumberFormat="1" applyFont="1" applyBorder="1" applyAlignment="1">
      <alignment horizontal="center"/>
    </xf>
    <xf numFmtId="0" fontId="0" fillId="0" borderId="0" xfId="0" applyFont="1"/>
    <xf numFmtId="0" fontId="2" fillId="0" borderId="0" xfId="0" applyFont="1" applyBorder="1"/>
    <xf numFmtId="166" fontId="0" fillId="0" borderId="0" xfId="0" applyNumberFormat="1" applyFont="1" applyBorder="1" applyAlignment="1">
      <alignment horizontal="center"/>
    </xf>
    <xf numFmtId="0" fontId="44" fillId="5" borderId="1" xfId="0" applyFont="1" applyFill="1" applyBorder="1"/>
    <xf numFmtId="0" fontId="0" fillId="0" borderId="1" xfId="0" applyFont="1" applyBorder="1"/>
    <xf numFmtId="4" fontId="6" fillId="4" borderId="1" xfId="0" applyNumberFormat="1" applyFont="1" applyFill="1" applyBorder="1"/>
    <xf numFmtId="0" fontId="6" fillId="0" borderId="0" xfId="0" applyFont="1"/>
    <xf numFmtId="0" fontId="7" fillId="0" borderId="0" xfId="0" applyFont="1"/>
    <xf numFmtId="4" fontId="7" fillId="0" borderId="0" xfId="0" applyNumberFormat="1" applyFont="1"/>
    <xf numFmtId="169" fontId="7" fillId="0" borderId="0" xfId="0" applyNumberFormat="1" applyFont="1"/>
    <xf numFmtId="10" fontId="6" fillId="4" borderId="10" xfId="2" applyNumberFormat="1" applyFont="1" applyFill="1" applyBorder="1"/>
    <xf numFmtId="10" fontId="7" fillId="0" borderId="13" xfId="2" applyNumberFormat="1" applyFont="1" applyBorder="1"/>
    <xf numFmtId="10" fontId="7" fillId="0" borderId="0" xfId="0" applyNumberFormat="1" applyFont="1"/>
    <xf numFmtId="10" fontId="6" fillId="4" borderId="1" xfId="0" applyNumberFormat="1" applyFont="1" applyFill="1" applyBorder="1"/>
    <xf numFmtId="4" fontId="0" fillId="0" borderId="1" xfId="0" applyNumberFormat="1" applyFont="1" applyBorder="1"/>
    <xf numFmtId="166" fontId="6" fillId="3" borderId="1" xfId="0" applyNumberFormat="1" applyFont="1" applyFill="1" applyBorder="1"/>
    <xf numFmtId="2" fontId="6" fillId="4" borderId="1" xfId="2" applyNumberFormat="1" applyFont="1" applyFill="1" applyBorder="1"/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10" fontId="6" fillId="0" borderId="1" xfId="2" applyNumberFormat="1" applyFont="1" applyFill="1" applyBorder="1" applyAlignment="1">
      <alignment horizontal="center"/>
    </xf>
    <xf numFmtId="0" fontId="6" fillId="0" borderId="11" xfId="0" applyFont="1" applyBorder="1"/>
    <xf numFmtId="2" fontId="6" fillId="4" borderId="1" xfId="0" applyNumberFormat="1" applyFont="1" applyFill="1" applyBorder="1"/>
    <xf numFmtId="1" fontId="7" fillId="0" borderId="0" xfId="0" applyNumberFormat="1" applyFont="1"/>
    <xf numFmtId="2" fontId="46" fillId="2" borderId="1" xfId="2" applyNumberFormat="1" applyFont="1" applyFill="1" applyBorder="1" applyAlignment="1">
      <alignment horizontal="center"/>
    </xf>
    <xf numFmtId="4" fontId="46" fillId="2" borderId="1" xfId="0" applyNumberFormat="1" applyFont="1" applyFill="1" applyBorder="1" applyAlignment="1">
      <alignment horizontal="center"/>
    </xf>
    <xf numFmtId="10" fontId="46" fillId="2" borderId="1" xfId="2" applyNumberFormat="1" applyFont="1" applyFill="1" applyBorder="1" applyAlignment="1">
      <alignment horizontal="center"/>
    </xf>
    <xf numFmtId="10" fontId="46" fillId="2" borderId="1" xfId="0" applyNumberFormat="1" applyFont="1" applyFill="1" applyBorder="1" applyAlignment="1">
      <alignment horizontal="center"/>
    </xf>
    <xf numFmtId="2" fontId="46" fillId="2" borderId="1" xfId="0" applyNumberFormat="1" applyFont="1" applyFill="1" applyBorder="1" applyAlignment="1">
      <alignment horizontal="center"/>
    </xf>
    <xf numFmtId="2" fontId="45" fillId="0" borderId="1" xfId="0" applyNumberFormat="1" applyFont="1" applyFill="1" applyBorder="1" applyAlignment="1">
      <alignment horizontal="center"/>
    </xf>
    <xf numFmtId="4" fontId="45" fillId="0" borderId="1" xfId="0" applyNumberFormat="1" applyFont="1" applyFill="1" applyBorder="1" applyAlignment="1">
      <alignment horizontal="center"/>
    </xf>
    <xf numFmtId="10" fontId="45" fillId="0" borderId="1" xfId="2" applyNumberFormat="1" applyFont="1" applyFill="1" applyBorder="1" applyAlignment="1">
      <alignment horizontal="center"/>
    </xf>
    <xf numFmtId="10" fontId="45" fillId="0" borderId="1" xfId="0" applyNumberFormat="1" applyFont="1" applyFill="1" applyBorder="1" applyAlignment="1">
      <alignment horizontal="center"/>
    </xf>
    <xf numFmtId="2" fontId="2" fillId="2" borderId="1" xfId="2" applyNumberFormat="1" applyFont="1" applyFill="1" applyBorder="1" applyAlignment="1">
      <alignment horizontal="center"/>
    </xf>
    <xf numFmtId="4" fontId="2" fillId="2" borderId="1" xfId="2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10" fontId="7" fillId="0" borderId="1" xfId="2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2" fillId="4" borderId="1" xfId="2" applyNumberFormat="1" applyFont="1" applyFill="1" applyBorder="1" applyAlignment="1">
      <alignment horizontal="center"/>
    </xf>
    <xf numFmtId="4" fontId="2" fillId="4" borderId="1" xfId="2" applyNumberFormat="1" applyFont="1" applyFill="1" applyBorder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44" fontId="0" fillId="0" borderId="1" xfId="0" applyNumberFormat="1" applyFont="1" applyBorder="1" applyAlignment="1">
      <alignment horizontal="right"/>
    </xf>
    <xf numFmtId="10" fontId="0" fillId="0" borderId="1" xfId="0" applyNumberFormat="1" applyFont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2" fillId="10" borderId="1" xfId="0" applyFont="1" applyFill="1" applyBorder="1"/>
    <xf numFmtId="10" fontId="2" fillId="10" borderId="43" xfId="2" applyNumberFormat="1" applyFont="1" applyFill="1" applyBorder="1" applyAlignment="1">
      <alignment horizontal="center"/>
    </xf>
    <xf numFmtId="0" fontId="2" fillId="10" borderId="43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1" fontId="6" fillId="2" borderId="1" xfId="1" applyNumberFormat="1" applyFont="1" applyFill="1" applyBorder="1" applyAlignment="1">
      <alignment horizontal="center"/>
    </xf>
    <xf numFmtId="175" fontId="7" fillId="2" borderId="1" xfId="0" applyNumberFormat="1" applyFont="1" applyFill="1" applyBorder="1" applyAlignment="1">
      <alignment horizontal="center"/>
    </xf>
    <xf numFmtId="10" fontId="7" fillId="2" borderId="1" xfId="2" applyNumberFormat="1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9" fontId="0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165" fontId="6" fillId="0" borderId="1" xfId="2" applyNumberFormat="1" applyFont="1" applyFill="1" applyBorder="1" applyAlignment="1">
      <alignment horizontal="center"/>
    </xf>
    <xf numFmtId="178" fontId="46" fillId="2" borderId="1" xfId="0" applyNumberFormat="1" applyFont="1" applyFill="1" applyBorder="1" applyAlignment="1">
      <alignment horizontal="center"/>
    </xf>
    <xf numFmtId="165" fontId="46" fillId="2" borderId="1" xfId="2" applyNumberFormat="1" applyFont="1" applyFill="1" applyBorder="1" applyAlignment="1">
      <alignment horizontal="center"/>
    </xf>
    <xf numFmtId="165" fontId="45" fillId="0" borderId="1" xfId="2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165" fontId="2" fillId="4" borderId="1" xfId="2" applyNumberFormat="1" applyFont="1" applyFill="1" applyBorder="1" applyAlignment="1">
      <alignment horizontal="center"/>
    </xf>
    <xf numFmtId="10" fontId="6" fillId="4" borderId="1" xfId="2" applyNumberFormat="1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165" fontId="0" fillId="0" borderId="1" xfId="2" applyNumberFormat="1" applyFont="1" applyFill="1" applyBorder="1" applyAlignment="1">
      <alignment horizontal="center"/>
    </xf>
    <xf numFmtId="4" fontId="0" fillId="0" borderId="0" xfId="0" applyNumberFormat="1" applyFont="1"/>
    <xf numFmtId="2" fontId="2" fillId="2" borderId="1" xfId="0" applyNumberFormat="1" applyFont="1" applyFill="1" applyBorder="1" applyAlignment="1">
      <alignment horizontal="center"/>
    </xf>
    <xf numFmtId="4" fontId="0" fillId="2" borderId="1" xfId="0" applyNumberFormat="1" applyFont="1" applyFill="1" applyBorder="1" applyAlignment="1">
      <alignment horizontal="center"/>
    </xf>
    <xf numFmtId="165" fontId="0" fillId="2" borderId="1" xfId="2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165" fontId="2" fillId="2" borderId="1" xfId="2" applyNumberFormat="1" applyFont="1" applyFill="1" applyBorder="1" applyAlignment="1">
      <alignment horizontal="center"/>
    </xf>
    <xf numFmtId="10" fontId="6" fillId="2" borderId="1" xfId="2" applyNumberFormat="1" applyFont="1" applyFill="1" applyBorder="1" applyAlignment="1">
      <alignment horizontal="center"/>
    </xf>
    <xf numFmtId="2" fontId="0" fillId="0" borderId="0" xfId="0" applyNumberFormat="1" applyFont="1" applyFill="1" applyBorder="1"/>
    <xf numFmtId="0" fontId="0" fillId="0" borderId="0" xfId="0" applyFont="1" applyFill="1" applyBorder="1"/>
    <xf numFmtId="44" fontId="6" fillId="2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0" fontId="7" fillId="0" borderId="1" xfId="2" applyNumberFormat="1" applyFont="1" applyBorder="1" applyAlignment="1">
      <alignment horizontal="center"/>
    </xf>
    <xf numFmtId="4" fontId="6" fillId="4" borderId="1" xfId="0" applyNumberFormat="1" applyFont="1" applyFill="1" applyBorder="1" applyAlignment="1">
      <alignment horizontal="center"/>
    </xf>
    <xf numFmtId="2" fontId="47" fillId="0" borderId="1" xfId="0" applyNumberFormat="1" applyFont="1" applyBorder="1" applyAlignment="1">
      <alignment horizontal="center"/>
    </xf>
    <xf numFmtId="10" fontId="47" fillId="0" borderId="1" xfId="2" applyNumberFormat="1" applyFont="1" applyBorder="1" applyAlignment="1">
      <alignment horizontal="center"/>
    </xf>
    <xf numFmtId="10" fontId="47" fillId="0" borderId="1" xfId="2" applyNumberFormat="1" applyFont="1" applyFill="1" applyBorder="1" applyAlignment="1">
      <alignment horizontal="center"/>
    </xf>
    <xf numFmtId="10" fontId="47" fillId="0" borderId="1" xfId="0" applyNumberFormat="1" applyFont="1" applyFill="1" applyBorder="1" applyAlignment="1">
      <alignment horizontal="center"/>
    </xf>
    <xf numFmtId="2" fontId="47" fillId="0" borderId="1" xfId="0" applyNumberFormat="1" applyFont="1" applyFill="1" applyBorder="1" applyAlignment="1">
      <alignment horizontal="center"/>
    </xf>
    <xf numFmtId="2" fontId="48" fillId="2" borderId="1" xfId="0" applyNumberFormat="1" applyFont="1" applyFill="1" applyBorder="1" applyAlignment="1">
      <alignment horizontal="center"/>
    </xf>
    <xf numFmtId="10" fontId="48" fillId="2" borderId="1" xfId="2" applyNumberFormat="1" applyFont="1" applyFill="1" applyBorder="1" applyAlignment="1">
      <alignment horizontal="center"/>
    </xf>
    <xf numFmtId="10" fontId="48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49" fillId="0" borderId="0" xfId="0" applyFont="1" applyBorder="1"/>
    <xf numFmtId="10" fontId="6" fillId="2" borderId="1" xfId="2" applyNumberFormat="1" applyFont="1" applyFill="1" applyBorder="1"/>
    <xf numFmtId="0" fontId="49" fillId="0" borderId="0" xfId="0" applyFont="1"/>
    <xf numFmtId="0" fontId="50" fillId="0" borderId="0" xfId="0" applyFont="1" applyBorder="1"/>
    <xf numFmtId="10" fontId="49" fillId="0" borderId="0" xfId="2" applyNumberFormat="1" applyFont="1" applyBorder="1"/>
    <xf numFmtId="10" fontId="2" fillId="2" borderId="1" xfId="2" applyNumberFormat="1" applyFont="1" applyFill="1" applyBorder="1" applyAlignment="1">
      <alignment horizontal="center"/>
    </xf>
    <xf numFmtId="10" fontId="2" fillId="0" borderId="1" xfId="0" applyNumberFormat="1" applyFont="1" applyFill="1" applyBorder="1" applyAlignment="1">
      <alignment horizontal="center"/>
    </xf>
    <xf numFmtId="10" fontId="2" fillId="4" borderId="1" xfId="2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0" fontId="6" fillId="16" borderId="10" xfId="0" applyFont="1" applyFill="1" applyBorder="1" applyAlignment="1">
      <alignment horizontal="center"/>
    </xf>
    <xf numFmtId="0" fontId="6" fillId="16" borderId="63" xfId="0" applyFont="1" applyFill="1" applyBorder="1" applyAlignment="1">
      <alignment horizontal="center"/>
    </xf>
    <xf numFmtId="0" fontId="6" fillId="16" borderId="22" xfId="0" applyFont="1" applyFill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51" fillId="0" borderId="1" xfId="0" applyNumberFormat="1" applyFont="1" applyBorder="1" applyAlignment="1">
      <alignment horizontal="center"/>
    </xf>
    <xf numFmtId="178" fontId="2" fillId="0" borderId="22" xfId="0" applyNumberFormat="1" applyFont="1" applyBorder="1" applyAlignment="1">
      <alignment horizontal="center"/>
    </xf>
    <xf numFmtId="4" fontId="0" fillId="17" borderId="1" xfId="0" applyNumberFormat="1" applyFont="1" applyFill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66" fontId="51" fillId="0" borderId="22" xfId="0" applyNumberFormat="1" applyFont="1" applyBorder="1" applyAlignment="1">
      <alignment horizontal="center"/>
    </xf>
    <xf numFmtId="2" fontId="6" fillId="0" borderId="22" xfId="0" applyNumberFormat="1" applyFont="1" applyBorder="1" applyAlignment="1">
      <alignment horizontal="center"/>
    </xf>
    <xf numFmtId="2" fontId="6" fillId="0" borderId="35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left"/>
    </xf>
    <xf numFmtId="0" fontId="8" fillId="2" borderId="22" xfId="0" applyFont="1" applyFill="1" applyBorder="1" applyAlignment="1">
      <alignment horizontal="left"/>
    </xf>
    <xf numFmtId="0" fontId="7" fillId="0" borderId="29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30" xfId="0" applyFont="1" applyBorder="1" applyAlignment="1">
      <alignment horizontal="right"/>
    </xf>
    <xf numFmtId="0" fontId="7" fillId="0" borderId="31" xfId="0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44" fillId="5" borderId="0" xfId="0" applyFont="1" applyFill="1" applyAlignment="1">
      <alignment horizontal="center"/>
    </xf>
    <xf numFmtId="0" fontId="6" fillId="4" borderId="54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42" fillId="19" borderId="0" xfId="0" applyFont="1" applyFill="1"/>
    <xf numFmtId="0" fontId="42" fillId="19" borderId="52" xfId="0" applyFont="1" applyFill="1" applyBorder="1" applyAlignment="1">
      <alignment horizontal="left"/>
    </xf>
    <xf numFmtId="0" fontId="42" fillId="19" borderId="0" xfId="0" applyFont="1" applyFill="1" applyAlignment="1">
      <alignment horizontal="left"/>
    </xf>
    <xf numFmtId="0" fontId="42" fillId="19" borderId="54" xfId="0" applyFont="1" applyFill="1" applyBorder="1" applyAlignment="1">
      <alignment horizontal="left"/>
    </xf>
    <xf numFmtId="0" fontId="42" fillId="19" borderId="43" xfId="0" applyFont="1" applyFill="1" applyBorder="1"/>
    <xf numFmtId="0" fontId="42" fillId="19" borderId="43" xfId="0" applyFont="1" applyFill="1" applyBorder="1" applyAlignment="1">
      <alignment horizontal="left"/>
    </xf>
    <xf numFmtId="0" fontId="34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34" fillId="19" borderId="0" xfId="0" applyFont="1" applyFill="1"/>
    <xf numFmtId="0" fontId="34" fillId="19" borderId="43" xfId="0" applyFont="1" applyFill="1" applyBorder="1" applyAlignment="1">
      <alignment horizontal="left"/>
    </xf>
    <xf numFmtId="0" fontId="34" fillId="19" borderId="0" xfId="0" applyFont="1" applyFill="1" applyAlignment="1">
      <alignment horizontal="left"/>
    </xf>
    <xf numFmtId="0" fontId="34" fillId="19" borderId="54" xfId="0" applyFont="1" applyFill="1" applyBorder="1" applyAlignment="1">
      <alignment horizontal="left"/>
    </xf>
    <xf numFmtId="0" fontId="34" fillId="19" borderId="43" xfId="0" applyFont="1" applyFill="1" applyBorder="1"/>
    <xf numFmtId="0" fontId="26" fillId="5" borderId="23" xfId="0" applyFont="1" applyFill="1" applyBorder="1" applyAlignment="1">
      <alignment horizontal="center" vertical="center" wrapText="1"/>
    </xf>
    <xf numFmtId="0" fontId="26" fillId="5" borderId="24" xfId="0" applyFont="1" applyFill="1" applyBorder="1" applyAlignment="1">
      <alignment horizontal="center" vertical="center" wrapText="1"/>
    </xf>
    <xf numFmtId="0" fontId="26" fillId="5" borderId="47" xfId="0" applyFont="1" applyFill="1" applyBorder="1" applyAlignment="1">
      <alignment horizontal="center" vertical="center" wrapText="1"/>
    </xf>
    <xf numFmtId="0" fontId="22" fillId="14" borderId="55" xfId="0" applyFont="1" applyFill="1" applyBorder="1" applyAlignment="1">
      <alignment horizontal="center" vertical="center" wrapText="1"/>
    </xf>
    <xf numFmtId="0" fontId="22" fillId="14" borderId="52" xfId="0" applyFont="1" applyFill="1" applyBorder="1" applyAlignment="1">
      <alignment horizontal="center" vertical="center" wrapText="1"/>
    </xf>
    <xf numFmtId="0" fontId="22" fillId="14" borderId="56" xfId="0" applyFont="1" applyFill="1" applyBorder="1" applyAlignment="1">
      <alignment horizontal="center" vertical="center" wrapText="1"/>
    </xf>
    <xf numFmtId="0" fontId="25" fillId="5" borderId="26" xfId="0" applyFont="1" applyFill="1" applyBorder="1" applyAlignment="1">
      <alignment horizontal="center" vertical="center" wrapText="1"/>
    </xf>
    <xf numFmtId="0" fontId="25" fillId="5" borderId="46" xfId="0" applyFont="1" applyFill="1" applyBorder="1" applyAlignment="1">
      <alignment horizontal="center" vertical="center" wrapText="1"/>
    </xf>
    <xf numFmtId="0" fontId="26" fillId="5" borderId="48" xfId="0" applyFont="1" applyFill="1" applyBorder="1" applyAlignment="1">
      <alignment horizontal="center" vertical="center" wrapText="1"/>
    </xf>
    <xf numFmtId="0" fontId="30" fillId="5" borderId="44" xfId="0" applyFont="1" applyFill="1" applyBorder="1" applyAlignment="1">
      <alignment horizontal="center" vertical="center" wrapText="1"/>
    </xf>
    <xf numFmtId="0" fontId="30" fillId="5" borderId="57" xfId="0" applyFont="1" applyFill="1" applyBorder="1" applyAlignment="1">
      <alignment horizontal="center" vertical="center" wrapText="1"/>
    </xf>
    <xf numFmtId="0" fontId="30" fillId="5" borderId="41" xfId="0" applyFont="1" applyFill="1" applyBorder="1" applyAlignment="1">
      <alignment horizontal="center" vertical="center" wrapText="1"/>
    </xf>
    <xf numFmtId="0" fontId="30" fillId="5" borderId="45" xfId="0" applyFont="1" applyFill="1" applyBorder="1" applyAlignment="1">
      <alignment horizontal="center" vertical="center" wrapText="1"/>
    </xf>
    <xf numFmtId="0" fontId="29" fillId="0" borderId="41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 wrapText="1"/>
    </xf>
    <xf numFmtId="0" fontId="30" fillId="5" borderId="36" xfId="0" applyFont="1" applyFill="1" applyBorder="1" applyAlignment="1">
      <alignment horizontal="center" vertical="center" wrapText="1"/>
    </xf>
    <xf numFmtId="0" fontId="30" fillId="5" borderId="11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wrapText="1"/>
    </xf>
    <xf numFmtId="0" fontId="31" fillId="2" borderId="0" xfId="0" applyFont="1" applyFill="1" applyBorder="1" applyAlignment="1">
      <alignment wrapText="1"/>
    </xf>
    <xf numFmtId="0" fontId="30" fillId="5" borderId="58" xfId="0" applyFont="1" applyFill="1" applyBorder="1" applyAlignment="1">
      <alignment horizontal="center" vertical="center" wrapText="1"/>
    </xf>
    <xf numFmtId="0" fontId="30" fillId="5" borderId="59" xfId="0" applyFont="1" applyFill="1" applyBorder="1" applyAlignment="1">
      <alignment horizontal="center" vertic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8AC3E7"/>
      <color rgb="FF2F83B9"/>
      <color rgb="FFCAEBFF"/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of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74-42EB-AA55-90BB08CD70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74-42EB-AA55-90BB08CD70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74-42EB-AA55-90BB08CD70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F74-42EB-AA55-90BB08CD70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F74-42EB-AA55-90BB08CD70A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F74-42EB-AA55-90BB08CD70A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F74-42EB-AA55-90BB08CD70A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F74-42EB-AA55-90BB08CD70A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F74-42EB-AA55-90BB08CD70A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F74-42EB-AA55-90BB08CD70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F74-42EB-AA55-90BB08CD70A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F74-42EB-AA55-90BB08CD70A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F74-42EB-AA55-90BB08CD70A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F74-42EB-AA55-90BB08CD70A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F74-42EB-AA55-90BB08CD70A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F74-42EB-AA55-90BB08CD70A0}"/>
              </c:ext>
            </c:extLst>
          </c:dPt>
          <c:cat>
            <c:strRef>
              <c:f>'Map of expenses'!$I$3:$I$18</c:f>
              <c:strCache>
                <c:ptCount val="16"/>
                <c:pt idx="0">
                  <c:v>Variation in stocks of finished goods</c:v>
                </c:pt>
                <c:pt idx="1">
                  <c:v>COGS</c:v>
                </c:pt>
                <c:pt idx="2">
                  <c:v>Transportation costs</c:v>
                </c:pt>
                <c:pt idx="3">
                  <c:v>Marketing Expenses</c:v>
                </c:pt>
                <c:pt idx="4">
                  <c:v>Office supplies</c:v>
                </c:pt>
                <c:pt idx="5">
                  <c:v>Maintenance (IT, cleaning...)</c:v>
                </c:pt>
                <c:pt idx="6">
                  <c:v>Marketing (paid promotion)</c:v>
                </c:pt>
                <c:pt idx="7">
                  <c:v>Electricity, water</c:v>
                </c:pt>
                <c:pt idx="8">
                  <c:v>Accounting expenses</c:v>
                </c:pt>
                <c:pt idx="9">
                  <c:v>Warehouse rent</c:v>
                </c:pt>
                <c:pt idx="10">
                  <c:v>Software</c:v>
                </c:pt>
                <c:pt idx="11">
                  <c:v>Labour costs</c:v>
                </c:pt>
                <c:pt idx="12">
                  <c:v>Salaries</c:v>
                </c:pt>
                <c:pt idx="13">
                  <c:v>Depreciations </c:v>
                </c:pt>
                <c:pt idx="14">
                  <c:v>Financial Expenses  (Medium Term)</c:v>
                </c:pt>
                <c:pt idx="15">
                  <c:v>Income Taxes</c:v>
                </c:pt>
              </c:strCache>
            </c:strRef>
          </c:cat>
          <c:val>
            <c:numRef>
              <c:f>'Map of expenses'!$P$3:$P$18</c:f>
              <c:numCache>
                <c:formatCode>#,##0.00</c:formatCode>
                <c:ptCount val="16"/>
                <c:pt idx="0">
                  <c:v>75708.352072959999</c:v>
                </c:pt>
                <c:pt idx="1">
                  <c:v>1493211.1359999999</c:v>
                </c:pt>
                <c:pt idx="2">
                  <c:v>214042.5</c:v>
                </c:pt>
                <c:pt idx="3">
                  <c:v>106856.97</c:v>
                </c:pt>
                <c:pt idx="4">
                  <c:v>14082.5</c:v>
                </c:pt>
                <c:pt idx="5">
                  <c:v>36000</c:v>
                </c:pt>
                <c:pt idx="6">
                  <c:v>7500</c:v>
                </c:pt>
                <c:pt idx="7">
                  <c:v>15600</c:v>
                </c:pt>
                <c:pt idx="8">
                  <c:v>30000</c:v>
                </c:pt>
                <c:pt idx="9">
                  <c:v>237000</c:v>
                </c:pt>
                <c:pt idx="10">
                  <c:v>22080</c:v>
                </c:pt>
                <c:pt idx="12">
                  <c:v>583724.84</c:v>
                </c:pt>
                <c:pt idx="13">
                  <c:v>12525.499999999998</c:v>
                </c:pt>
                <c:pt idx="14">
                  <c:v>8090.5074562499931</c:v>
                </c:pt>
                <c:pt idx="15">
                  <c:v>63922.340622995282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0-1B43-97A5-4002AAAC8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604293933213905E-2"/>
          <c:y val="0.49009167728560887"/>
          <c:w val="0.60591056555339651"/>
          <c:h val="0.509908322714391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2578744</xdr:colOff>
      <xdr:row>19</xdr:row>
      <xdr:rowOff>32932</xdr:rowOff>
    </xdr:from>
    <xdr:to>
      <xdr:col>15</xdr:col>
      <xdr:colOff>365931</xdr:colOff>
      <xdr:row>36</xdr:row>
      <xdr:rowOff>21524</xdr:rowOff>
    </xdr:to>
    <xdr:graphicFrame macro="">
      <xdr:nvGraphicFramePr>
        <xdr:cNvPr id="3" name="Chart 2" descr="&#10;">
          <a:extLst>
            <a:ext uri="{FF2B5EF4-FFF2-40B4-BE49-F238E27FC236}">
              <a16:creationId xmlns:a16="http://schemas.microsoft.com/office/drawing/2014/main" id="{D4CBA188-D0DB-9D4A-9E27-B5CEE6186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19</xdr:row>
      <xdr:rowOff>180975</xdr:rowOff>
    </xdr:from>
    <xdr:to>
      <xdr:col>10</xdr:col>
      <xdr:colOff>66675</xdr:colOff>
      <xdr:row>20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8560C4-9991-4A32-961E-3EA3A0C03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4229100"/>
          <a:ext cx="1066800" cy="180975"/>
        </a:xfrm>
        <a:prstGeom prst="rect">
          <a:avLst/>
        </a:prstGeom>
      </xdr:spPr>
    </xdr:pic>
    <xdr:clientData/>
  </xdr:twoCellAnchor>
  <xdr:twoCellAnchor editAs="oneCell">
    <xdr:from>
      <xdr:col>11</xdr:col>
      <xdr:colOff>962025</xdr:colOff>
      <xdr:row>20</xdr:row>
      <xdr:rowOff>19050</xdr:rowOff>
    </xdr:from>
    <xdr:to>
      <xdr:col>13</xdr:col>
      <xdr:colOff>28575</xdr:colOff>
      <xdr:row>20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12C30D-6216-4EB5-BB0C-4D63E9FC2471}"/>
            </a:ext>
            <a:ext uri="{147F2762-F138-4A5C-976F-8EAC2B608ADB}">
              <a16:predDERef xmlns:a16="http://schemas.microsoft.com/office/drawing/2014/main" pred="{0D8560C4-9991-4A32-961E-3EA3A0C03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5975" y="4257675"/>
          <a:ext cx="666750" cy="114300"/>
        </a:xfrm>
        <a:prstGeom prst="rect">
          <a:avLst/>
        </a:prstGeom>
      </xdr:spPr>
    </xdr:pic>
    <xdr:clientData/>
  </xdr:twoCellAnchor>
  <xdr:twoCellAnchor editAs="oneCell">
    <xdr:from>
      <xdr:col>24</xdr:col>
      <xdr:colOff>9525</xdr:colOff>
      <xdr:row>20</xdr:row>
      <xdr:rowOff>57150</xdr:rowOff>
    </xdr:from>
    <xdr:to>
      <xdr:col>25</xdr:col>
      <xdr:colOff>57150</xdr:colOff>
      <xdr:row>20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8A1358-E875-413E-A4D3-C825DE511F99}"/>
            </a:ext>
            <a:ext uri="{147F2762-F138-4A5C-976F-8EAC2B608ADB}">
              <a16:predDERef xmlns:a16="http://schemas.microsoft.com/office/drawing/2014/main" pred="{C9E1134B-4389-4B50-B0B4-B73D74E12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4050" y="4295775"/>
          <a:ext cx="666750" cy="114300"/>
        </a:xfrm>
        <a:prstGeom prst="rect">
          <a:avLst/>
        </a:prstGeom>
      </xdr:spPr>
    </xdr:pic>
    <xdr:clientData/>
  </xdr:twoCellAnchor>
  <xdr:twoCellAnchor editAs="oneCell">
    <xdr:from>
      <xdr:col>26</xdr:col>
      <xdr:colOff>609600</xdr:colOff>
      <xdr:row>20</xdr:row>
      <xdr:rowOff>38100</xdr:rowOff>
    </xdr:from>
    <xdr:to>
      <xdr:col>28</xdr:col>
      <xdr:colOff>38100</xdr:colOff>
      <xdr:row>20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80341A-A968-4CA2-AD8F-8D58C581F4C6}"/>
            </a:ext>
            <a:ext uri="{147F2762-F138-4A5C-976F-8EAC2B608ADB}">
              <a16:predDERef xmlns:a16="http://schemas.microsoft.com/office/drawing/2014/main" pred="{718A1358-E875-413E-A4D3-C825DE511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02375" y="4276725"/>
          <a:ext cx="666750" cy="1143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57150</xdr:rowOff>
    </xdr:from>
    <xdr:to>
      <xdr:col>19</xdr:col>
      <xdr:colOff>47625</xdr:colOff>
      <xdr:row>17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BD7615-4954-41E9-9191-FBC41FEF8F11}"/>
            </a:ext>
            <a:ext uri="{147F2762-F138-4A5C-976F-8EAC2B608ADB}">
              <a16:predDERef xmlns:a16="http://schemas.microsoft.com/office/drawing/2014/main" pred="{4C80341A-A968-4CA2-AD8F-8D58C581F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9775" y="3724275"/>
          <a:ext cx="666750" cy="114300"/>
        </a:xfrm>
        <a:prstGeom prst="rect">
          <a:avLst/>
        </a:prstGeom>
      </xdr:spPr>
    </xdr:pic>
    <xdr:clientData/>
  </xdr:twoCellAnchor>
  <xdr:twoCellAnchor>
    <xdr:from>
      <xdr:col>20</xdr:col>
      <xdr:colOff>609600</xdr:colOff>
      <xdr:row>17</xdr:row>
      <xdr:rowOff>95250</xdr:rowOff>
    </xdr:from>
    <xdr:to>
      <xdr:col>21</xdr:col>
      <xdr:colOff>600075</xdr:colOff>
      <xdr:row>20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C1FDE20-3D2B-41B5-B6B4-059A816E75B6}"/>
            </a:ext>
            <a:ext uri="{147F2762-F138-4A5C-976F-8EAC2B608ADB}">
              <a16:predDERef xmlns:a16="http://schemas.microsoft.com/office/drawing/2014/main" pred="{34BD7615-4954-41E9-9191-FBC41FEF8F11}"/>
            </a:ext>
          </a:extLst>
        </xdr:cNvPr>
        <xdr:cNvCxnSpPr>
          <a:cxnSpLocks/>
        </xdr:cNvCxnSpPr>
      </xdr:nvCxnSpPr>
      <xdr:spPr>
        <a:xfrm>
          <a:off x="15287625" y="3762375"/>
          <a:ext cx="609600" cy="590550"/>
        </a:xfrm>
        <a:prstGeom prst="line">
          <a:avLst/>
        </a:prstGeom>
        <a:ln w="28575">
          <a:solidFill>
            <a:srgbClr val="2F83B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21</xdr:row>
      <xdr:rowOff>19050</xdr:rowOff>
    </xdr:from>
    <xdr:to>
      <xdr:col>21</xdr:col>
      <xdr:colOff>600075</xdr:colOff>
      <xdr:row>23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6EE7F73-600A-4FB5-98D9-559AEE76C88A}"/>
            </a:ext>
            <a:ext uri="{147F2762-F138-4A5C-976F-8EAC2B608ADB}">
              <a16:predDERef xmlns:a16="http://schemas.microsoft.com/office/drawing/2014/main" pred="{EC1FDE20-3D2B-41B5-B6B4-059A816E75B6}"/>
            </a:ext>
          </a:extLst>
        </xdr:cNvPr>
        <xdr:cNvCxnSpPr>
          <a:cxnSpLocks/>
        </xdr:cNvCxnSpPr>
      </xdr:nvCxnSpPr>
      <xdr:spPr>
        <a:xfrm flipV="1">
          <a:off x="13420725" y="4467225"/>
          <a:ext cx="2476500" cy="485775"/>
        </a:xfrm>
        <a:prstGeom prst="line">
          <a:avLst/>
        </a:prstGeom>
        <a:ln w="28575">
          <a:solidFill>
            <a:srgbClr val="2F83B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20</xdr:row>
      <xdr:rowOff>104775</xdr:rowOff>
    </xdr:from>
    <xdr:to>
      <xdr:col>16</xdr:col>
      <xdr:colOff>0</xdr:colOff>
      <xdr:row>23</xdr:row>
      <xdr:rowOff>104775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9E05F88-C828-4A66-9DD8-733F31E6FB10}"/>
            </a:ext>
            <a:ext uri="{147F2762-F138-4A5C-976F-8EAC2B608ADB}">
              <a16:predDERef xmlns:a16="http://schemas.microsoft.com/office/drawing/2014/main" pred="{06EE7F73-600A-4FB5-98D9-559AEE76C88A}"/>
            </a:ext>
          </a:extLst>
        </xdr:cNvPr>
        <xdr:cNvCxnSpPr>
          <a:cxnSpLocks/>
        </xdr:cNvCxnSpPr>
      </xdr:nvCxnSpPr>
      <xdr:spPr>
        <a:xfrm>
          <a:off x="11563350" y="4343400"/>
          <a:ext cx="638175" cy="628650"/>
        </a:xfrm>
        <a:prstGeom prst="line">
          <a:avLst/>
        </a:prstGeom>
        <a:ln w="28575">
          <a:solidFill>
            <a:srgbClr val="2F83B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17</xdr:row>
      <xdr:rowOff>66675</xdr:rowOff>
    </xdr:from>
    <xdr:to>
      <xdr:col>16</xdr:col>
      <xdr:colOff>0</xdr:colOff>
      <xdr:row>20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F987BCC-CF6D-46B3-A4A8-4A87F2D38269}"/>
            </a:ext>
            <a:ext uri="{147F2762-F138-4A5C-976F-8EAC2B608ADB}">
              <a16:predDERef xmlns:a16="http://schemas.microsoft.com/office/drawing/2014/main" pred="{29E05F88-C828-4A66-9DD8-733F31E6FB10}"/>
            </a:ext>
          </a:extLst>
        </xdr:cNvPr>
        <xdr:cNvCxnSpPr>
          <a:cxnSpLocks/>
        </xdr:cNvCxnSpPr>
      </xdr:nvCxnSpPr>
      <xdr:spPr>
        <a:xfrm flipV="1">
          <a:off x="11553825" y="3733800"/>
          <a:ext cx="647700" cy="609600"/>
        </a:xfrm>
        <a:prstGeom prst="line">
          <a:avLst/>
        </a:prstGeom>
        <a:ln w="28575">
          <a:solidFill>
            <a:srgbClr val="2F83B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cteiul365-my.sharepoint.com/Users/clairethomas/Documents/Finance%20PROJECT%20bu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ed sales"/>
      <sheetName val="Costs without VAT"/>
      <sheetName val="Investment budget"/>
      <sheetName val="Investment in WC budget"/>
      <sheetName val="Depreciation"/>
      <sheetName val="VAT"/>
      <sheetName val="Project cash flow"/>
      <sheetName val="Investment Financial Indicators"/>
      <sheetName val="Income Statement (Predicted)"/>
      <sheetName val="Map of expenses"/>
      <sheetName val="Financing options"/>
      <sheetName val="Statement of Financial Position"/>
      <sheetName val="Sensitivity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D4">
            <v>696</v>
          </cell>
        </row>
        <row r="9">
          <cell r="E9">
            <v>260.096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47C436-ECC3-4C4C-B0B9-58F343EBF4A2}">
  <we:reference id="a2a4692c-ecd3-4c3d-bc1e-2c407a976176" version="21.0.0.0" store="EXCatalog" storeType="EXCatalog"/>
  <we:alternateReferences>
    <we:reference id="WA200000019" version="21.0.0.0" store="fr-F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3A4A-9C91-2949-991D-8001D13286A9}">
  <dimension ref="A2:N54"/>
  <sheetViews>
    <sheetView zoomScale="75" zoomScaleNormal="100" workbookViewId="0">
      <selection activeCell="L33" sqref="L33"/>
    </sheetView>
  </sheetViews>
  <sheetFormatPr baseColWidth="10" defaultColWidth="11" defaultRowHeight="16"/>
  <cols>
    <col min="3" max="3" width="33.5" customWidth="1"/>
    <col min="4" max="4" width="23.33203125" customWidth="1"/>
    <col min="5" max="5" width="29.6640625" customWidth="1"/>
    <col min="6" max="6" width="35.33203125" customWidth="1"/>
    <col min="7" max="7" width="36" customWidth="1"/>
    <col min="8" max="8" width="35.33203125" customWidth="1"/>
    <col min="9" max="9" width="17.33203125" bestFit="1" customWidth="1"/>
    <col min="10" max="10" width="11.1640625" bestFit="1" customWidth="1"/>
    <col min="11" max="11" width="13" customWidth="1"/>
    <col min="12" max="12" width="11.6640625" bestFit="1" customWidth="1"/>
  </cols>
  <sheetData>
    <row r="2" spans="1:8" ht="17" thickBot="1"/>
    <row r="3" spans="1:8" ht="17">
      <c r="A3" s="3"/>
      <c r="B3" s="697" t="s">
        <v>0</v>
      </c>
      <c r="C3" s="698"/>
      <c r="D3" s="698"/>
      <c r="E3" s="699"/>
    </row>
    <row r="4" spans="1:8">
      <c r="A4" s="1"/>
      <c r="B4" s="17" t="s">
        <v>1</v>
      </c>
      <c r="C4" s="18" t="s">
        <v>2</v>
      </c>
      <c r="D4" s="19" t="s">
        <v>3</v>
      </c>
      <c r="E4" s="20" t="s">
        <v>4</v>
      </c>
    </row>
    <row r="5" spans="1:8" hidden="1">
      <c r="A5" s="1"/>
      <c r="B5" s="8">
        <v>2014</v>
      </c>
      <c r="C5" s="9">
        <v>2710900000</v>
      </c>
      <c r="D5" s="11"/>
      <c r="E5" s="38"/>
    </row>
    <row r="6" spans="1:8" hidden="1">
      <c r="A6" s="1"/>
      <c r="B6" s="8">
        <v>2015</v>
      </c>
      <c r="C6" s="9">
        <v>2844600000</v>
      </c>
      <c r="D6" s="11"/>
      <c r="E6" s="13"/>
    </row>
    <row r="7" spans="1:8" hidden="1">
      <c r="A7" s="1"/>
      <c r="B7" s="8">
        <v>2016</v>
      </c>
      <c r="C7" s="9">
        <v>2942600000</v>
      </c>
      <c r="D7" s="12"/>
      <c r="E7" s="14"/>
    </row>
    <row r="8" spans="1:8">
      <c r="A8" s="1"/>
      <c r="B8" s="8">
        <v>2017</v>
      </c>
      <c r="C8" s="30">
        <v>3193300000</v>
      </c>
      <c r="D8" s="4">
        <f>E8/C8</f>
        <v>3.7597434649848118E-3</v>
      </c>
      <c r="E8" s="39">
        <f>E9-11.62%*E9</f>
        <v>12005988.806736</v>
      </c>
    </row>
    <row r="9" spans="1:8" ht="19">
      <c r="A9" s="1"/>
      <c r="B9" s="8">
        <v>2018</v>
      </c>
      <c r="C9" s="30">
        <v>3510500000</v>
      </c>
      <c r="D9" s="4">
        <f>13584508.72/C9</f>
        <v>3.8696791682096571E-3</v>
      </c>
      <c r="E9" s="39">
        <v>13584508.720000001</v>
      </c>
      <c r="G9" s="33"/>
      <c r="H9" s="52" t="s">
        <v>5</v>
      </c>
    </row>
    <row r="10" spans="1:8">
      <c r="B10" s="8">
        <v>2019</v>
      </c>
      <c r="C10" s="30">
        <v>3765000000</v>
      </c>
      <c r="D10" s="4">
        <f>17152006.5/C10</f>
        <v>4.555645816733068E-3</v>
      </c>
      <c r="E10" s="39">
        <v>17152006.5</v>
      </c>
    </row>
    <row r="11" spans="1:8">
      <c r="B11" s="8">
        <v>2020</v>
      </c>
      <c r="C11" s="30">
        <v>3821475300</v>
      </c>
      <c r="D11" s="4">
        <f t="shared" ref="D11:D17" si="0">E11/C11</f>
        <v>4.9658274645920123E-3</v>
      </c>
      <c r="E11" s="39">
        <v>18976787</v>
      </c>
      <c r="G11" s="2"/>
    </row>
    <row r="12" spans="1:8">
      <c r="B12" s="8">
        <v>2021</v>
      </c>
      <c r="C12" s="30">
        <v>3886440075</v>
      </c>
      <c r="D12" s="4">
        <f t="shared" si="0"/>
        <v>5.5783808227424202E-3</v>
      </c>
      <c r="E12" s="40" cm="1">
        <f t="array" ref="E12:E16">_xlfn.FORECAST.ETS(B12:B16,E8:E11,B8:B11)</f>
        <v>21680042.783117615</v>
      </c>
      <c r="F12" s="2"/>
    </row>
    <row r="13" spans="1:8">
      <c r="B13" s="8">
        <v>2022</v>
      </c>
      <c r="C13" s="30">
        <v>3964168877</v>
      </c>
      <c r="D13" s="4">
        <f t="shared" si="0"/>
        <v>6.0840752825563563E-3</v>
      </c>
      <c r="E13" s="40">
        <v>24118301.880434889</v>
      </c>
      <c r="F13" s="65"/>
    </row>
    <row r="14" spans="1:8">
      <c r="B14" s="28">
        <v>2023</v>
      </c>
      <c r="C14" s="31" cm="1">
        <f t="array" ref="C14:C16">_xlfn.FORECAST.ETS(B14:B16,C5:C13,B5:B13)</f>
        <v>4040647696.7611265</v>
      </c>
      <c r="D14" s="4">
        <f t="shared" si="0"/>
        <v>6.5723524966156245E-3</v>
      </c>
      <c r="E14" s="40">
        <v>26556560.977752164</v>
      </c>
    </row>
    <row r="15" spans="1:8">
      <c r="B15" s="28">
        <v>2024</v>
      </c>
      <c r="C15" s="31">
        <v>4117150306.7146015</v>
      </c>
      <c r="D15" s="4">
        <f t="shared" si="0"/>
        <v>7.0424487606833798E-3</v>
      </c>
      <c r="E15" s="40">
        <v>28994820.075069442</v>
      </c>
    </row>
    <row r="16" spans="1:8">
      <c r="B16" s="28">
        <v>2025</v>
      </c>
      <c r="C16" s="31">
        <v>4193652916.668077</v>
      </c>
      <c r="D16" s="4">
        <f t="shared" si="0"/>
        <v>7.4953935857335558E-3</v>
      </c>
      <c r="E16" s="40">
        <v>31433079.172386721</v>
      </c>
      <c r="F16" s="10"/>
      <c r="G16" s="64"/>
    </row>
    <row r="17" spans="2:8" ht="17" thickBot="1">
      <c r="B17" s="29">
        <v>2026</v>
      </c>
      <c r="C17" s="32">
        <f>_xlfn.FORECAST.ETS(B17,C5:C16,B5:B16)</f>
        <v>4270155526.6215239</v>
      </c>
      <c r="D17" s="5">
        <f t="shared" si="0"/>
        <v>7.9432104660861654E-3</v>
      </c>
      <c r="E17" s="41">
        <f>_xlfn.FORECAST.ETS(B17,E8:E16,B8:B16)</f>
        <v>33918744.070875771</v>
      </c>
      <c r="F17" s="10"/>
      <c r="G17" s="10"/>
    </row>
    <row r="18" spans="2:8">
      <c r="E18" s="27"/>
    </row>
    <row r="19" spans="2:8">
      <c r="E19" s="27"/>
    </row>
    <row r="20" spans="2:8">
      <c r="E20" s="27"/>
    </row>
    <row r="22" spans="2:8" ht="17" thickBot="1">
      <c r="C22" s="27"/>
    </row>
    <row r="23" spans="2:8" ht="17">
      <c r="B23" s="697" t="s">
        <v>6</v>
      </c>
      <c r="C23" s="698"/>
      <c r="D23" s="698"/>
      <c r="E23" s="698"/>
      <c r="F23" s="698"/>
      <c r="G23" s="698"/>
      <c r="H23" s="699"/>
    </row>
    <row r="24" spans="2:8">
      <c r="B24" s="21" t="s">
        <v>1</v>
      </c>
      <c r="C24" s="24" t="s">
        <v>7</v>
      </c>
      <c r="D24" s="24" t="s">
        <v>8</v>
      </c>
      <c r="E24" s="24" t="s">
        <v>9</v>
      </c>
      <c r="F24" s="25" t="s">
        <v>10</v>
      </c>
      <c r="G24" s="24" t="s">
        <v>11</v>
      </c>
      <c r="H24" s="36" t="s">
        <v>12</v>
      </c>
    </row>
    <row r="25" spans="2:8">
      <c r="B25" s="22">
        <v>2022</v>
      </c>
      <c r="C25" s="15">
        <f>3*12</f>
        <v>36</v>
      </c>
      <c r="D25" s="15">
        <f>10*5*12+60</f>
        <v>660</v>
      </c>
      <c r="E25" s="15">
        <f>D25+C25</f>
        <v>696</v>
      </c>
      <c r="F25" s="15">
        <f>G25-E25</f>
        <v>1280</v>
      </c>
      <c r="G25" s="34">
        <v>1976</v>
      </c>
      <c r="H25" s="26">
        <f>E25/G25</f>
        <v>0.35222672064777327</v>
      </c>
    </row>
    <row r="26" spans="2:8">
      <c r="B26" s="22">
        <v>2023</v>
      </c>
      <c r="C26" s="15">
        <f>12*4</f>
        <v>48</v>
      </c>
      <c r="D26" s="15">
        <f>12*5*12+62</f>
        <v>782</v>
      </c>
      <c r="E26" s="15">
        <f t="shared" ref="E26:E29" si="1">D26+C26</f>
        <v>830</v>
      </c>
      <c r="F26" s="15">
        <f t="shared" ref="F26:F29" si="2">G26-E26</f>
        <v>1353</v>
      </c>
      <c r="G26" s="34">
        <v>2183</v>
      </c>
      <c r="H26" s="26">
        <f t="shared" ref="H26:H29" si="3">E26/G26</f>
        <v>0.38021071919377003</v>
      </c>
    </row>
    <row r="27" spans="2:8">
      <c r="B27" s="22">
        <v>2024</v>
      </c>
      <c r="C27" s="15">
        <f>12*6</f>
        <v>72</v>
      </c>
      <c r="D27" s="15">
        <f>15*5.5*12+53</f>
        <v>1043</v>
      </c>
      <c r="E27" s="15">
        <f t="shared" si="1"/>
        <v>1115</v>
      </c>
      <c r="F27" s="15">
        <f t="shared" si="2"/>
        <v>1472</v>
      </c>
      <c r="G27" s="34">
        <v>2587</v>
      </c>
      <c r="H27" s="26">
        <f t="shared" si="3"/>
        <v>0.43100115964437574</v>
      </c>
    </row>
    <row r="28" spans="2:8">
      <c r="B28" s="22">
        <v>2025</v>
      </c>
      <c r="C28" s="15">
        <f>12*8</f>
        <v>96</v>
      </c>
      <c r="D28" s="15">
        <f>16*6.5*12+40</f>
        <v>1288</v>
      </c>
      <c r="E28" s="15">
        <f t="shared" si="1"/>
        <v>1384</v>
      </c>
      <c r="F28" s="15">
        <f t="shared" si="2"/>
        <v>1600</v>
      </c>
      <c r="G28" s="34">
        <v>2984</v>
      </c>
      <c r="H28" s="26">
        <f t="shared" si="3"/>
        <v>0.46380697050938335</v>
      </c>
    </row>
    <row r="29" spans="2:8" ht="17" thickBot="1">
      <c r="B29" s="23">
        <v>2026</v>
      </c>
      <c r="C29" s="16">
        <f>12*9</f>
        <v>108</v>
      </c>
      <c r="D29" s="16">
        <f>17*7*12+180</f>
        <v>1608</v>
      </c>
      <c r="E29" s="16">
        <f t="shared" si="1"/>
        <v>1716</v>
      </c>
      <c r="F29" s="16">
        <f t="shared" si="2"/>
        <v>1538</v>
      </c>
      <c r="G29" s="35">
        <v>3254</v>
      </c>
      <c r="H29" s="37">
        <f t="shared" si="3"/>
        <v>0.52735095267363241</v>
      </c>
    </row>
    <row r="31" spans="2:8" ht="17" thickBot="1"/>
    <row r="32" spans="2:8" ht="17">
      <c r="B32" s="700" t="s">
        <v>13</v>
      </c>
      <c r="C32" s="701"/>
      <c r="D32" s="701"/>
      <c r="E32" s="701"/>
      <c r="F32" s="701"/>
      <c r="G32" s="701"/>
      <c r="H32" s="702"/>
    </row>
    <row r="33" spans="2:14" ht="17">
      <c r="B33" s="21" t="s">
        <v>14</v>
      </c>
      <c r="C33" s="24" t="s">
        <v>15</v>
      </c>
      <c r="D33" s="24" t="s">
        <v>16</v>
      </c>
      <c r="E33" s="24" t="s">
        <v>17</v>
      </c>
      <c r="F33" s="24" t="s">
        <v>18</v>
      </c>
      <c r="G33" s="18" t="s">
        <v>19</v>
      </c>
      <c r="H33" s="20" t="s">
        <v>20</v>
      </c>
      <c r="J33" s="696" t="s">
        <v>21</v>
      </c>
      <c r="K33" s="696"/>
      <c r="L33" s="51">
        <v>610.99</v>
      </c>
      <c r="N33" s="104"/>
    </row>
    <row r="34" spans="2:14" ht="17">
      <c r="B34" s="22">
        <v>2022</v>
      </c>
      <c r="C34" s="15">
        <f>C25*$L$33</f>
        <v>21995.64</v>
      </c>
      <c r="D34" s="15">
        <f t="shared" ref="C34:D38" si="4">D25*$L$33</f>
        <v>403253.4</v>
      </c>
      <c r="E34" s="15">
        <f>D34+C34</f>
        <v>425249.04000000004</v>
      </c>
      <c r="F34" s="15">
        <f>F25*$L$34</f>
        <v>704000</v>
      </c>
      <c r="G34" s="42">
        <f>E34+F34</f>
        <v>1129249.04</v>
      </c>
      <c r="H34" s="44">
        <f>G34/E13</f>
        <v>4.6821249920420929E-2</v>
      </c>
      <c r="I34" s="65"/>
      <c r="J34" s="703" t="s">
        <v>22</v>
      </c>
      <c r="K34" s="704"/>
      <c r="L34" s="51">
        <v>550</v>
      </c>
    </row>
    <row r="35" spans="2:14">
      <c r="B35" s="22">
        <v>2023</v>
      </c>
      <c r="C35" s="15">
        <f t="shared" si="4"/>
        <v>29327.52</v>
      </c>
      <c r="D35" s="15">
        <f t="shared" si="4"/>
        <v>477794.18</v>
      </c>
      <c r="E35" s="15">
        <f t="shared" ref="E35:E38" si="5">D35+C35</f>
        <v>507121.7</v>
      </c>
      <c r="F35" s="15">
        <f>F26*$L$34</f>
        <v>744150</v>
      </c>
      <c r="G35" s="42">
        <f t="shared" ref="G35:G38" si="6">E35+F35</f>
        <v>1251271.7</v>
      </c>
      <c r="H35" s="44">
        <f t="shared" ref="H35:H38" si="7">G35/E14</f>
        <v>4.7117234081937659E-2</v>
      </c>
    </row>
    <row r="36" spans="2:14">
      <c r="B36" s="22">
        <v>2024</v>
      </c>
      <c r="C36" s="15">
        <f t="shared" si="4"/>
        <v>43991.28</v>
      </c>
      <c r="D36" s="15">
        <f t="shared" si="4"/>
        <v>637262.57000000007</v>
      </c>
      <c r="E36" s="15">
        <f t="shared" si="5"/>
        <v>681253.85000000009</v>
      </c>
      <c r="F36" s="15">
        <f>F27*$L$34</f>
        <v>809600</v>
      </c>
      <c r="G36" s="42">
        <f t="shared" si="6"/>
        <v>1490853.85</v>
      </c>
      <c r="H36" s="44">
        <f t="shared" si="7"/>
        <v>5.141793762265412E-2</v>
      </c>
    </row>
    <row r="37" spans="2:14">
      <c r="B37" s="22">
        <v>2025</v>
      </c>
      <c r="C37" s="15">
        <f t="shared" si="4"/>
        <v>58655.040000000001</v>
      </c>
      <c r="D37" s="15">
        <f t="shared" si="4"/>
        <v>786955.12</v>
      </c>
      <c r="E37" s="15">
        <f t="shared" si="5"/>
        <v>845610.16</v>
      </c>
      <c r="F37" s="15">
        <f>F28*$L$34</f>
        <v>880000</v>
      </c>
      <c r="G37" s="42">
        <f t="shared" si="6"/>
        <v>1725610.1600000001</v>
      </c>
      <c r="H37" s="44">
        <f t="shared" si="7"/>
        <v>5.489790390996474E-2</v>
      </c>
    </row>
    <row r="38" spans="2:14" ht="17" thickBot="1">
      <c r="B38" s="23">
        <v>2026</v>
      </c>
      <c r="C38" s="16">
        <f t="shared" si="4"/>
        <v>65986.92</v>
      </c>
      <c r="D38" s="16">
        <f t="shared" si="4"/>
        <v>982471.92</v>
      </c>
      <c r="E38" s="16">
        <f t="shared" si="5"/>
        <v>1048458.8400000001</v>
      </c>
      <c r="F38" s="16">
        <f>F29*$L$34</f>
        <v>845900</v>
      </c>
      <c r="G38" s="43">
        <f t="shared" si="6"/>
        <v>1894358.84</v>
      </c>
      <c r="H38" s="45">
        <f t="shared" si="7"/>
        <v>5.5849911071046573E-2</v>
      </c>
      <c r="I38" s="65"/>
    </row>
    <row r="41" spans="2:14" ht="17" thickBot="1"/>
    <row r="42" spans="2:14" ht="17">
      <c r="B42" s="697" t="s">
        <v>23</v>
      </c>
      <c r="C42" s="698"/>
      <c r="D42" s="698"/>
      <c r="E42" s="698"/>
      <c r="F42" s="698"/>
      <c r="G42" s="698"/>
      <c r="H42" s="698"/>
      <c r="I42" s="699"/>
    </row>
    <row r="43" spans="2:14">
      <c r="B43" s="709" t="s">
        <v>24</v>
      </c>
      <c r="C43" s="710"/>
      <c r="D43" s="49">
        <v>0</v>
      </c>
      <c r="E43" s="49">
        <v>1</v>
      </c>
      <c r="F43" s="49">
        <v>2</v>
      </c>
      <c r="G43" s="49">
        <v>3</v>
      </c>
      <c r="H43" s="49">
        <v>4</v>
      </c>
      <c r="I43" s="58">
        <v>5</v>
      </c>
    </row>
    <row r="44" spans="2:14">
      <c r="B44" s="59" t="s">
        <v>25</v>
      </c>
      <c r="C44" s="50"/>
      <c r="D44" s="50"/>
      <c r="E44" s="50"/>
      <c r="F44" s="50"/>
      <c r="G44" s="50"/>
      <c r="H44" s="50"/>
      <c r="I44" s="60"/>
    </row>
    <row r="45" spans="2:14">
      <c r="B45" s="705" t="s">
        <v>26</v>
      </c>
      <c r="C45" s="706"/>
      <c r="D45" s="55">
        <v>0</v>
      </c>
      <c r="E45" s="56">
        <v>1.2E-2</v>
      </c>
      <c r="F45" s="55">
        <v>1.2999999999999999E-2</v>
      </c>
      <c r="G45" s="56">
        <v>1.4E-2</v>
      </c>
      <c r="H45" s="55">
        <v>1.4999999999999999E-2</v>
      </c>
      <c r="I45" s="56">
        <v>1.6E-2</v>
      </c>
    </row>
    <row r="46" spans="2:14">
      <c r="B46" s="59" t="s">
        <v>27</v>
      </c>
      <c r="C46" s="50"/>
      <c r="D46" s="57"/>
      <c r="E46" s="57"/>
      <c r="F46" s="57"/>
      <c r="G46" s="57"/>
      <c r="H46" s="57"/>
      <c r="I46" s="61"/>
    </row>
    <row r="47" spans="2:14" ht="17" thickBot="1">
      <c r="B47" s="707" t="s">
        <v>26</v>
      </c>
      <c r="C47" s="708"/>
      <c r="D47" s="62">
        <v>1</v>
      </c>
      <c r="E47" s="62">
        <f>(1+E45)*D47</f>
        <v>1.012</v>
      </c>
      <c r="F47" s="62">
        <f>(1+F45)*E47</f>
        <v>1.025156</v>
      </c>
      <c r="G47" s="62">
        <f>(1+G45)*F47</f>
        <v>1.039508184</v>
      </c>
      <c r="H47" s="62">
        <f>(1+H45)*G47</f>
        <v>1.0551008067599998</v>
      </c>
      <c r="I47" s="63">
        <f>(1+I45)*H47</f>
        <v>1.0719824196681598</v>
      </c>
    </row>
    <row r="50" spans="3:9" ht="17" thickBot="1"/>
    <row r="51" spans="3:9" ht="18" thickBot="1">
      <c r="D51" s="693" t="s">
        <v>28</v>
      </c>
      <c r="E51" s="694"/>
      <c r="F51" s="694"/>
      <c r="G51" s="694"/>
      <c r="H51" s="694"/>
      <c r="I51" s="695"/>
    </row>
    <row r="52" spans="3:9">
      <c r="D52" s="47" t="s">
        <v>14</v>
      </c>
      <c r="E52" s="6">
        <v>2022</v>
      </c>
      <c r="F52" s="6">
        <v>2023</v>
      </c>
      <c r="G52" s="6">
        <v>2024</v>
      </c>
      <c r="H52" s="6">
        <v>2025</v>
      </c>
      <c r="I52" s="7">
        <v>2026</v>
      </c>
    </row>
    <row r="53" spans="3:9" ht="17" thickBot="1">
      <c r="D53" s="48" t="s">
        <v>29</v>
      </c>
      <c r="E53" s="53">
        <f>G34*E47</f>
        <v>1142800.0284800001</v>
      </c>
      <c r="F53" s="53">
        <f>G35*F47</f>
        <v>1282748.6908851999</v>
      </c>
      <c r="G53" s="53">
        <f>G36*G47</f>
        <v>1549754.7782229085</v>
      </c>
      <c r="H53" s="53">
        <f>G37*H47</f>
        <v>1820692.6719692526</v>
      </c>
      <c r="I53" s="54">
        <f>G38*I47</f>
        <v>2030719.3730229684</v>
      </c>
    </row>
    <row r="54" spans="3:9">
      <c r="C54" s="46"/>
    </row>
  </sheetData>
  <mergeCells count="10">
    <mergeCell ref="D51:I51"/>
    <mergeCell ref="J33:K33"/>
    <mergeCell ref="B23:H23"/>
    <mergeCell ref="B3:E3"/>
    <mergeCell ref="B32:H32"/>
    <mergeCell ref="J34:K34"/>
    <mergeCell ref="B45:C45"/>
    <mergeCell ref="B47:C47"/>
    <mergeCell ref="B43:C43"/>
    <mergeCell ref="B42:I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B72A-4F13-C041-90D8-6956B7895CDE}">
  <dimension ref="A1:Q48"/>
  <sheetViews>
    <sheetView topLeftCell="A10" workbookViewId="0">
      <selection activeCell="A21" sqref="A21"/>
    </sheetView>
  </sheetViews>
  <sheetFormatPr baseColWidth="10" defaultColWidth="11" defaultRowHeight="16"/>
  <cols>
    <col min="1" max="2" width="26.6640625" customWidth="1"/>
    <col min="3" max="3" width="14.6640625" customWidth="1"/>
    <col min="4" max="4" width="23.1640625" customWidth="1"/>
    <col min="5" max="5" width="20.6640625" customWidth="1"/>
    <col min="6" max="6" width="13.6640625" customWidth="1"/>
    <col min="7" max="7" width="14.1640625" customWidth="1"/>
    <col min="10" max="10" width="13.33203125" customWidth="1"/>
    <col min="16" max="16" width="18.1640625" customWidth="1"/>
  </cols>
  <sheetData>
    <row r="1" spans="1:16">
      <c r="A1" s="1"/>
      <c r="B1" s="234">
        <v>2021</v>
      </c>
      <c r="C1" s="128">
        <v>2022</v>
      </c>
      <c r="D1" s="128">
        <v>2023</v>
      </c>
      <c r="E1" s="128">
        <v>2024</v>
      </c>
      <c r="F1" s="128">
        <v>2025</v>
      </c>
      <c r="G1" s="128">
        <v>2026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75" t="s">
        <v>30</v>
      </c>
      <c r="B2" s="7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75"/>
      <c r="B3" s="7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75" t="s">
        <v>31</v>
      </c>
      <c r="B4" s="75"/>
      <c r="C4" s="1"/>
      <c r="D4" s="1"/>
      <c r="E4" s="1"/>
      <c r="F4" s="1"/>
      <c r="G4" s="1"/>
      <c r="H4" s="1"/>
      <c r="I4" s="1"/>
      <c r="J4" s="1"/>
      <c r="K4" s="78">
        <v>2022</v>
      </c>
      <c r="L4" s="78">
        <v>2023</v>
      </c>
      <c r="M4" s="78">
        <v>2024</v>
      </c>
      <c r="N4" s="78">
        <v>2025</v>
      </c>
      <c r="O4" s="78">
        <v>2026</v>
      </c>
      <c r="P4" s="1">
        <v>2027</v>
      </c>
    </row>
    <row r="5" spans="1:16">
      <c r="A5" s="129" t="s">
        <v>32</v>
      </c>
      <c r="B5" s="130"/>
      <c r="C5" s="130">
        <v>15092</v>
      </c>
      <c r="D5" s="130">
        <v>15092</v>
      </c>
      <c r="E5" s="130">
        <f>15092+15092*(1+10%)</f>
        <v>31693.200000000001</v>
      </c>
      <c r="F5" s="130">
        <f t="shared" ref="F5:G5" si="0">15092+15092*(1+10%)</f>
        <v>31693.200000000001</v>
      </c>
      <c r="G5" s="130">
        <f t="shared" si="0"/>
        <v>31693.200000000001</v>
      </c>
      <c r="H5" s="1"/>
      <c r="I5" s="1"/>
      <c r="J5" s="1" t="s">
        <v>33</v>
      </c>
      <c r="K5" s="98">
        <f>'Forecasted sales'!E25</f>
        <v>696</v>
      </c>
      <c r="L5" s="98">
        <f>'Forecasted sales'!E26</f>
        <v>830</v>
      </c>
      <c r="M5" s="98">
        <f>'Forecasted sales'!E27</f>
        <v>1115</v>
      </c>
      <c r="N5" s="98">
        <f>'Forecasted sales'!E28</f>
        <v>1384</v>
      </c>
      <c r="O5" s="98">
        <f>'Forecasted sales'!D29</f>
        <v>1608</v>
      </c>
      <c r="P5" s="1">
        <f>_xlfn.FORECAST.ETS(P4,M5:O5,M4:O4)</f>
        <v>1860.3139775</v>
      </c>
    </row>
    <row r="6" spans="1:16">
      <c r="A6" s="129" t="s">
        <v>34</v>
      </c>
      <c r="B6" s="130">
        <f>699*4</f>
        <v>2796</v>
      </c>
      <c r="C6" s="130">
        <v>9786</v>
      </c>
      <c r="D6" s="130">
        <v>9786</v>
      </c>
      <c r="E6" s="130">
        <f>9786+9786*(1+10%)</f>
        <v>20550.599999999999</v>
      </c>
      <c r="F6" s="130">
        <f t="shared" ref="F6:G6" si="1">9786+9786*(1+10%)</f>
        <v>20550.599999999999</v>
      </c>
      <c r="G6" s="130">
        <f t="shared" si="1"/>
        <v>20550.599999999999</v>
      </c>
      <c r="H6" s="1"/>
      <c r="I6" s="1"/>
      <c r="J6" s="82" t="s">
        <v>35</v>
      </c>
      <c r="K6" s="80">
        <f>K5/12</f>
        <v>58</v>
      </c>
      <c r="L6" s="80">
        <f t="shared" ref="L6:O6" si="2">L5/12</f>
        <v>69.166666666666671</v>
      </c>
      <c r="M6" s="80">
        <f t="shared" si="2"/>
        <v>92.916666666666671</v>
      </c>
      <c r="N6" s="80">
        <f t="shared" si="2"/>
        <v>115.33333333333333</v>
      </c>
      <c r="O6" s="80">
        <f t="shared" si="2"/>
        <v>134</v>
      </c>
      <c r="P6" s="1"/>
    </row>
    <row r="7" spans="1:16">
      <c r="A7" s="129" t="s">
        <v>36</v>
      </c>
      <c r="B7" s="130"/>
      <c r="C7" s="130">
        <v>23380</v>
      </c>
      <c r="D7" s="130">
        <v>23380</v>
      </c>
      <c r="E7" s="130">
        <f>23380*(1+10%)</f>
        <v>25718.000000000004</v>
      </c>
      <c r="F7" s="130">
        <f t="shared" ref="F7:G7" si="3">23380*(1+10%)</f>
        <v>25718.000000000004</v>
      </c>
      <c r="G7" s="130">
        <f t="shared" si="3"/>
        <v>25718.000000000004</v>
      </c>
      <c r="H7" s="1"/>
      <c r="I7" s="1"/>
      <c r="J7" s="82" t="s">
        <v>37</v>
      </c>
      <c r="K7" s="80">
        <f>K6*1.5</f>
        <v>87</v>
      </c>
      <c r="L7" s="80">
        <f>L6*1.5</f>
        <v>103.75</v>
      </c>
      <c r="M7" s="1"/>
      <c r="N7" s="1"/>
      <c r="O7" s="1"/>
      <c r="P7" s="1"/>
    </row>
    <row r="8" spans="1:16">
      <c r="A8" s="238" t="s">
        <v>38</v>
      </c>
      <c r="B8" s="239">
        <f>B6</f>
        <v>2796</v>
      </c>
      <c r="C8" s="239">
        <f>SUM(C5:C7)</f>
        <v>48258</v>
      </c>
      <c r="D8" s="239">
        <f>SUM(D5:D7)</f>
        <v>48258</v>
      </c>
      <c r="E8" s="239">
        <f>SUM(E5:E7)</f>
        <v>77961.8</v>
      </c>
      <c r="F8" s="239">
        <f>SUM(F5:F7)</f>
        <v>77961.8</v>
      </c>
      <c r="G8" s="239">
        <f>SUM(G5:G7)</f>
        <v>77961.8</v>
      </c>
      <c r="H8" s="240"/>
      <c r="I8" s="1"/>
      <c r="J8" s="82" t="s">
        <v>39</v>
      </c>
      <c r="K8" s="83">
        <f>34487.91-600+1169.06</f>
        <v>35056.97</v>
      </c>
      <c r="L8" s="83">
        <f>8975*2</f>
        <v>17950</v>
      </c>
      <c r="M8" s="83">
        <f t="shared" ref="M8:O8" si="4">8975*2</f>
        <v>17950</v>
      </c>
      <c r="N8" s="83">
        <f t="shared" si="4"/>
        <v>17950</v>
      </c>
      <c r="O8" s="83">
        <f t="shared" si="4"/>
        <v>17950</v>
      </c>
      <c r="P8" s="1" t="s">
        <v>40</v>
      </c>
    </row>
    <row r="9" spans="1:16">
      <c r="A9" s="240" t="s">
        <v>41</v>
      </c>
      <c r="B9" s="241">
        <f>B8*23.75%*3/4</f>
        <v>498.03749999999997</v>
      </c>
      <c r="C9" s="241">
        <f>C8*23.75%*12/14</f>
        <v>9823.9499999999989</v>
      </c>
      <c r="D9" s="241">
        <f>D8*23.75%*12/14+C8*23.75%*2/14</f>
        <v>11461.275</v>
      </c>
      <c r="E9" s="241">
        <f>E8*23.75%*12/14+D8*23.75%*2/14</f>
        <v>17508.12</v>
      </c>
      <c r="F9" s="241">
        <f>F8*23.75%*12/14+E8*23.75%*2/14</f>
        <v>18515.927500000002</v>
      </c>
      <c r="G9" s="241">
        <f>G8*23.75%*12/14+F8*23.75%*2/14</f>
        <v>18515.927500000002</v>
      </c>
      <c r="H9" s="240"/>
      <c r="I9" s="1"/>
      <c r="J9" s="82"/>
      <c r="K9" s="83"/>
      <c r="L9" s="83"/>
      <c r="M9" s="83"/>
      <c r="N9" s="83"/>
      <c r="O9" s="83"/>
      <c r="P9" s="1"/>
    </row>
    <row r="10" spans="1:16">
      <c r="A10" s="240" t="s">
        <v>42</v>
      </c>
      <c r="B10" s="241">
        <f>4.77*22*3</f>
        <v>314.82</v>
      </c>
      <c r="C10" s="241">
        <f>4.77*22*11*4</f>
        <v>4617.3599999999997</v>
      </c>
      <c r="D10" s="241">
        <f>4.77*22*11*4</f>
        <v>4617.3599999999997</v>
      </c>
      <c r="E10" s="241">
        <f>4.77*22*11*6</f>
        <v>6926.0399999999991</v>
      </c>
      <c r="F10" s="241">
        <f t="shared" ref="F10:G10" si="5">4.77*22*11*6</f>
        <v>6926.0399999999991</v>
      </c>
      <c r="G10" s="241">
        <f t="shared" si="5"/>
        <v>6926.0399999999991</v>
      </c>
      <c r="H10" s="240"/>
      <c r="I10" s="1"/>
      <c r="J10" s="84"/>
      <c r="K10" s="83">
        <f>K8/K5</f>
        <v>50.369209770114942</v>
      </c>
      <c r="L10" s="83">
        <f>L8/L5</f>
        <v>21.626506024096386</v>
      </c>
      <c r="M10" s="83">
        <f t="shared" ref="M10:O10" si="6">M8/M5</f>
        <v>16.098654708520179</v>
      </c>
      <c r="N10" s="83">
        <f>N8/N5</f>
        <v>12.969653179190752</v>
      </c>
      <c r="O10" s="83">
        <f t="shared" si="6"/>
        <v>11.162935323383085</v>
      </c>
      <c r="P10" t="s">
        <v>43</v>
      </c>
    </row>
    <row r="11" spans="1:16">
      <c r="A11" s="240" t="s">
        <v>44</v>
      </c>
      <c r="B11" s="241">
        <v>33</v>
      </c>
      <c r="C11" s="241">
        <f>33*4</f>
        <v>132</v>
      </c>
      <c r="D11" s="241">
        <f>33*4</f>
        <v>132</v>
      </c>
      <c r="E11" s="241">
        <f>33*6</f>
        <v>198</v>
      </c>
      <c r="F11" s="241">
        <f t="shared" ref="F11:G11" si="7">33*6</f>
        <v>198</v>
      </c>
      <c r="G11" s="241">
        <f t="shared" si="7"/>
        <v>198</v>
      </c>
      <c r="H11" s="240"/>
      <c r="I11" s="1"/>
      <c r="J11" s="84"/>
      <c r="K11" s="83"/>
      <c r="L11" s="83"/>
      <c r="M11" s="83"/>
      <c r="N11" s="83"/>
      <c r="O11" s="83"/>
    </row>
    <row r="12" spans="1:16">
      <c r="A12" s="240" t="s">
        <v>45</v>
      </c>
      <c r="B12" s="241">
        <f>1238.19/12*3</f>
        <v>309.54750000000001</v>
      </c>
      <c r="C12" s="241">
        <f>1238.19*12</f>
        <v>14858.28</v>
      </c>
      <c r="D12" s="241">
        <f t="shared" ref="D12:G12" si="8">1238.19*12</f>
        <v>14858.28</v>
      </c>
      <c r="E12" s="241">
        <f t="shared" si="8"/>
        <v>14858.28</v>
      </c>
      <c r="F12" s="241">
        <f t="shared" si="8"/>
        <v>14858.28</v>
      </c>
      <c r="G12" s="241">
        <f t="shared" si="8"/>
        <v>14858.28</v>
      </c>
      <c r="H12" s="240"/>
      <c r="I12" s="1"/>
      <c r="J12" s="122"/>
      <c r="K12" s="83"/>
      <c r="L12" s="83"/>
      <c r="M12" s="83"/>
      <c r="N12" s="83"/>
      <c r="O12" s="83"/>
      <c r="P12" s="1"/>
    </row>
    <row r="13" spans="1:16">
      <c r="A13" s="240" t="s">
        <v>46</v>
      </c>
      <c r="B13" s="241">
        <f>1096/12*3</f>
        <v>274</v>
      </c>
      <c r="C13" s="241">
        <f>1096*12</f>
        <v>13152</v>
      </c>
      <c r="D13" s="241">
        <f t="shared" ref="D13" si="9">1096*12</f>
        <v>13152</v>
      </c>
      <c r="E13" s="241">
        <f>1096*14</f>
        <v>15344</v>
      </c>
      <c r="F13" s="241">
        <f t="shared" ref="F13:G13" si="10">1096*14</f>
        <v>15344</v>
      </c>
      <c r="G13" s="241">
        <f t="shared" si="10"/>
        <v>15344</v>
      </c>
      <c r="H13" s="240"/>
      <c r="I13" s="1"/>
      <c r="J13" s="1"/>
      <c r="K13" s="1"/>
      <c r="L13" s="1"/>
      <c r="M13" s="1"/>
      <c r="N13" s="1"/>
      <c r="O13" s="1"/>
      <c r="P13" s="1"/>
    </row>
    <row r="14" spans="1:16">
      <c r="A14" s="135" t="s">
        <v>47</v>
      </c>
      <c r="B14" s="239">
        <f>SUM(B8:B13)</f>
        <v>4225.4050000000007</v>
      </c>
      <c r="C14" s="239">
        <f>SUM(C8:C13)</f>
        <v>90841.59</v>
      </c>
      <c r="D14" s="239">
        <f t="shared" ref="D14:F14" si="11">SUM(D8:D13)</f>
        <v>92478.915000000008</v>
      </c>
      <c r="E14" s="239">
        <f t="shared" si="11"/>
        <v>132796.24</v>
      </c>
      <c r="F14" s="239">
        <f t="shared" si="11"/>
        <v>133804.04749999999</v>
      </c>
      <c r="G14" s="239">
        <f>SUM(G8:G13)</f>
        <v>133804.04749999999</v>
      </c>
      <c r="H14" s="240"/>
      <c r="I14" s="1"/>
      <c r="J14" s="82" t="s">
        <v>48</v>
      </c>
      <c r="K14" s="83">
        <f>$P$28*12</f>
        <v>25980</v>
      </c>
      <c r="L14" s="83">
        <f>$P$28*12</f>
        <v>25980</v>
      </c>
      <c r="M14" s="83">
        <f>$P$28*12</f>
        <v>25980</v>
      </c>
      <c r="N14" s="83">
        <f>$P$28*12</f>
        <v>25980</v>
      </c>
      <c r="O14" s="83">
        <f>$P$28*12</f>
        <v>25980</v>
      </c>
      <c r="P14" s="1" t="s">
        <v>40</v>
      </c>
    </row>
    <row r="15" spans="1:16">
      <c r="A15" s="135" t="s">
        <v>49</v>
      </c>
      <c r="B15" s="235">
        <v>0</v>
      </c>
      <c r="C15" s="235">
        <v>2700</v>
      </c>
      <c r="D15" s="242">
        <v>1800</v>
      </c>
      <c r="E15" s="235">
        <v>1200</v>
      </c>
      <c r="F15" s="235">
        <v>900</v>
      </c>
      <c r="G15" s="235">
        <v>900</v>
      </c>
      <c r="H15" s="27"/>
    </row>
    <row r="16" spans="1:16">
      <c r="A16" s="135" t="s">
        <v>50</v>
      </c>
      <c r="B16" s="135"/>
      <c r="C16" s="27"/>
      <c r="D16" s="27"/>
      <c r="E16" s="27"/>
      <c r="F16" s="27"/>
      <c r="G16" s="27"/>
      <c r="H16" s="240"/>
      <c r="I16" s="1"/>
      <c r="J16" s="1"/>
      <c r="K16" s="83">
        <f>K14/K5</f>
        <v>37.327586206896555</v>
      </c>
      <c r="L16" s="83">
        <f>L14/L5</f>
        <v>31.301204819277107</v>
      </c>
      <c r="M16" s="83">
        <f>M14/M5</f>
        <v>23.300448430493272</v>
      </c>
      <c r="N16" s="83">
        <f>N14/N5</f>
        <v>18.771676300578033</v>
      </c>
      <c r="O16" s="83">
        <f>O14/O5</f>
        <v>16.156716417910449</v>
      </c>
      <c r="P16" s="1" t="s">
        <v>43</v>
      </c>
    </row>
    <row r="17" spans="1:16">
      <c r="A17" s="240" t="s">
        <v>51</v>
      </c>
      <c r="B17" s="243">
        <f>3950*3</f>
        <v>11850</v>
      </c>
      <c r="C17" s="243">
        <f>3950*12</f>
        <v>47400</v>
      </c>
      <c r="D17" s="243">
        <f t="shared" ref="D17:G17" si="12">3950*12</f>
        <v>47400</v>
      </c>
      <c r="E17" s="243">
        <f t="shared" si="12"/>
        <v>47400</v>
      </c>
      <c r="F17" s="243">
        <f t="shared" si="12"/>
        <v>47400</v>
      </c>
      <c r="G17" s="243">
        <f t="shared" si="12"/>
        <v>47400</v>
      </c>
      <c r="H17" s="27"/>
    </row>
    <row r="18" spans="1:16">
      <c r="A18" s="240" t="s">
        <v>52</v>
      </c>
      <c r="B18" s="243"/>
      <c r="C18" s="243">
        <f>150*12+99*12+119*12</f>
        <v>4416</v>
      </c>
      <c r="D18" s="243">
        <f>150*12+99*12+119*12</f>
        <v>4416</v>
      </c>
      <c r="E18" s="243">
        <f>150*12+99*12+119*12</f>
        <v>4416</v>
      </c>
      <c r="F18" s="243">
        <f>150*12+99*12+119*12</f>
        <v>4416</v>
      </c>
      <c r="G18" s="243">
        <f>150*12+99*12+119*12</f>
        <v>4416</v>
      </c>
      <c r="H18" s="240"/>
      <c r="I18" s="1"/>
      <c r="J18" s="1"/>
      <c r="K18" s="1"/>
      <c r="L18" s="1"/>
      <c r="M18" s="1"/>
      <c r="N18" s="1"/>
      <c r="O18" s="1"/>
      <c r="P18" s="1"/>
    </row>
    <row r="19" spans="1:16">
      <c r="A19" s="240" t="s">
        <v>53</v>
      </c>
      <c r="B19" s="243">
        <f>C19/12*3</f>
        <v>780</v>
      </c>
      <c r="C19" s="243">
        <f>130*2*12</f>
        <v>3120</v>
      </c>
      <c r="D19" s="243">
        <f t="shared" ref="D19:G19" si="13">130*2*12</f>
        <v>3120</v>
      </c>
      <c r="E19" s="243">
        <f t="shared" si="13"/>
        <v>3120</v>
      </c>
      <c r="F19" s="243">
        <f t="shared" si="13"/>
        <v>3120</v>
      </c>
      <c r="G19" s="243">
        <f t="shared" si="13"/>
        <v>3120</v>
      </c>
      <c r="H19" s="240"/>
      <c r="I19" s="1"/>
      <c r="J19" s="1"/>
      <c r="K19" s="81"/>
      <c r="L19" s="1"/>
      <c r="M19" s="1"/>
      <c r="N19" s="1"/>
      <c r="O19" s="1"/>
      <c r="P19" s="1"/>
    </row>
    <row r="20" spans="1:16">
      <c r="A20" s="1" t="s">
        <v>54</v>
      </c>
      <c r="B20" s="1"/>
      <c r="C20" s="81">
        <f>5*4*12*8+440*12</f>
        <v>7200</v>
      </c>
      <c r="D20" s="81">
        <f t="shared" ref="D20:G20" si="14">5*4*12*8+440*12</f>
        <v>7200</v>
      </c>
      <c r="E20" s="81">
        <f t="shared" si="14"/>
        <v>7200</v>
      </c>
      <c r="F20" s="81">
        <f t="shared" si="14"/>
        <v>7200</v>
      </c>
      <c r="G20" s="81">
        <f t="shared" si="14"/>
        <v>7200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55</v>
      </c>
      <c r="B21" s="1"/>
      <c r="C21" s="81">
        <f>500*12</f>
        <v>6000</v>
      </c>
      <c r="D21" s="81">
        <f t="shared" ref="D21:G21" si="15">500*12</f>
        <v>6000</v>
      </c>
      <c r="E21" s="81">
        <f t="shared" si="15"/>
        <v>6000</v>
      </c>
      <c r="F21" s="81">
        <f t="shared" si="15"/>
        <v>6000</v>
      </c>
      <c r="G21" s="81">
        <f t="shared" si="15"/>
        <v>6000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75" t="s">
        <v>56</v>
      </c>
      <c r="B22" s="237">
        <f>B17+B19</f>
        <v>12630</v>
      </c>
      <c r="C22" s="79">
        <f>SUM(C17:C21)</f>
        <v>68136</v>
      </c>
      <c r="D22" s="79">
        <f t="shared" ref="D22:G22" si="16">SUM(D17:D21)</f>
        <v>68136</v>
      </c>
      <c r="E22" s="79">
        <f t="shared" si="16"/>
        <v>68136</v>
      </c>
      <c r="F22" s="79">
        <f t="shared" si="16"/>
        <v>68136</v>
      </c>
      <c r="G22" s="79">
        <f t="shared" si="16"/>
        <v>68136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75" t="s">
        <v>57</v>
      </c>
      <c r="B24" s="75"/>
      <c r="C24" s="1"/>
      <c r="D24" s="1"/>
      <c r="E24" s="1"/>
      <c r="F24" s="1"/>
      <c r="G24" s="1"/>
      <c r="H24" s="1"/>
      <c r="I24" s="1"/>
      <c r="J24" s="1"/>
      <c r="K24" s="1"/>
      <c r="L24" s="1" t="s">
        <v>58</v>
      </c>
      <c r="M24" s="1"/>
      <c r="N24" s="1"/>
      <c r="O24" s="1"/>
      <c r="P24" s="1"/>
    </row>
    <row r="25" spans="1:16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80" t="s">
        <v>60</v>
      </c>
      <c r="L25" s="80"/>
      <c r="M25" s="80"/>
      <c r="N25" s="1"/>
      <c r="O25" s="85" t="s">
        <v>61</v>
      </c>
      <c r="P25" s="86"/>
    </row>
    <row r="26" spans="1:16">
      <c r="A26" s="1" t="s">
        <v>62</v>
      </c>
      <c r="B26" s="1"/>
      <c r="C26" s="1"/>
      <c r="D26" s="1"/>
      <c r="E26" s="1"/>
      <c r="F26" s="1"/>
      <c r="G26" s="1"/>
      <c r="H26" s="1"/>
      <c r="I26" s="1"/>
      <c r="J26" s="1"/>
      <c r="K26" s="80" t="s">
        <v>63</v>
      </c>
      <c r="L26" s="161">
        <v>31.4</v>
      </c>
      <c r="M26" s="80"/>
      <c r="N26" s="1"/>
      <c r="O26" s="80" t="s">
        <v>64</v>
      </c>
      <c r="P26" s="83">
        <v>2000</v>
      </c>
    </row>
    <row r="27" spans="1:16">
      <c r="A27" s="1" t="s">
        <v>65</v>
      </c>
      <c r="B27" s="1"/>
      <c r="C27" s="81">
        <f>$L$28*K5</f>
        <v>13986.816000000003</v>
      </c>
      <c r="D27" s="81">
        <f>$L$28*L5</f>
        <v>16679.680000000004</v>
      </c>
      <c r="E27" s="81">
        <f>$L$28*M5</f>
        <v>22407.040000000005</v>
      </c>
      <c r="F27" s="81">
        <f>$L$28*N5</f>
        <v>27812.864000000005</v>
      </c>
      <c r="G27" s="81">
        <f>$L$28*O5</f>
        <v>32314.368000000006</v>
      </c>
      <c r="H27" s="1"/>
      <c r="I27" s="1"/>
      <c r="J27" s="1"/>
      <c r="K27" s="80" t="s">
        <v>66</v>
      </c>
      <c r="L27" s="80">
        <f>0.8*0.8</f>
        <v>0.64000000000000012</v>
      </c>
      <c r="M27" s="80" t="s">
        <v>67</v>
      </c>
      <c r="N27" s="1"/>
      <c r="O27" s="80" t="s">
        <v>68</v>
      </c>
      <c r="P27" s="83">
        <v>165</v>
      </c>
    </row>
    <row r="28" spans="1:16">
      <c r="A28" s="1" t="s">
        <v>69</v>
      </c>
      <c r="B28" s="1"/>
      <c r="C28" s="81">
        <f>140*K5</f>
        <v>97440</v>
      </c>
      <c r="D28" s="81">
        <f>140*L5</f>
        <v>116200</v>
      </c>
      <c r="E28" s="81">
        <f>140*M5</f>
        <v>156100</v>
      </c>
      <c r="F28" s="81">
        <f>140*N5</f>
        <v>193760</v>
      </c>
      <c r="G28" s="81">
        <f>140*O5</f>
        <v>225120</v>
      </c>
      <c r="H28" s="1"/>
      <c r="I28" s="1"/>
      <c r="J28" s="1"/>
      <c r="K28" s="80" t="s">
        <v>70</v>
      </c>
      <c r="L28" s="87">
        <f>L26*L27</f>
        <v>20.096000000000004</v>
      </c>
      <c r="M28" s="80"/>
      <c r="N28" s="1"/>
      <c r="O28" s="80" t="s">
        <v>40</v>
      </c>
      <c r="P28" s="83">
        <f>P26+P27</f>
        <v>2165</v>
      </c>
    </row>
    <row r="29" spans="1:16">
      <c r="A29" s="1" t="s">
        <v>71</v>
      </c>
      <c r="B29" s="1"/>
      <c r="C29" s="81">
        <f>$L$31*K5</f>
        <v>41760</v>
      </c>
      <c r="D29" s="81">
        <f>$L$31*L5</f>
        <v>49800</v>
      </c>
      <c r="E29" s="81">
        <f>$L$31*M5</f>
        <v>66900</v>
      </c>
      <c r="F29" s="81">
        <f>$L$31*N5</f>
        <v>83040</v>
      </c>
      <c r="G29" s="81">
        <f>$L$31*O5</f>
        <v>96480</v>
      </c>
      <c r="H29" s="1" t="s">
        <v>72</v>
      </c>
      <c r="I29" s="1"/>
      <c r="J29" s="1"/>
      <c r="K29" s="88"/>
      <c r="L29" s="89">
        <v>120</v>
      </c>
      <c r="M29" s="80"/>
      <c r="N29" s="1"/>
      <c r="O29" s="1"/>
      <c r="P29" s="1"/>
    </row>
    <row r="30" spans="1:16">
      <c r="A30" s="1" t="s">
        <v>73</v>
      </c>
      <c r="B30" s="1"/>
      <c r="C30" s="81">
        <f>$L$34*K5</f>
        <v>27840</v>
      </c>
      <c r="D30" s="81">
        <f>$L$34*L5</f>
        <v>33200</v>
      </c>
      <c r="E30" s="81">
        <f>$L$34*M5</f>
        <v>44600</v>
      </c>
      <c r="F30" s="81">
        <f>$L$34*N5</f>
        <v>55360</v>
      </c>
      <c r="G30" s="81">
        <f>$L$34*O5</f>
        <v>64320</v>
      </c>
      <c r="H30" s="1"/>
      <c r="I30" s="1"/>
      <c r="J30" s="1"/>
      <c r="K30" s="90" t="s">
        <v>74</v>
      </c>
      <c r="L30" s="91">
        <v>2</v>
      </c>
      <c r="M30" s="80" t="s">
        <v>75</v>
      </c>
      <c r="N30" s="1"/>
      <c r="O30" s="1"/>
    </row>
    <row r="31" spans="1:16">
      <c r="A31" s="75" t="s">
        <v>76</v>
      </c>
      <c r="B31" s="75"/>
      <c r="C31" s="79">
        <f>SUM(C27:C30)</f>
        <v>181026.81599999999</v>
      </c>
      <c r="D31" s="79">
        <f t="shared" ref="D31:G31" si="17">SUM(D27:D30)</f>
        <v>215879.67999999999</v>
      </c>
      <c r="E31" s="79">
        <f t="shared" si="17"/>
        <v>290007.04000000004</v>
      </c>
      <c r="F31" s="79">
        <f t="shared" si="17"/>
        <v>359972.864</v>
      </c>
      <c r="G31" s="79">
        <f t="shared" si="17"/>
        <v>418234.36800000002</v>
      </c>
      <c r="H31" s="1"/>
      <c r="I31" s="1"/>
      <c r="J31" s="1"/>
      <c r="K31" s="92"/>
      <c r="L31" s="93">
        <f>L29/L30</f>
        <v>60</v>
      </c>
      <c r="M31" s="80" t="s">
        <v>77</v>
      </c>
      <c r="N31" s="1"/>
      <c r="O31" s="1"/>
    </row>
    <row r="32" spans="1:16">
      <c r="A32" s="1" t="s">
        <v>78</v>
      </c>
      <c r="B32" s="1"/>
      <c r="C32" s="81">
        <f>K14</f>
        <v>25980</v>
      </c>
      <c r="D32" s="81">
        <f>L14</f>
        <v>25980</v>
      </c>
      <c r="E32" s="81">
        <f>M14</f>
        <v>25980</v>
      </c>
      <c r="F32" s="81">
        <f t="shared" ref="F32:G32" si="18">N14</f>
        <v>25980</v>
      </c>
      <c r="G32" s="81">
        <f t="shared" si="18"/>
        <v>25980</v>
      </c>
      <c r="I32" s="1"/>
      <c r="J32" s="1"/>
      <c r="K32" s="88"/>
      <c r="L32" s="93">
        <v>80</v>
      </c>
      <c r="M32" s="80"/>
      <c r="N32" s="1"/>
      <c r="O32" s="1"/>
      <c r="P32" s="1"/>
    </row>
    <row r="33" spans="1:17">
      <c r="A33" s="1" t="s">
        <v>79</v>
      </c>
      <c r="B33" s="1"/>
      <c r="C33" s="81">
        <f>K10*K5</f>
        <v>35056.97</v>
      </c>
      <c r="D33" s="81">
        <f>L10*L5</f>
        <v>17950</v>
      </c>
      <c r="E33" s="81">
        <f>M10*M5</f>
        <v>17950</v>
      </c>
      <c r="F33" s="81">
        <f>N10*N5</f>
        <v>17950</v>
      </c>
      <c r="G33" s="81">
        <f>O10*O5</f>
        <v>17950</v>
      </c>
      <c r="H33" s="1" t="s">
        <v>80</v>
      </c>
      <c r="I33" s="1"/>
      <c r="J33" s="1"/>
      <c r="K33" s="94" t="s">
        <v>81</v>
      </c>
      <c r="L33" s="91">
        <v>2</v>
      </c>
      <c r="M33" s="80" t="s">
        <v>82</v>
      </c>
      <c r="N33" s="1"/>
      <c r="O33" s="1"/>
    </row>
    <row r="34" spans="1:17">
      <c r="A34" s="1" t="s">
        <v>83</v>
      </c>
      <c r="B34" s="1"/>
      <c r="C34" s="81">
        <f>$L41*K5</f>
        <v>1740</v>
      </c>
      <c r="D34" s="81">
        <f>$L41*L5</f>
        <v>2075</v>
      </c>
      <c r="E34" s="81">
        <f>$L41*M5</f>
        <v>2787.5</v>
      </c>
      <c r="F34" s="81">
        <f>$L41*N5</f>
        <v>3460</v>
      </c>
      <c r="G34" s="81">
        <f>$L41*O5</f>
        <v>4020</v>
      </c>
      <c r="H34" s="1"/>
      <c r="I34" s="1"/>
      <c r="J34" s="1"/>
      <c r="K34" s="95"/>
      <c r="L34" s="93">
        <f>L32/L33</f>
        <v>40</v>
      </c>
      <c r="M34" s="80" t="s">
        <v>77</v>
      </c>
      <c r="N34" s="1"/>
      <c r="O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96" t="s">
        <v>84</v>
      </c>
      <c r="L35" s="89">
        <f>C31/K5</f>
        <v>260.096</v>
      </c>
      <c r="M35" s="80"/>
      <c r="N35" s="81"/>
      <c r="O35" s="81"/>
    </row>
    <row r="36" spans="1:17">
      <c r="A36" s="1" t="s">
        <v>85</v>
      </c>
      <c r="B36" s="236">
        <f>B22+B14</f>
        <v>16855.404999999999</v>
      </c>
      <c r="C36" s="81">
        <f>C32+C33+SUM(C14:C21)+C31+C34</f>
        <v>405481.37599999999</v>
      </c>
      <c r="D36" s="81">
        <f>D32+D33+SUM(D14:D21)+D31+D34</f>
        <v>424299.59499999997</v>
      </c>
      <c r="E36" s="81">
        <f t="shared" ref="E36:G36" si="19">E32+E33+SUM(E14:E21)+E31+E34</f>
        <v>538856.78</v>
      </c>
      <c r="F36" s="81">
        <f t="shared" si="19"/>
        <v>610202.91149999993</v>
      </c>
      <c r="G36" s="81">
        <f t="shared" si="19"/>
        <v>669024.4155</v>
      </c>
      <c r="H36" s="1"/>
      <c r="I36" s="1"/>
      <c r="J36" s="1"/>
      <c r="K36" s="1"/>
      <c r="L36" s="76"/>
      <c r="M36" s="1"/>
      <c r="N36" s="1"/>
      <c r="O36" s="1"/>
      <c r="P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7">
      <c r="A38" s="1" t="s">
        <v>86</v>
      </c>
      <c r="B38" s="1"/>
      <c r="C38" s="81">
        <f>'Forecasted sales'!E34</f>
        <v>425249.04000000004</v>
      </c>
      <c r="D38" s="81">
        <f>'Forecasted sales'!E35</f>
        <v>507121.7</v>
      </c>
      <c r="E38" s="81">
        <f>'Forecasted sales'!E36</f>
        <v>681253.85000000009</v>
      </c>
      <c r="F38" s="81">
        <f>'Forecasted sales'!E37</f>
        <v>845610.16</v>
      </c>
      <c r="G38" s="81">
        <f>'Forecasted sales'!E38</f>
        <v>1048458.8400000001</v>
      </c>
      <c r="H38" s="1"/>
      <c r="I38" s="1"/>
      <c r="J38" s="1"/>
      <c r="K38" s="88" t="s">
        <v>87</v>
      </c>
      <c r="L38" s="91">
        <v>150</v>
      </c>
      <c r="M38" s="80" t="s">
        <v>88</v>
      </c>
      <c r="N38" s="1"/>
      <c r="O38" s="1"/>
      <c r="P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95"/>
      <c r="L39" s="91">
        <f>L38/40</f>
        <v>3.75</v>
      </c>
      <c r="M39" s="80" t="s">
        <v>89</v>
      </c>
      <c r="N39" s="1"/>
      <c r="O39" s="1"/>
      <c r="P39" s="1"/>
    </row>
    <row r="40" spans="1:17">
      <c r="A40" s="1" t="s">
        <v>90</v>
      </c>
      <c r="B40" s="1"/>
      <c r="C40" s="81">
        <f>C38-C36</f>
        <v>19767.664000000048</v>
      </c>
      <c r="D40" s="81">
        <f t="shared" ref="D40:G40" si="20">D38-D36</f>
        <v>82822.10500000004</v>
      </c>
      <c r="E40" s="81">
        <f t="shared" si="20"/>
        <v>142397.07000000007</v>
      </c>
      <c r="F40" s="81">
        <f t="shared" si="20"/>
        <v>235407.2485000001</v>
      </c>
      <c r="G40" s="81">
        <f t="shared" si="20"/>
        <v>379434.42450000008</v>
      </c>
      <c r="H40" s="1"/>
      <c r="I40" s="1"/>
      <c r="J40" s="1"/>
      <c r="K40" s="1"/>
      <c r="L40" s="1"/>
      <c r="M40" s="1"/>
      <c r="N40" s="1"/>
      <c r="O40" s="1"/>
      <c r="P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91</v>
      </c>
      <c r="L41" s="99">
        <v>2.5</v>
      </c>
      <c r="M41" s="1" t="s">
        <v>92</v>
      </c>
      <c r="N41" s="1"/>
      <c r="O41" s="1"/>
      <c r="P41" s="1"/>
    </row>
    <row r="42" spans="1:17">
      <c r="A42" s="1" t="s">
        <v>93</v>
      </c>
      <c r="B42" s="1"/>
      <c r="C42" s="81">
        <f>C36/K5</f>
        <v>582.58818390804595</v>
      </c>
      <c r="D42" s="81">
        <f>D36/L5</f>
        <v>511.20433132530115</v>
      </c>
      <c r="E42" s="81">
        <f>E36/M5</f>
        <v>483.27962331838569</v>
      </c>
      <c r="F42" s="81">
        <f>F36/N5</f>
        <v>440.89805744219649</v>
      </c>
      <c r="G42" s="81">
        <f>G36/O5</f>
        <v>416.05995988805972</v>
      </c>
      <c r="H42" s="1"/>
      <c r="I42" s="1"/>
      <c r="J42" s="1"/>
      <c r="K42" s="81"/>
      <c r="L42" s="97"/>
      <c r="M42" s="81"/>
      <c r="N42" s="1"/>
      <c r="O42" s="1"/>
      <c r="P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0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H48" s="1"/>
      <c r="I48" s="1"/>
      <c r="J48" s="1"/>
      <c r="K48" s="1"/>
      <c r="L48" s="1"/>
      <c r="M48" s="1"/>
      <c r="N48" s="1"/>
      <c r="O48" s="1"/>
      <c r="P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FCE8-8F44-9946-9041-9CB021BD2311}">
  <dimension ref="A1:F22"/>
  <sheetViews>
    <sheetView zoomScale="39" workbookViewId="0">
      <selection activeCell="D35" sqref="D35"/>
    </sheetView>
  </sheetViews>
  <sheetFormatPr baseColWidth="10" defaultColWidth="11" defaultRowHeight="16"/>
  <cols>
    <col min="1" max="1" width="87.5" customWidth="1"/>
    <col min="2" max="2" width="36.6640625" customWidth="1"/>
    <col min="3" max="3" width="34" customWidth="1"/>
    <col min="4" max="4" width="47.83203125" customWidth="1"/>
    <col min="5" max="5" width="38.5" customWidth="1"/>
    <col min="6" max="6" width="36.6640625" customWidth="1"/>
  </cols>
  <sheetData>
    <row r="1" spans="1:6" ht="33">
      <c r="A1" s="498" t="s">
        <v>143</v>
      </c>
      <c r="B1" s="468"/>
      <c r="C1" s="468"/>
      <c r="D1" s="468"/>
      <c r="E1" s="468"/>
      <c r="F1" s="468"/>
    </row>
    <row r="2" spans="1:6" ht="33">
      <c r="A2" s="499" t="s">
        <v>94</v>
      </c>
      <c r="B2" s="499" t="s">
        <v>95</v>
      </c>
      <c r="C2" s="499" t="s">
        <v>96</v>
      </c>
      <c r="D2" s="499" t="s">
        <v>97</v>
      </c>
      <c r="E2" s="499" t="s">
        <v>98</v>
      </c>
      <c r="F2" s="499" t="s">
        <v>99</v>
      </c>
    </row>
    <row r="3" spans="1:6" ht="33">
      <c r="A3" s="500" t="s">
        <v>100</v>
      </c>
      <c r="B3" s="501">
        <v>2250</v>
      </c>
      <c r="C3" s="502">
        <v>1</v>
      </c>
      <c r="D3" s="503">
        <f>B3</f>
        <v>2250</v>
      </c>
      <c r="E3" s="502">
        <v>3</v>
      </c>
      <c r="F3" s="504">
        <f t="shared" ref="F3:F8" si="0">100%/E3</f>
        <v>0.33333333333333331</v>
      </c>
    </row>
    <row r="4" spans="1:6" ht="33">
      <c r="A4" s="500" t="s">
        <v>101</v>
      </c>
      <c r="B4" s="505">
        <v>750</v>
      </c>
      <c r="C4" s="506">
        <v>3</v>
      </c>
      <c r="D4" s="507">
        <v>2250</v>
      </c>
      <c r="E4" s="506">
        <v>3</v>
      </c>
      <c r="F4" s="508">
        <f t="shared" si="0"/>
        <v>0.33333333333333331</v>
      </c>
    </row>
    <row r="5" spans="1:6" ht="33">
      <c r="A5" s="500" t="s">
        <v>102</v>
      </c>
      <c r="B5" s="505">
        <v>300</v>
      </c>
      <c r="C5" s="506">
        <v>4</v>
      </c>
      <c r="D5" s="507">
        <f>B5*C5</f>
        <v>1200</v>
      </c>
      <c r="E5" s="506">
        <v>8</v>
      </c>
      <c r="F5" s="508">
        <f t="shared" si="0"/>
        <v>0.125</v>
      </c>
    </row>
    <row r="6" spans="1:6" ht="33">
      <c r="A6" s="500" t="s">
        <v>103</v>
      </c>
      <c r="B6" s="505">
        <v>170</v>
      </c>
      <c r="C6" s="506">
        <v>4</v>
      </c>
      <c r="D6" s="507">
        <f>B6*C6</f>
        <v>680</v>
      </c>
      <c r="E6" s="506">
        <v>8</v>
      </c>
      <c r="F6" s="508">
        <f t="shared" si="0"/>
        <v>0.125</v>
      </c>
    </row>
    <row r="7" spans="1:6" ht="33">
      <c r="A7" s="500" t="s">
        <v>104</v>
      </c>
      <c r="B7" s="505">
        <v>1499</v>
      </c>
      <c r="C7" s="509">
        <v>1</v>
      </c>
      <c r="D7" s="510">
        <f>B7</f>
        <v>1499</v>
      </c>
      <c r="E7" s="509">
        <v>3</v>
      </c>
      <c r="F7" s="511">
        <f t="shared" si="0"/>
        <v>0.33333333333333331</v>
      </c>
    </row>
    <row r="8" spans="1:6" ht="33">
      <c r="A8" s="500" t="s">
        <v>105</v>
      </c>
      <c r="B8" s="512">
        <v>375</v>
      </c>
      <c r="C8" s="513">
        <v>2</v>
      </c>
      <c r="D8" s="514">
        <f>C8*B8</f>
        <v>750</v>
      </c>
      <c r="E8" s="513">
        <v>5</v>
      </c>
      <c r="F8" s="515">
        <f t="shared" si="0"/>
        <v>0.2</v>
      </c>
    </row>
    <row r="9" spans="1:6" ht="33">
      <c r="A9" s="500" t="s">
        <v>106</v>
      </c>
      <c r="B9" s="516">
        <v>1000</v>
      </c>
      <c r="C9" s="523"/>
      <c r="D9" s="523"/>
      <c r="E9" s="523"/>
      <c r="F9" s="524"/>
    </row>
    <row r="10" spans="1:6" ht="33">
      <c r="A10" s="500" t="s">
        <v>107</v>
      </c>
      <c r="B10" s="501">
        <v>2000</v>
      </c>
      <c r="C10" s="525"/>
      <c r="D10" s="525"/>
      <c r="E10" s="525"/>
      <c r="F10" s="526"/>
    </row>
    <row r="11" spans="1:6" ht="33">
      <c r="A11" s="500" t="s">
        <v>108</v>
      </c>
      <c r="B11" s="517">
        <v>2000</v>
      </c>
      <c r="C11" s="527"/>
      <c r="D11" s="527"/>
      <c r="E11" s="527"/>
      <c r="F11" s="528"/>
    </row>
    <row r="12" spans="1:6" ht="33">
      <c r="A12" s="529" t="s">
        <v>109</v>
      </c>
      <c r="B12" s="530">
        <f>SUM(D3:D8)+B9+B10+B11</f>
        <v>13629</v>
      </c>
      <c r="C12" s="530"/>
      <c r="D12" s="530"/>
      <c r="E12" s="530"/>
      <c r="F12" s="530"/>
    </row>
    <row r="13" spans="1:6" ht="33">
      <c r="A13" s="468"/>
      <c r="B13" s="468"/>
      <c r="C13" s="468"/>
      <c r="D13" s="468"/>
      <c r="E13" s="468"/>
      <c r="F13" s="468"/>
    </row>
    <row r="14" spans="1:6" ht="33">
      <c r="A14" s="498" t="s">
        <v>110</v>
      </c>
      <c r="B14" s="499" t="s">
        <v>95</v>
      </c>
      <c r="C14" s="499" t="s">
        <v>96</v>
      </c>
      <c r="D14" s="499" t="s">
        <v>97</v>
      </c>
      <c r="E14" s="499" t="s">
        <v>98</v>
      </c>
      <c r="F14" s="499" t="s">
        <v>99</v>
      </c>
    </row>
    <row r="15" spans="1:6" ht="33">
      <c r="A15" s="518" t="s">
        <v>100</v>
      </c>
      <c r="B15" s="519">
        <f>B3</f>
        <v>2250</v>
      </c>
      <c r="C15" s="513">
        <f>C3</f>
        <v>1</v>
      </c>
      <c r="D15" s="520">
        <f>B15</f>
        <v>2250</v>
      </c>
      <c r="E15" s="513">
        <f>E3</f>
        <v>3</v>
      </c>
      <c r="F15" s="521">
        <f>F3</f>
        <v>0.33333333333333331</v>
      </c>
    </row>
    <row r="16" spans="1:6" ht="33">
      <c r="A16" s="518" t="s">
        <v>111</v>
      </c>
      <c r="B16" s="519">
        <f>B5+B6</f>
        <v>470</v>
      </c>
      <c r="C16" s="513">
        <v>2</v>
      </c>
      <c r="D16" s="520">
        <f>C16*B16</f>
        <v>940</v>
      </c>
      <c r="E16" s="513">
        <f>E5</f>
        <v>8</v>
      </c>
      <c r="F16" s="521">
        <f>F5</f>
        <v>0.125</v>
      </c>
    </row>
    <row r="17" spans="1:6" ht="33">
      <c r="A17" s="518" t="s">
        <v>112</v>
      </c>
      <c r="B17" s="519">
        <f>B7</f>
        <v>1499</v>
      </c>
      <c r="C17" s="513">
        <v>1</v>
      </c>
      <c r="D17" s="520">
        <f>B17</f>
        <v>1499</v>
      </c>
      <c r="E17" s="513">
        <f>E7</f>
        <v>3</v>
      </c>
      <c r="F17" s="521">
        <f>F7</f>
        <v>0.33333333333333331</v>
      </c>
    </row>
    <row r="18" spans="1:6" ht="33">
      <c r="A18" s="518" t="str">
        <f>A4</f>
        <v>Other computers</v>
      </c>
      <c r="B18" s="519">
        <f>B4</f>
        <v>750</v>
      </c>
      <c r="C18" s="513">
        <v>1</v>
      </c>
      <c r="D18" s="520">
        <f>B18</f>
        <v>750</v>
      </c>
      <c r="E18" s="513">
        <f>E4</f>
        <v>3</v>
      </c>
      <c r="F18" s="521">
        <f>F4</f>
        <v>0.33333333333333331</v>
      </c>
    </row>
    <row r="19" spans="1:6" ht="33">
      <c r="A19" s="529" t="s">
        <v>109</v>
      </c>
      <c r="B19" s="531">
        <f>SUM(D15:D18)</f>
        <v>5439</v>
      </c>
      <c r="C19" s="531"/>
      <c r="D19" s="531"/>
      <c r="E19" s="531"/>
      <c r="F19" s="531"/>
    </row>
    <row r="20" spans="1:6" ht="33">
      <c r="A20" s="468"/>
      <c r="B20" s="468"/>
      <c r="C20" s="468"/>
      <c r="D20" s="522"/>
      <c r="E20" s="468"/>
      <c r="F20" s="468"/>
    </row>
    <row r="21" spans="1:6" ht="33">
      <c r="A21" s="468"/>
      <c r="B21" s="468"/>
      <c r="C21" s="468"/>
      <c r="D21" s="468"/>
      <c r="E21" s="468"/>
      <c r="F21" s="468"/>
    </row>
    <row r="22" spans="1:6" ht="33">
      <c r="A22" s="468"/>
      <c r="B22" s="468"/>
      <c r="C22" s="468"/>
      <c r="D22" s="468"/>
      <c r="E22" s="468"/>
      <c r="F22" s="46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D499-A19D-204D-8933-F5A1675071DF}">
  <dimension ref="A1:I28"/>
  <sheetViews>
    <sheetView topLeftCell="B2" zoomScale="139" workbookViewId="0">
      <selection activeCell="D14" sqref="D14"/>
    </sheetView>
  </sheetViews>
  <sheetFormatPr baseColWidth="10" defaultColWidth="11" defaultRowHeight="16"/>
  <cols>
    <col min="1" max="1" width="28.5" customWidth="1"/>
    <col min="2" max="2" width="45.1640625" customWidth="1"/>
    <col min="3" max="3" width="47.6640625" customWidth="1"/>
    <col min="4" max="4" width="11.1640625" bestFit="1" customWidth="1"/>
    <col min="5" max="5" width="10.83203125" customWidth="1"/>
    <col min="6" max="7" width="11.1640625" bestFit="1" customWidth="1"/>
    <col min="8" max="9" width="11.5" bestFit="1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384" t="s">
        <v>529</v>
      </c>
      <c r="B2" s="1"/>
      <c r="C2" s="1"/>
      <c r="D2" s="1"/>
      <c r="E2" s="1"/>
      <c r="F2" s="1"/>
      <c r="G2" s="1"/>
      <c r="H2" s="1"/>
      <c r="I2" s="1"/>
    </row>
    <row r="3" spans="1:9">
      <c r="A3" s="383" t="s">
        <v>113</v>
      </c>
      <c r="B3" s="387" t="s">
        <v>114</v>
      </c>
      <c r="C3" s="1"/>
      <c r="D3" s="1"/>
      <c r="E3" s="1"/>
      <c r="F3" s="1"/>
      <c r="G3" s="1"/>
      <c r="H3" s="1"/>
      <c r="I3" s="1"/>
    </row>
    <row r="4" spans="1:9">
      <c r="A4" s="383" t="s">
        <v>115</v>
      </c>
      <c r="B4" s="387" t="s">
        <v>116</v>
      </c>
      <c r="C4" s="1"/>
      <c r="D4" s="1"/>
      <c r="E4" s="1"/>
      <c r="F4" s="1"/>
      <c r="G4" s="1"/>
      <c r="H4" s="1"/>
      <c r="I4" s="1"/>
    </row>
    <row r="5" spans="1:9">
      <c r="A5" s="383" t="s">
        <v>117</v>
      </c>
      <c r="B5" s="387" t="s">
        <v>118</v>
      </c>
      <c r="C5" s="1"/>
      <c r="D5" s="81"/>
      <c r="E5" s="1"/>
      <c r="F5" s="1"/>
      <c r="G5" s="1"/>
      <c r="H5" s="1"/>
      <c r="I5" s="1"/>
    </row>
    <row r="6" spans="1:9">
      <c r="A6" s="383" t="s">
        <v>119</v>
      </c>
      <c r="B6" s="387" t="s">
        <v>530</v>
      </c>
      <c r="C6" s="1"/>
      <c r="D6" s="81"/>
      <c r="E6" s="81"/>
      <c r="F6" s="1"/>
      <c r="G6" s="1"/>
      <c r="H6" s="1"/>
      <c r="I6" s="1"/>
    </row>
    <row r="7" spans="1:9">
      <c r="A7" s="383" t="s">
        <v>120</v>
      </c>
      <c r="B7" s="387" t="s">
        <v>121</v>
      </c>
      <c r="C7" s="1"/>
      <c r="D7" s="1"/>
      <c r="E7" s="1"/>
      <c r="F7" s="1"/>
      <c r="G7" s="1"/>
      <c r="H7" s="1"/>
      <c r="I7" s="1"/>
    </row>
    <row r="8" spans="1:9">
      <c r="A8" s="383" t="s">
        <v>122</v>
      </c>
      <c r="B8" s="387" t="s">
        <v>531</v>
      </c>
      <c r="C8" s="1"/>
      <c r="D8" s="1"/>
      <c r="E8" s="1"/>
      <c r="F8" s="1"/>
      <c r="G8" s="1"/>
      <c r="H8" s="1"/>
      <c r="I8" s="1"/>
    </row>
    <row r="9" spans="1:9">
      <c r="A9" s="1"/>
      <c r="B9" s="120"/>
      <c r="C9" s="1"/>
      <c r="D9" s="81"/>
      <c r="E9" s="1"/>
      <c r="F9" s="1"/>
      <c r="G9" s="1"/>
      <c r="H9" s="1"/>
      <c r="I9" s="1"/>
    </row>
    <row r="10" spans="1:9">
      <c r="A10" s="1"/>
      <c r="B10" s="1"/>
      <c r="C10" s="384" t="s">
        <v>532</v>
      </c>
      <c r="D10" s="1"/>
      <c r="E10" s="1"/>
      <c r="F10" s="1"/>
      <c r="G10" s="1"/>
      <c r="H10" s="1"/>
      <c r="I10" s="1"/>
    </row>
    <row r="11" spans="1:9">
      <c r="A11" s="1"/>
      <c r="B11" s="1"/>
      <c r="C11" s="396" t="s">
        <v>1</v>
      </c>
      <c r="D11" s="396">
        <v>0</v>
      </c>
      <c r="E11" s="396">
        <v>1</v>
      </c>
      <c r="F11" s="396">
        <v>2</v>
      </c>
      <c r="G11" s="396">
        <v>3</v>
      </c>
      <c r="H11" s="396">
        <v>4</v>
      </c>
      <c r="I11" s="396">
        <v>5</v>
      </c>
    </row>
    <row r="12" spans="1:9">
      <c r="A12" s="1"/>
      <c r="B12" s="1"/>
      <c r="C12" s="383" t="s">
        <v>123</v>
      </c>
      <c r="D12" s="394">
        <f>('Costs without VAT'!K5*25%*'Costs without VAT'!$L35)</f>
        <v>45256.703999999998</v>
      </c>
      <c r="E12" s="395">
        <f>('Costs without VAT'!L5*25%*'Costs without VAT'!$L35)</f>
        <v>53969.919999999998</v>
      </c>
      <c r="F12" s="395">
        <f>('Costs without VAT'!M5*25%*'Costs without VAT'!$L35)</f>
        <v>72501.759999999995</v>
      </c>
      <c r="G12" s="395">
        <f>('Costs without VAT'!N5*25%*'Costs without VAT'!$L35)</f>
        <v>89993.216</v>
      </c>
      <c r="H12" s="395">
        <f>('Costs without VAT'!O5*25%*'Costs without VAT'!$L35)</f>
        <v>104558.592</v>
      </c>
      <c r="I12" s="395">
        <f>('Costs without VAT'!P5*25%*'Costs without VAT'!$L35)</f>
        <v>120965.05607296</v>
      </c>
    </row>
    <row r="13" spans="1:9">
      <c r="A13" s="1"/>
      <c r="B13" s="81"/>
      <c r="C13" s="383" t="s">
        <v>124</v>
      </c>
      <c r="D13" s="386">
        <v>0</v>
      </c>
      <c r="E13" s="379">
        <f>'Forecasted sales'!E34/(1+23%)/360*12</f>
        <v>11524.364227642278</v>
      </c>
      <c r="F13" s="379">
        <f>'Forecasted sales'!E35/(1+23%)/360*12</f>
        <v>13743.135501355015</v>
      </c>
      <c r="G13" s="379">
        <f>'Forecasted sales'!E36/(1+23%)/360*12</f>
        <v>18462.163956639568</v>
      </c>
      <c r="H13" s="379">
        <f>'Forecasted sales'!E37/(1+23%)/360*12</f>
        <v>22916.264498644985</v>
      </c>
      <c r="I13" s="379">
        <f>'Forecasted sales'!E38/(1+23%)/360*12</f>
        <v>28413.518699186992</v>
      </c>
    </row>
    <row r="14" spans="1:9">
      <c r="A14" s="1"/>
      <c r="B14" s="81"/>
      <c r="C14" s="383" t="s">
        <v>564</v>
      </c>
      <c r="D14" s="386">
        <f>VAT!B28-VAT!B27</f>
        <v>1984.67</v>
      </c>
      <c r="E14" s="379"/>
      <c r="F14" s="379"/>
      <c r="G14" s="379"/>
      <c r="H14" s="379"/>
      <c r="I14" s="379"/>
    </row>
    <row r="15" spans="1:9">
      <c r="A15" s="1"/>
      <c r="B15" s="81"/>
      <c r="C15" s="383" t="s">
        <v>207</v>
      </c>
      <c r="D15" s="386">
        <f>VAT!B37-'Investment in WC budget'!D14</f>
        <v>12560.881919999998</v>
      </c>
      <c r="E15" s="379"/>
      <c r="F15" s="379"/>
      <c r="G15" s="379"/>
      <c r="H15" s="379"/>
      <c r="I15" s="379"/>
    </row>
    <row r="16" spans="1:9">
      <c r="A16" s="1"/>
      <c r="B16" s="1"/>
      <c r="C16" s="383" t="s">
        <v>125</v>
      </c>
      <c r="D16" s="391">
        <f>D12/180*60</f>
        <v>15085.567999999999</v>
      </c>
      <c r="E16" s="379">
        <f>('Costs without VAT'!C31+'Costs without VAT'!C32+'Costs without VAT'!C34)/360*60+(D12-E12)/360*60</f>
        <v>33338.933333333334</v>
      </c>
      <c r="F16" s="379">
        <f>('Costs without VAT'!D31+'Costs without VAT'!D32+'Costs without VAT'!D34)/360*60+(E12-F12)/360*60</f>
        <v>37567.14</v>
      </c>
      <c r="G16" s="379">
        <f>('Costs without VAT'!E36-'Costs without VAT'!E8-'Costs without VAT'!E13)/360*60+(F12-G12)/360*60</f>
        <v>71343.254000000001</v>
      </c>
      <c r="H16" s="379">
        <f>('Costs without VAT'!F36-'Costs without VAT'!F8-'Costs without VAT'!F13)/360*60+(G12-H12)/360*60</f>
        <v>83721.955916666644</v>
      </c>
      <c r="I16" s="379">
        <f>('Costs without VAT'!G36-'Costs without VAT'!G8-'Costs without VAT'!G13)/360*60+(H12-I12)/360*60</f>
        <v>93218.691904506661</v>
      </c>
    </row>
    <row r="17" spans="1:9">
      <c r="A17" s="1"/>
      <c r="B17" s="1"/>
      <c r="C17" s="383" t="s">
        <v>126</v>
      </c>
      <c r="D17" s="386">
        <v>3950</v>
      </c>
      <c r="E17" s="379">
        <f>'Costs without VAT'!C17/12</f>
        <v>3950</v>
      </c>
      <c r="F17" s="379">
        <f>'Costs without VAT'!D17/12</f>
        <v>3950</v>
      </c>
      <c r="G17" s="379">
        <f>'Costs without VAT'!E17/12</f>
        <v>3950</v>
      </c>
      <c r="H17" s="379">
        <f>'Costs without VAT'!F17/12</f>
        <v>3950</v>
      </c>
      <c r="I17" s="379">
        <f>'Costs without VAT'!G17/12</f>
        <v>3950</v>
      </c>
    </row>
    <row r="18" spans="1:9">
      <c r="A18" s="1"/>
      <c r="B18" s="1"/>
      <c r="C18" s="383" t="s">
        <v>127</v>
      </c>
      <c r="D18" s="386">
        <f>('Costs without VAT'!B9+'Costs without VAT'!B12)/12</f>
        <v>67.298749999999998</v>
      </c>
      <c r="E18" s="379">
        <f>('Costs without VAT'!C9+'Costs without VAT'!C12)/12</f>
        <v>2056.8525</v>
      </c>
      <c r="F18" s="379">
        <f>('Costs without VAT'!D9+'Costs without VAT'!D12)/12</f>
        <v>2193.2962499999999</v>
      </c>
      <c r="G18" s="379">
        <f>('Costs without VAT'!E9+'Costs without VAT'!E12)/12</f>
        <v>2697.2000000000003</v>
      </c>
      <c r="H18" s="379">
        <f>('Costs without VAT'!F9+'Costs without VAT'!F12)/12</f>
        <v>2781.1839583333335</v>
      </c>
      <c r="I18" s="379">
        <f>('Costs without VAT'!G9+'Costs without VAT'!G12)/12</f>
        <v>2781.1839583333335</v>
      </c>
    </row>
    <row r="19" spans="1:9">
      <c r="A19" s="1"/>
      <c r="B19" s="1"/>
      <c r="C19" s="383" t="s">
        <v>128</v>
      </c>
      <c r="D19" s="386">
        <v>0</v>
      </c>
      <c r="E19" s="379">
        <v>0</v>
      </c>
      <c r="F19" s="379">
        <f>'Project cash flow'!F23+'Project cash flow'!F24</f>
        <v>372.25617147448986</v>
      </c>
      <c r="G19" s="379">
        <f>('Project cash flow'!G23+'Project cash flow'!G24)</f>
        <v>5577.6835608639321</v>
      </c>
      <c r="H19" s="379">
        <f>('Project cash flow'!H23+'Project cash flow'!H24)</f>
        <v>19952.398863041166</v>
      </c>
      <c r="I19" s="379">
        <f>('Project cash flow'!I23+'Project cash flow'!I24)</f>
        <v>38020.002027615694</v>
      </c>
    </row>
    <row r="20" spans="1:9">
      <c r="A20" s="1"/>
      <c r="B20" s="1"/>
      <c r="C20" s="383" t="s">
        <v>565</v>
      </c>
      <c r="D20" s="386"/>
      <c r="E20" s="379">
        <f>VAT!C39</f>
        <v>1004.8817984552879</v>
      </c>
      <c r="F20" s="379">
        <f>VAT!D39</f>
        <v>5113.226192967476</v>
      </c>
      <c r="G20" s="379">
        <f>VAT!E39</f>
        <v>8210.3580689634127</v>
      </c>
      <c r="H20" s="379">
        <f>VAT!F39</f>
        <v>11473.121318268981</v>
      </c>
      <c r="I20" s="379">
        <f>VAT!G39</f>
        <v>14936.560720979729</v>
      </c>
    </row>
    <row r="21" spans="1:9">
      <c r="A21" s="1"/>
      <c r="B21" s="1"/>
      <c r="C21" s="392" t="s">
        <v>129</v>
      </c>
      <c r="D21" s="393">
        <f>D12+D13+D14+D15-D16-D18-D17</f>
        <v>40699.389169999995</v>
      </c>
      <c r="E21" s="382">
        <f>E12+E13-E16-E18-E17-E19-E20</f>
        <v>25143.616595853651</v>
      </c>
      <c r="F21" s="382">
        <f t="shared" ref="F21:I21" si="0">F12+F13-F16-F18-F17-F19-F20</f>
        <v>37048.976886913049</v>
      </c>
      <c r="G21" s="382">
        <f t="shared" si="0"/>
        <v>16676.884326812236</v>
      </c>
      <c r="H21" s="382">
        <f t="shared" si="0"/>
        <v>5596.1964423348672</v>
      </c>
      <c r="I21" s="382">
        <f t="shared" si="0"/>
        <v>-3527.8638392884222</v>
      </c>
    </row>
    <row r="22" spans="1:9">
      <c r="A22" s="1"/>
      <c r="B22" s="1"/>
      <c r="C22" s="392" t="s">
        <v>130</v>
      </c>
      <c r="D22" s="393">
        <f>D21</f>
        <v>40699.389169999995</v>
      </c>
      <c r="E22" s="382">
        <f>E21-D22</f>
        <v>-15555.772574146344</v>
      </c>
      <c r="F22" s="382">
        <f>F21-E21</f>
        <v>11905.360291059398</v>
      </c>
      <c r="G22" s="382">
        <f t="shared" ref="G22:H22" si="1">G21-F21</f>
        <v>-20372.092560100813</v>
      </c>
      <c r="H22" s="382">
        <f t="shared" si="1"/>
        <v>-11080.687884477369</v>
      </c>
      <c r="I22" s="382">
        <f>I21-H21</f>
        <v>-9124.0602816232895</v>
      </c>
    </row>
    <row r="23" spans="1:9">
      <c r="A23" s="1"/>
      <c r="B23" s="1"/>
      <c r="C23" s="383" t="s">
        <v>131</v>
      </c>
      <c r="D23" s="386">
        <f>-D22</f>
        <v>-40699.389169999995</v>
      </c>
      <c r="E23" s="379">
        <f t="shared" ref="E23:I23" si="2">-E22</f>
        <v>15555.772574146344</v>
      </c>
      <c r="F23" s="379">
        <f t="shared" si="2"/>
        <v>-11905.360291059398</v>
      </c>
      <c r="G23" s="379">
        <f t="shared" si="2"/>
        <v>20372.092560100813</v>
      </c>
      <c r="H23" s="379">
        <f t="shared" si="2"/>
        <v>11080.687884477369</v>
      </c>
      <c r="I23" s="379">
        <f t="shared" si="2"/>
        <v>9124.0602816232895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E27" s="160"/>
      <c r="F27" s="102"/>
      <c r="G27" s="116"/>
    </row>
    <row r="28" spans="1:9">
      <c r="E28" s="1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87B8-7320-894B-8442-E4E087B36351}">
  <dimension ref="A1:K70"/>
  <sheetViews>
    <sheetView workbookViewId="0">
      <selection activeCell="B3" sqref="B3"/>
    </sheetView>
  </sheetViews>
  <sheetFormatPr baseColWidth="10" defaultColWidth="11" defaultRowHeight="16"/>
  <cols>
    <col min="1" max="1" width="40" bestFit="1" customWidth="1"/>
    <col min="2" max="2" width="18.5" customWidth="1"/>
    <col min="3" max="3" width="20.1640625" customWidth="1"/>
    <col min="4" max="4" width="24.83203125" customWidth="1"/>
    <col min="6" max="6" width="21.33203125" customWidth="1"/>
  </cols>
  <sheetData>
    <row r="1" spans="1:11" ht="17" thickBot="1">
      <c r="A1" s="376" t="s">
        <v>132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s="377" t="s">
        <v>1</v>
      </c>
      <c r="B2" s="378" t="s">
        <v>133</v>
      </c>
      <c r="C2" s="378" t="s">
        <v>134</v>
      </c>
      <c r="D2" s="378" t="s">
        <v>135</v>
      </c>
      <c r="E2" s="1"/>
      <c r="F2" s="377" t="s">
        <v>1</v>
      </c>
      <c r="G2" s="377">
        <v>1</v>
      </c>
      <c r="H2" s="377">
        <v>2</v>
      </c>
      <c r="I2" s="377">
        <v>3</v>
      </c>
      <c r="J2" s="377">
        <v>4</v>
      </c>
      <c r="K2" s="377">
        <v>5</v>
      </c>
    </row>
    <row r="3" spans="1:11">
      <c r="A3" s="377">
        <v>1</v>
      </c>
      <c r="B3" s="379">
        <f>'Investment budget'!B3</f>
        <v>2250</v>
      </c>
      <c r="C3" s="379">
        <f>B3*'Investment budget'!F3</f>
        <v>750</v>
      </c>
      <c r="D3" s="379">
        <f>B3-C3</f>
        <v>1500</v>
      </c>
      <c r="E3" s="1"/>
      <c r="F3" s="378" t="s">
        <v>136</v>
      </c>
      <c r="G3" s="379">
        <f>C3+C11+C18+C29+C35</f>
        <v>2384.6666666666665</v>
      </c>
      <c r="H3" s="379">
        <f>C4+C12+C19+C30+C36</f>
        <v>2384.6666666666665</v>
      </c>
      <c r="I3" s="379">
        <f>+C5+C13+C20+C31+C37+C46+C52+C62</f>
        <v>3751.833333333333</v>
      </c>
      <c r="J3" s="379">
        <f>C21+C38+C47+C63+C69+C53</f>
        <v>2002.1666666666665</v>
      </c>
      <c r="K3" s="379">
        <f>C22+C39+C48+C54+C64+C70</f>
        <v>2002.1666666666665</v>
      </c>
    </row>
    <row r="4" spans="1:11">
      <c r="A4" s="377">
        <v>2</v>
      </c>
      <c r="B4" s="379">
        <f>D3</f>
        <v>1500</v>
      </c>
      <c r="C4" s="379">
        <f>C3</f>
        <v>750</v>
      </c>
      <c r="D4" s="379">
        <f>B4-C4</f>
        <v>750</v>
      </c>
      <c r="E4" s="1"/>
      <c r="F4" s="381" t="s">
        <v>527</v>
      </c>
      <c r="G4" s="382">
        <f>G3</f>
        <v>2384.6666666666665</v>
      </c>
      <c r="H4" s="382">
        <f>G4+H3</f>
        <v>4769.333333333333</v>
      </c>
      <c r="I4" s="382">
        <f>H4+I3</f>
        <v>8521.1666666666661</v>
      </c>
      <c r="J4" s="382">
        <f>I4+J3</f>
        <v>10523.333333333332</v>
      </c>
      <c r="K4" s="382">
        <f>J4+K3</f>
        <v>12525.499999999998</v>
      </c>
    </row>
    <row r="5" spans="1:11">
      <c r="A5" s="377">
        <v>3</v>
      </c>
      <c r="B5" s="379">
        <f>D4</f>
        <v>750</v>
      </c>
      <c r="C5" s="379">
        <f>C4</f>
        <v>750</v>
      </c>
      <c r="D5" s="379">
        <f t="shared" ref="D5" si="0">B5-C5</f>
        <v>0</v>
      </c>
      <c r="E5" s="1"/>
      <c r="F5" s="1"/>
      <c r="G5" s="1"/>
      <c r="H5" s="1"/>
      <c r="I5" s="1"/>
      <c r="J5" s="1"/>
    </row>
    <row r="6" spans="1:11">
      <c r="A6" s="1"/>
      <c r="B6" s="1"/>
      <c r="C6" s="1"/>
      <c r="D6" s="1"/>
      <c r="E6" s="1"/>
      <c r="F6" s="101"/>
      <c r="G6" s="1"/>
      <c r="H6" s="1"/>
      <c r="I6" s="1"/>
      <c r="J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17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ht="17" thickBot="1">
      <c r="A9" s="376" t="s">
        <v>137</v>
      </c>
      <c r="B9" s="1"/>
      <c r="C9" s="1"/>
      <c r="D9" s="1"/>
      <c r="E9" s="1"/>
      <c r="F9" s="1"/>
      <c r="G9" s="1"/>
      <c r="H9" s="1"/>
      <c r="I9" s="1"/>
      <c r="J9" s="1"/>
    </row>
    <row r="10" spans="1:11">
      <c r="A10" s="377" t="s">
        <v>1</v>
      </c>
      <c r="B10" s="378" t="s">
        <v>133</v>
      </c>
      <c r="C10" s="378" t="s">
        <v>134</v>
      </c>
      <c r="D10" s="378" t="s">
        <v>135</v>
      </c>
      <c r="E10" s="1"/>
      <c r="F10" s="1"/>
      <c r="G10" s="1"/>
      <c r="H10" s="1"/>
      <c r="I10" s="1"/>
      <c r="J10" s="1"/>
    </row>
    <row r="11" spans="1:11">
      <c r="A11" s="377">
        <v>1</v>
      </c>
      <c r="B11" s="379">
        <f>'Investment budget'!D4</f>
        <v>2250</v>
      </c>
      <c r="C11" s="379">
        <f>B11*'Investment budget'!F4</f>
        <v>750</v>
      </c>
      <c r="D11" s="379">
        <f>B11-C11</f>
        <v>1500</v>
      </c>
      <c r="E11" s="1"/>
      <c r="F11" s="1"/>
      <c r="G11" s="1"/>
      <c r="H11" s="1"/>
      <c r="I11" s="1"/>
      <c r="J11" s="1"/>
    </row>
    <row r="12" spans="1:11">
      <c r="A12" s="377">
        <v>2</v>
      </c>
      <c r="B12" s="379">
        <f>D11</f>
        <v>1500</v>
      </c>
      <c r="C12" s="379">
        <f>C11</f>
        <v>750</v>
      </c>
      <c r="D12" s="379">
        <f>B12-C12</f>
        <v>750</v>
      </c>
      <c r="E12" s="1"/>
      <c r="F12" s="1"/>
      <c r="G12" s="1"/>
      <c r="H12" s="1"/>
      <c r="I12" s="1"/>
      <c r="J12" s="1"/>
    </row>
    <row r="13" spans="1:11">
      <c r="A13" s="377">
        <v>3</v>
      </c>
      <c r="B13" s="379">
        <f>D12</f>
        <v>750</v>
      </c>
      <c r="C13" s="379">
        <f>C11</f>
        <v>750</v>
      </c>
      <c r="D13" s="379">
        <f>B13-C13</f>
        <v>0</v>
      </c>
      <c r="E13" s="1"/>
      <c r="F13" s="1"/>
      <c r="G13" s="1"/>
      <c r="H13" s="1"/>
      <c r="I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17" thickBo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ht="17" thickBot="1">
      <c r="A16" s="376" t="s">
        <v>138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377" t="s">
        <v>1</v>
      </c>
      <c r="B17" s="378" t="s">
        <v>133</v>
      </c>
      <c r="C17" s="378" t="s">
        <v>134</v>
      </c>
      <c r="D17" s="378" t="s">
        <v>135</v>
      </c>
      <c r="E17" s="1"/>
      <c r="F17" s="1"/>
      <c r="G17" s="1"/>
      <c r="H17" s="1"/>
      <c r="I17" s="1"/>
      <c r="J17" s="1"/>
    </row>
    <row r="18" spans="1:10">
      <c r="A18" s="377">
        <v>1</v>
      </c>
      <c r="B18" s="379">
        <f>'Investment budget'!D5+'Investment budget'!D6</f>
        <v>1880</v>
      </c>
      <c r="C18" s="379">
        <f>B18*'Investment budget'!$F$5</f>
        <v>235</v>
      </c>
      <c r="D18" s="379">
        <f>B18-C18</f>
        <v>1645</v>
      </c>
      <c r="E18" s="1"/>
      <c r="F18" s="1"/>
      <c r="G18" s="1"/>
      <c r="H18" s="1"/>
      <c r="I18" s="1"/>
      <c r="J18" s="1"/>
    </row>
    <row r="19" spans="1:10">
      <c r="A19" s="377">
        <v>2</v>
      </c>
      <c r="B19" s="379">
        <f>D18</f>
        <v>1645</v>
      </c>
      <c r="C19" s="379">
        <f>C18</f>
        <v>235</v>
      </c>
      <c r="D19" s="379">
        <f>B19-C19</f>
        <v>1410</v>
      </c>
      <c r="E19" s="1"/>
      <c r="F19" s="1"/>
      <c r="G19" s="1"/>
      <c r="H19" s="1"/>
      <c r="I19" s="1"/>
      <c r="J19" s="1"/>
    </row>
    <row r="20" spans="1:10">
      <c r="A20" s="377">
        <v>3</v>
      </c>
      <c r="B20" s="379">
        <f t="shared" ref="B20:B24" si="1">D19</f>
        <v>1410</v>
      </c>
      <c r="C20" s="379">
        <f t="shared" ref="C20:C24" si="2">C19</f>
        <v>235</v>
      </c>
      <c r="D20" s="379">
        <f t="shared" ref="D20:D23" si="3">B20-C20</f>
        <v>1175</v>
      </c>
      <c r="E20" s="1"/>
      <c r="F20" s="1"/>
      <c r="G20" s="1"/>
      <c r="H20" s="1"/>
      <c r="I20" s="1"/>
      <c r="J20" s="1"/>
    </row>
    <row r="21" spans="1:10">
      <c r="A21" s="377">
        <v>4</v>
      </c>
      <c r="B21" s="379">
        <f t="shared" si="1"/>
        <v>1175</v>
      </c>
      <c r="C21" s="379">
        <f t="shared" si="2"/>
        <v>235</v>
      </c>
      <c r="D21" s="379">
        <f t="shared" si="3"/>
        <v>940</v>
      </c>
      <c r="E21" s="1"/>
      <c r="F21" s="1"/>
      <c r="G21" s="1"/>
      <c r="H21" s="1"/>
      <c r="I21" s="1"/>
      <c r="J21" s="1"/>
    </row>
    <row r="22" spans="1:10">
      <c r="A22" s="377">
        <v>5</v>
      </c>
      <c r="B22" s="379">
        <f t="shared" si="1"/>
        <v>940</v>
      </c>
      <c r="C22" s="379">
        <f t="shared" si="2"/>
        <v>235</v>
      </c>
      <c r="D22" s="379">
        <f t="shared" si="3"/>
        <v>705</v>
      </c>
      <c r="E22" s="1"/>
      <c r="F22" s="1"/>
      <c r="G22" s="1"/>
      <c r="H22" s="1"/>
      <c r="I22" s="1"/>
      <c r="J22" s="1"/>
    </row>
    <row r="23" spans="1:10">
      <c r="A23" s="377">
        <v>6</v>
      </c>
      <c r="B23" s="379">
        <f t="shared" si="1"/>
        <v>705</v>
      </c>
      <c r="C23" s="379">
        <f t="shared" si="2"/>
        <v>235</v>
      </c>
      <c r="D23" s="379">
        <f t="shared" si="3"/>
        <v>470</v>
      </c>
      <c r="E23" s="1"/>
      <c r="F23" s="1"/>
      <c r="G23" s="1"/>
      <c r="H23" s="1"/>
      <c r="I23" s="1"/>
      <c r="J23" s="1"/>
    </row>
    <row r="24" spans="1:10">
      <c r="A24" s="377">
        <v>7</v>
      </c>
      <c r="B24" s="379">
        <f t="shared" si="1"/>
        <v>470</v>
      </c>
      <c r="C24" s="379">
        <f t="shared" si="2"/>
        <v>235</v>
      </c>
      <c r="D24" s="379">
        <v>0</v>
      </c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7" thickBo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7" thickBot="1">
      <c r="A27" s="376" t="s">
        <v>139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377" t="s">
        <v>1</v>
      </c>
      <c r="B28" s="378" t="s">
        <v>133</v>
      </c>
      <c r="C28" s="378" t="s">
        <v>134</v>
      </c>
      <c r="D28" s="378" t="s">
        <v>135</v>
      </c>
      <c r="E28" s="1"/>
      <c r="F28" s="1"/>
      <c r="G28" s="1"/>
      <c r="H28" s="1"/>
      <c r="I28" s="1"/>
      <c r="J28" s="1"/>
    </row>
    <row r="29" spans="1:10">
      <c r="A29" s="377">
        <v>1</v>
      </c>
      <c r="B29" s="379">
        <f>'Investment budget'!B7</f>
        <v>1499</v>
      </c>
      <c r="C29" s="379">
        <f>B29*'Investment budget'!F7</f>
        <v>499.66666666666663</v>
      </c>
      <c r="D29" s="379">
        <f>B29-C29</f>
        <v>999.33333333333337</v>
      </c>
      <c r="E29" s="1"/>
      <c r="F29" s="1"/>
      <c r="G29" s="1"/>
      <c r="H29" s="1"/>
      <c r="I29" s="1"/>
      <c r="J29" s="1"/>
    </row>
    <row r="30" spans="1:10">
      <c r="A30" s="377">
        <v>2</v>
      </c>
      <c r="B30" s="379">
        <f>D29</f>
        <v>999.33333333333337</v>
      </c>
      <c r="C30" s="379">
        <f>C29</f>
        <v>499.66666666666663</v>
      </c>
      <c r="D30" s="379">
        <f>B30-C30</f>
        <v>499.66666666666674</v>
      </c>
      <c r="E30" s="1"/>
      <c r="F30" s="1"/>
      <c r="G30" s="1"/>
      <c r="H30" s="1"/>
      <c r="I30" s="1"/>
      <c r="J30" s="1"/>
    </row>
    <row r="31" spans="1:10">
      <c r="A31" s="377">
        <v>3</v>
      </c>
      <c r="B31" s="379">
        <f>D30</f>
        <v>499.66666666666674</v>
      </c>
      <c r="C31" s="379">
        <f>C30</f>
        <v>499.66666666666663</v>
      </c>
      <c r="D31" s="379">
        <f>B31-C31</f>
        <v>0</v>
      </c>
      <c r="E31" s="1"/>
      <c r="F31" s="1"/>
      <c r="G31" s="1"/>
      <c r="H31" s="1"/>
      <c r="I31" s="1"/>
      <c r="J31" s="1"/>
    </row>
    <row r="32" spans="1:10" ht="17" thickBo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7" thickBot="1">
      <c r="A33" s="376" t="s">
        <v>140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377" t="s">
        <v>1</v>
      </c>
      <c r="B34" s="378" t="s">
        <v>133</v>
      </c>
      <c r="C34" s="378" t="s">
        <v>134</v>
      </c>
      <c r="D34" s="378" t="s">
        <v>135</v>
      </c>
      <c r="E34" s="1"/>
      <c r="F34" s="1"/>
      <c r="G34" s="1"/>
      <c r="H34" s="1"/>
      <c r="I34" s="1"/>
      <c r="J34" s="1"/>
    </row>
    <row r="35" spans="1:10">
      <c r="A35" s="377">
        <v>1</v>
      </c>
      <c r="B35" s="379">
        <f>'Investment budget'!D8</f>
        <v>750</v>
      </c>
      <c r="C35" s="379">
        <f>$B$35*'Investment budget'!$F$8</f>
        <v>150</v>
      </c>
      <c r="D35" s="379">
        <f>B35-C35</f>
        <v>600</v>
      </c>
      <c r="E35" s="1"/>
      <c r="F35" s="1"/>
      <c r="G35" s="1"/>
      <c r="H35" s="1"/>
      <c r="I35" s="1"/>
      <c r="J35" s="1"/>
    </row>
    <row r="36" spans="1:10">
      <c r="A36" s="377">
        <v>2</v>
      </c>
      <c r="B36" s="379">
        <f>D35</f>
        <v>600</v>
      </c>
      <c r="C36" s="379">
        <f>$B$35*'Investment budget'!$F$8</f>
        <v>150</v>
      </c>
      <c r="D36" s="379">
        <f t="shared" ref="D36:D39" si="4">B36-C36</f>
        <v>450</v>
      </c>
      <c r="E36" s="1"/>
      <c r="F36" s="1"/>
      <c r="G36" s="1"/>
      <c r="H36" s="1"/>
      <c r="I36" s="1"/>
      <c r="J36" s="1"/>
    </row>
    <row r="37" spans="1:10">
      <c r="A37" s="377">
        <v>3</v>
      </c>
      <c r="B37" s="379">
        <f t="shared" ref="B37:B39" si="5">D36</f>
        <v>450</v>
      </c>
      <c r="C37" s="379">
        <f>$B$35*'Investment budget'!$F$8</f>
        <v>150</v>
      </c>
      <c r="D37" s="379">
        <f t="shared" si="4"/>
        <v>300</v>
      </c>
      <c r="E37" s="1"/>
      <c r="F37" s="1"/>
      <c r="G37" s="1"/>
      <c r="H37" s="1"/>
      <c r="I37" s="1"/>
      <c r="J37" s="1"/>
    </row>
    <row r="38" spans="1:10">
      <c r="A38" s="377">
        <v>4</v>
      </c>
      <c r="B38" s="379">
        <f t="shared" si="5"/>
        <v>300</v>
      </c>
      <c r="C38" s="379">
        <f>$B$35*'Investment budget'!$F$8</f>
        <v>150</v>
      </c>
      <c r="D38" s="379">
        <f t="shared" si="4"/>
        <v>150</v>
      </c>
      <c r="E38" s="1"/>
      <c r="F38" s="1"/>
      <c r="G38" s="1"/>
      <c r="H38" s="1"/>
      <c r="I38" s="1"/>
      <c r="J38" s="1"/>
    </row>
    <row r="39" spans="1:10">
      <c r="A39" s="377">
        <v>5</v>
      </c>
      <c r="B39" s="379">
        <f t="shared" si="5"/>
        <v>150</v>
      </c>
      <c r="C39" s="379">
        <f>$B$35*'Investment budget'!$F$8</f>
        <v>150</v>
      </c>
      <c r="D39" s="379">
        <f t="shared" si="4"/>
        <v>0</v>
      </c>
      <c r="E39" s="1"/>
      <c r="F39" s="1"/>
      <c r="G39" s="1"/>
      <c r="H39" s="1"/>
      <c r="I39" s="1"/>
    </row>
    <row r="42" spans="1:10">
      <c r="A42" s="380" t="s">
        <v>141</v>
      </c>
    </row>
    <row r="43" spans="1:10" ht="17" thickBot="1"/>
    <row r="44" spans="1:10" ht="17" thickBot="1">
      <c r="A44" s="376" t="s">
        <v>132</v>
      </c>
      <c r="B44" s="1"/>
      <c r="C44" s="1"/>
      <c r="D44" s="1"/>
    </row>
    <row r="45" spans="1:10">
      <c r="A45" s="377" t="s">
        <v>1</v>
      </c>
      <c r="B45" s="378" t="s">
        <v>133</v>
      </c>
      <c r="C45" s="378" t="s">
        <v>134</v>
      </c>
      <c r="D45" s="378" t="s">
        <v>135</v>
      </c>
    </row>
    <row r="46" spans="1:10">
      <c r="A46" s="377">
        <v>3</v>
      </c>
      <c r="B46" s="379">
        <f>'Investment budget'!D15</f>
        <v>2250</v>
      </c>
      <c r="C46" s="379">
        <f>B46*'Investment budget'!F15</f>
        <v>750</v>
      </c>
      <c r="D46" s="379">
        <f>B46-C46</f>
        <v>1500</v>
      </c>
    </row>
    <row r="47" spans="1:10">
      <c r="A47" s="377">
        <v>4</v>
      </c>
      <c r="B47" s="379">
        <f>D46</f>
        <v>1500</v>
      </c>
      <c r="C47" s="379">
        <f>C46</f>
        <v>750</v>
      </c>
      <c r="D47" s="379">
        <f>B47-C47</f>
        <v>750</v>
      </c>
    </row>
    <row r="48" spans="1:10">
      <c r="A48" s="377">
        <v>5</v>
      </c>
      <c r="B48" s="379">
        <f>D47</f>
        <v>750</v>
      </c>
      <c r="C48" s="379">
        <f>C47</f>
        <v>750</v>
      </c>
      <c r="D48" s="379">
        <f t="shared" ref="D48" si="6">B48-C48</f>
        <v>0</v>
      </c>
    </row>
    <row r="49" spans="1:4" ht="17" thickBot="1"/>
    <row r="50" spans="1:4" ht="17" thickBot="1">
      <c r="A50" s="376" t="s">
        <v>138</v>
      </c>
      <c r="B50" s="1"/>
      <c r="C50" s="1"/>
      <c r="D50" s="1"/>
    </row>
    <row r="51" spans="1:4">
      <c r="A51" s="377" t="s">
        <v>1</v>
      </c>
      <c r="B51" s="378" t="s">
        <v>133</v>
      </c>
      <c r="C51" s="378" t="s">
        <v>134</v>
      </c>
      <c r="D51" s="378" t="s">
        <v>135</v>
      </c>
    </row>
    <row r="52" spans="1:4">
      <c r="A52" s="377">
        <v>3</v>
      </c>
      <c r="B52" s="379">
        <f>'Investment budget'!D16</f>
        <v>940</v>
      </c>
      <c r="C52" s="379">
        <f>B52*'Investment budget'!$F$16</f>
        <v>117.5</v>
      </c>
      <c r="D52" s="379">
        <f>B52-C52</f>
        <v>822.5</v>
      </c>
    </row>
    <row r="53" spans="1:4">
      <c r="A53" s="377">
        <v>4</v>
      </c>
      <c r="B53" s="379">
        <f>D52</f>
        <v>822.5</v>
      </c>
      <c r="C53" s="379">
        <f>C52</f>
        <v>117.5</v>
      </c>
      <c r="D53" s="379">
        <f>B53-C53</f>
        <v>705</v>
      </c>
    </row>
    <row r="54" spans="1:4">
      <c r="A54" s="377">
        <v>5</v>
      </c>
      <c r="B54" s="379">
        <f t="shared" ref="B54:B58" si="7">D53</f>
        <v>705</v>
      </c>
      <c r="C54" s="379">
        <f t="shared" ref="C54:C58" si="8">C53</f>
        <v>117.5</v>
      </c>
      <c r="D54" s="379">
        <f t="shared" ref="D54:D57" si="9">B54-C54</f>
        <v>587.5</v>
      </c>
    </row>
    <row r="55" spans="1:4">
      <c r="A55" s="377">
        <v>6</v>
      </c>
      <c r="B55" s="379">
        <f t="shared" si="7"/>
        <v>587.5</v>
      </c>
      <c r="C55" s="379">
        <f t="shared" si="8"/>
        <v>117.5</v>
      </c>
      <c r="D55" s="379">
        <f t="shared" si="9"/>
        <v>470</v>
      </c>
    </row>
    <row r="56" spans="1:4">
      <c r="A56" s="377">
        <v>7</v>
      </c>
      <c r="B56" s="379">
        <f t="shared" si="7"/>
        <v>470</v>
      </c>
      <c r="C56" s="379">
        <f t="shared" si="8"/>
        <v>117.5</v>
      </c>
      <c r="D56" s="379">
        <f t="shared" si="9"/>
        <v>352.5</v>
      </c>
    </row>
    <row r="57" spans="1:4">
      <c r="A57" s="377">
        <v>8</v>
      </c>
      <c r="B57" s="379">
        <f t="shared" si="7"/>
        <v>352.5</v>
      </c>
      <c r="C57" s="379">
        <f t="shared" si="8"/>
        <v>117.5</v>
      </c>
      <c r="D57" s="379">
        <f t="shared" si="9"/>
        <v>235</v>
      </c>
    </row>
    <row r="58" spans="1:4">
      <c r="A58" s="377">
        <v>9</v>
      </c>
      <c r="B58" s="379">
        <f t="shared" si="7"/>
        <v>235</v>
      </c>
      <c r="C58" s="379">
        <f t="shared" si="8"/>
        <v>117.5</v>
      </c>
      <c r="D58" s="379">
        <v>0</v>
      </c>
    </row>
    <row r="59" spans="1:4" ht="17" thickBot="1">
      <c r="A59" s="1"/>
      <c r="B59" s="1"/>
      <c r="C59" s="1"/>
      <c r="D59" s="1"/>
    </row>
    <row r="60" spans="1:4" ht="17" thickBot="1">
      <c r="A60" s="376" t="s">
        <v>139</v>
      </c>
      <c r="B60" s="1"/>
      <c r="C60" s="1"/>
      <c r="D60" s="1"/>
    </row>
    <row r="61" spans="1:4">
      <c r="A61" s="377" t="s">
        <v>1</v>
      </c>
      <c r="B61" s="378" t="s">
        <v>133</v>
      </c>
      <c r="C61" s="378" t="s">
        <v>134</v>
      </c>
      <c r="D61" s="378" t="s">
        <v>135</v>
      </c>
    </row>
    <row r="62" spans="1:4">
      <c r="A62" s="377">
        <v>3</v>
      </c>
      <c r="B62" s="379">
        <f>'Investment budget'!D17</f>
        <v>1499</v>
      </c>
      <c r="C62" s="379">
        <f>B62*'Investment budget'!F17</f>
        <v>499.66666666666663</v>
      </c>
      <c r="D62" s="379">
        <f>B62-C62</f>
        <v>999.33333333333337</v>
      </c>
    </row>
    <row r="63" spans="1:4">
      <c r="A63" s="377">
        <v>4</v>
      </c>
      <c r="B63" s="379">
        <f>D62</f>
        <v>999.33333333333337</v>
      </c>
      <c r="C63" s="379">
        <f>C62</f>
        <v>499.66666666666663</v>
      </c>
      <c r="D63" s="379">
        <f>B63-C63</f>
        <v>499.66666666666674</v>
      </c>
    </row>
    <row r="64" spans="1:4">
      <c r="A64" s="377">
        <v>5</v>
      </c>
      <c r="B64" s="379">
        <f>D63</f>
        <v>499.66666666666674</v>
      </c>
      <c r="C64" s="379">
        <f>C63</f>
        <v>499.66666666666663</v>
      </c>
      <c r="D64" s="379">
        <f>B64-C64</f>
        <v>0</v>
      </c>
    </row>
    <row r="65" spans="1:4" ht="17" thickBot="1"/>
    <row r="66" spans="1:4" ht="17" thickBot="1">
      <c r="A66" s="376" t="s">
        <v>137</v>
      </c>
      <c r="B66" s="1"/>
      <c r="C66" s="1"/>
      <c r="D66" s="1"/>
    </row>
    <row r="67" spans="1:4">
      <c r="A67" s="377" t="s">
        <v>1</v>
      </c>
      <c r="B67" s="378" t="s">
        <v>133</v>
      </c>
      <c r="C67" s="378" t="s">
        <v>134</v>
      </c>
      <c r="D67" s="378" t="s">
        <v>135</v>
      </c>
    </row>
    <row r="68" spans="1:4">
      <c r="A68" s="377">
        <v>3</v>
      </c>
      <c r="B68" s="379">
        <f>'Investment budget'!D18</f>
        <v>750</v>
      </c>
      <c r="C68" s="379">
        <f>B68*'Investment budget'!F18</f>
        <v>250</v>
      </c>
      <c r="D68" s="379">
        <f>B68-C68</f>
        <v>500</v>
      </c>
    </row>
    <row r="69" spans="1:4">
      <c r="A69" s="377">
        <v>4</v>
      </c>
      <c r="B69" s="379">
        <f>D68</f>
        <v>500</v>
      </c>
      <c r="C69" s="379">
        <f>C68</f>
        <v>250</v>
      </c>
      <c r="D69" s="379">
        <f>B69-C69</f>
        <v>250</v>
      </c>
    </row>
    <row r="70" spans="1:4">
      <c r="A70" s="377">
        <v>5</v>
      </c>
      <c r="B70" s="379">
        <f>D69</f>
        <v>250</v>
      </c>
      <c r="C70" s="379">
        <f>C68</f>
        <v>250</v>
      </c>
      <c r="D70" s="379">
        <f>B70-C70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C50F-3787-A344-B178-F10B1762EECA}">
  <dimension ref="A1:O72"/>
  <sheetViews>
    <sheetView topLeftCell="A20" zoomScale="81" workbookViewId="0">
      <selection activeCell="I32" sqref="I32"/>
    </sheetView>
  </sheetViews>
  <sheetFormatPr baseColWidth="10" defaultColWidth="11" defaultRowHeight="16"/>
  <cols>
    <col min="1" max="1" width="49.5" customWidth="1"/>
    <col min="2" max="2" width="23.33203125" customWidth="1"/>
    <col min="3" max="3" width="33.6640625" customWidth="1"/>
    <col min="4" max="4" width="15" customWidth="1"/>
    <col min="5" max="5" width="15.83203125" customWidth="1"/>
    <col min="6" max="6" width="14.83203125" customWidth="1"/>
    <col min="7" max="7" width="14.5" customWidth="1"/>
    <col min="10" max="10" width="27.6640625" customWidth="1"/>
    <col min="11" max="11" width="17.6640625" customWidth="1"/>
  </cols>
  <sheetData>
    <row r="1" spans="1:15">
      <c r="A1" s="398" t="s">
        <v>142</v>
      </c>
      <c r="B1" s="399"/>
      <c r="C1" s="106"/>
    </row>
    <row r="2" spans="1:15">
      <c r="A2" s="443"/>
      <c r="B2" s="444"/>
      <c r="C2" s="106"/>
    </row>
    <row r="3" spans="1:15">
      <c r="A3" s="400"/>
      <c r="B3" s="401" t="s">
        <v>143</v>
      </c>
      <c r="C3" s="401" t="s">
        <v>144</v>
      </c>
      <c r="D3" s="401" t="s">
        <v>145</v>
      </c>
      <c r="E3" s="401" t="s">
        <v>110</v>
      </c>
      <c r="F3" s="401" t="s">
        <v>146</v>
      </c>
      <c r="G3" s="401" t="s">
        <v>147</v>
      </c>
    </row>
    <row r="4" spans="1:15">
      <c r="A4" s="402" t="s">
        <v>148</v>
      </c>
      <c r="B4" s="445">
        <v>0</v>
      </c>
      <c r="C4" s="445">
        <f>'Project cash flow'!E7</f>
        <v>345730.92682926828</v>
      </c>
      <c r="D4" s="445">
        <f>'Project cash flow'!F7</f>
        <v>412294.06504065043</v>
      </c>
      <c r="E4" s="445">
        <f>'Project cash flow'!G7</f>
        <v>553864.91869918699</v>
      </c>
      <c r="F4" s="445">
        <f>'Project cash flow'!H7</f>
        <v>687487.93495934957</v>
      </c>
      <c r="G4" s="445">
        <f>'Project cash flow'!I7</f>
        <v>852405.56097560981</v>
      </c>
    </row>
    <row r="5" spans="1:15">
      <c r="A5" s="403" t="s">
        <v>149</v>
      </c>
      <c r="B5" s="445">
        <v>0</v>
      </c>
      <c r="C5" s="445">
        <f>C4*(1+$K$10)</f>
        <v>425249.04</v>
      </c>
      <c r="D5" s="445">
        <f t="shared" ref="D5:G5" si="0">D4*(1+$K$10)</f>
        <v>507121.7</v>
      </c>
      <c r="E5" s="445">
        <f t="shared" si="0"/>
        <v>681253.85</v>
      </c>
      <c r="F5" s="445">
        <f t="shared" si="0"/>
        <v>845610.15999999992</v>
      </c>
      <c r="G5" s="445">
        <f t="shared" si="0"/>
        <v>1048458.8400000001</v>
      </c>
    </row>
    <row r="6" spans="1:15">
      <c r="A6" s="403" t="s">
        <v>150</v>
      </c>
      <c r="B6" s="445">
        <v>0</v>
      </c>
      <c r="C6" s="445">
        <f>'Project cash flow'!E10</f>
        <v>181026.81599999999</v>
      </c>
      <c r="D6" s="445">
        <f>'Project cash flow'!F10</f>
        <v>215879.67999999999</v>
      </c>
      <c r="E6" s="445">
        <f>'Project cash flow'!G10</f>
        <v>290007.03999999998</v>
      </c>
      <c r="F6" s="445">
        <f>'Project cash flow'!H10</f>
        <v>359972.864</v>
      </c>
      <c r="G6" s="445">
        <f>'Project cash flow'!I10</f>
        <v>446324.73600000003</v>
      </c>
    </row>
    <row r="7" spans="1:15">
      <c r="A7" s="403" t="s">
        <v>151</v>
      </c>
      <c r="B7" s="445">
        <f>'Investment in WC budget'!D12</f>
        <v>45256.703999999998</v>
      </c>
      <c r="C7" s="445">
        <f>'Investment in WC budget'!E12</f>
        <v>53969.919999999998</v>
      </c>
      <c r="D7" s="445">
        <f>'Investment in WC budget'!F12</f>
        <v>72501.759999999995</v>
      </c>
      <c r="E7" s="445">
        <f>'Investment in WC budget'!G12</f>
        <v>89993.216</v>
      </c>
      <c r="F7" s="445">
        <f>'Investment in WC budget'!H12</f>
        <v>104558.592</v>
      </c>
      <c r="G7" s="445">
        <f>'Investment in WC budget'!I12</f>
        <v>120965.05607296</v>
      </c>
      <c r="I7" s="116"/>
    </row>
    <row r="8" spans="1:15">
      <c r="A8" s="403" t="s">
        <v>152</v>
      </c>
      <c r="B8" s="445">
        <v>0</v>
      </c>
      <c r="C8" s="445">
        <f>B7</f>
        <v>45256.703999999998</v>
      </c>
      <c r="D8" s="445">
        <f t="shared" ref="D8:G8" si="1">C7</f>
        <v>53969.919999999998</v>
      </c>
      <c r="E8" s="445">
        <f t="shared" si="1"/>
        <v>72501.759999999995</v>
      </c>
      <c r="F8" s="445">
        <f t="shared" si="1"/>
        <v>89993.216</v>
      </c>
      <c r="G8" s="445">
        <f t="shared" si="1"/>
        <v>104558.592</v>
      </c>
    </row>
    <row r="9" spans="1:15">
      <c r="A9" s="404" t="s">
        <v>153</v>
      </c>
      <c r="B9" s="451">
        <f>B6+B7-B8</f>
        <v>45256.703999999998</v>
      </c>
      <c r="C9" s="451">
        <f>C6+C7-C8</f>
        <v>189740.03199999998</v>
      </c>
      <c r="D9" s="451">
        <f t="shared" ref="D9:G9" si="2">D6+D7-D8</f>
        <v>234411.52000000002</v>
      </c>
      <c r="E9" s="451">
        <f t="shared" si="2"/>
        <v>307498.49599999998</v>
      </c>
      <c r="F9" s="451">
        <f t="shared" si="2"/>
        <v>374538.23999999999</v>
      </c>
      <c r="G9" s="451">
        <f t="shared" si="2"/>
        <v>462731.20007296005</v>
      </c>
      <c r="L9" s="74" t="s">
        <v>154</v>
      </c>
      <c r="M9" s="74" t="s">
        <v>551</v>
      </c>
      <c r="N9" t="s">
        <v>553</v>
      </c>
      <c r="O9" t="s">
        <v>554</v>
      </c>
    </row>
    <row r="10" spans="1:15">
      <c r="A10" s="404" t="s">
        <v>155</v>
      </c>
      <c r="B10" s="451">
        <f>B9*(1+K10)</f>
        <v>55665.745919999994</v>
      </c>
      <c r="C10" s="451">
        <f>C9*(1+23%)</f>
        <v>233380.23935999998</v>
      </c>
      <c r="D10" s="451">
        <f>D9*(1+23%)</f>
        <v>288326.16960000002</v>
      </c>
      <c r="E10" s="451">
        <f t="shared" ref="E10:G10" si="3">E9*(1+23%)</f>
        <v>378223.15007999999</v>
      </c>
      <c r="F10" s="451">
        <f t="shared" si="3"/>
        <v>460682.03519999998</v>
      </c>
      <c r="G10" s="451">
        <f t="shared" si="3"/>
        <v>569159.37608974089</v>
      </c>
      <c r="J10" s="74" t="s">
        <v>156</v>
      </c>
      <c r="K10" s="126">
        <v>0.23</v>
      </c>
      <c r="L10" s="121">
        <v>0.23</v>
      </c>
      <c r="M10" s="121">
        <v>0.06</v>
      </c>
      <c r="N10" s="125">
        <v>0.13</v>
      </c>
      <c r="O10" s="448">
        <v>0</v>
      </c>
    </row>
    <row r="11" spans="1:15">
      <c r="A11" s="404" t="s">
        <v>555</v>
      </c>
      <c r="B11" s="451">
        <f>SUM(B12:B16)</f>
        <v>312</v>
      </c>
      <c r="C11" s="451">
        <f>SUM(C12:C16)</f>
        <v>66724.97</v>
      </c>
      <c r="D11" s="451">
        <f>SUM(D12:D16)</f>
        <v>49053</v>
      </c>
      <c r="E11" s="451">
        <f t="shared" ref="E11:G11" si="4">SUM(E12:E16)</f>
        <v>49165.5</v>
      </c>
      <c r="F11" s="451">
        <f t="shared" si="4"/>
        <v>49538</v>
      </c>
      <c r="G11" s="451">
        <f t="shared" si="4"/>
        <v>50098</v>
      </c>
      <c r="J11" s="74" t="s">
        <v>157</v>
      </c>
      <c r="K11" s="127">
        <v>2</v>
      </c>
      <c r="L11" s="136"/>
    </row>
    <row r="12" spans="1:15">
      <c r="A12" s="403" t="str">
        <f>'Costs without VAT'!A32</f>
        <v>Transportation costs</v>
      </c>
      <c r="B12" s="445">
        <f>'Costs without VAT'!B32</f>
        <v>0</v>
      </c>
      <c r="C12" s="445">
        <f>'Costs without VAT'!C32</f>
        <v>25980</v>
      </c>
      <c r="D12" s="445">
        <f>'Costs without VAT'!D32</f>
        <v>25980</v>
      </c>
      <c r="E12" s="445">
        <f>'Costs without VAT'!E32</f>
        <v>25980</v>
      </c>
      <c r="F12" s="445">
        <f>'Costs without VAT'!F32</f>
        <v>25980</v>
      </c>
      <c r="G12" s="445">
        <f>'Costs without VAT'!G32</f>
        <v>25980</v>
      </c>
      <c r="J12" s="10"/>
      <c r="K12" s="10"/>
      <c r="L12" s="10"/>
    </row>
    <row r="13" spans="1:15">
      <c r="A13" s="403" t="str">
        <f>'Costs without VAT'!A33</f>
        <v>Marketing Expenses</v>
      </c>
      <c r="B13" s="445">
        <f>'Costs without VAT'!B33</f>
        <v>0</v>
      </c>
      <c r="C13" s="445">
        <f>'Costs without VAT'!C33</f>
        <v>35056.97</v>
      </c>
      <c r="D13" s="445">
        <f>'Costs without VAT'!D33</f>
        <v>17950</v>
      </c>
      <c r="E13" s="445">
        <f>'Costs without VAT'!E33</f>
        <v>17950</v>
      </c>
      <c r="F13" s="445">
        <f>'Costs without VAT'!F33</f>
        <v>17950</v>
      </c>
      <c r="G13" s="445">
        <f>'Costs without VAT'!G33</f>
        <v>17950</v>
      </c>
      <c r="J13" s="10"/>
      <c r="K13" s="10"/>
      <c r="L13" s="10"/>
    </row>
    <row r="14" spans="1:15">
      <c r="A14" s="403" t="str">
        <f>'Costs without VAT'!A34</f>
        <v>Office supplies</v>
      </c>
      <c r="B14" s="445">
        <f>'Costs without VAT'!B34</f>
        <v>0</v>
      </c>
      <c r="C14" s="445">
        <f>'Costs without VAT'!C34</f>
        <v>1740</v>
      </c>
      <c r="D14" s="445">
        <f>'Costs without VAT'!D34</f>
        <v>2075</v>
      </c>
      <c r="E14" s="445">
        <f>'Costs without VAT'!E34</f>
        <v>2787.5</v>
      </c>
      <c r="F14" s="445">
        <f>'Costs without VAT'!F34</f>
        <v>3460</v>
      </c>
      <c r="G14" s="445">
        <f>'Costs without VAT'!G34</f>
        <v>4020</v>
      </c>
      <c r="J14" s="10"/>
      <c r="K14" s="10"/>
      <c r="L14" s="10"/>
    </row>
    <row r="15" spans="1:15">
      <c r="A15" s="403" t="str">
        <f>'Costs without VAT'!A15</f>
        <v>Marketing (paid promotion)</v>
      </c>
      <c r="B15" s="445">
        <f>'Costs without VAT'!B15</f>
        <v>0</v>
      </c>
      <c r="C15" s="445">
        <f>'Costs without VAT'!C15</f>
        <v>2700</v>
      </c>
      <c r="D15" s="445">
        <f>'Costs without VAT'!D15</f>
        <v>1800</v>
      </c>
      <c r="E15" s="445">
        <f>'Costs without VAT'!E15</f>
        <v>1200</v>
      </c>
      <c r="F15" s="445">
        <f>'Costs without VAT'!F15</f>
        <v>900</v>
      </c>
      <c r="G15" s="445">
        <f>'Costs without VAT'!G15</f>
        <v>900</v>
      </c>
      <c r="J15" s="10"/>
      <c r="K15" s="10"/>
      <c r="L15" s="10"/>
    </row>
    <row r="16" spans="1:15">
      <c r="A16" s="403" t="s">
        <v>558</v>
      </c>
      <c r="B16" s="445">
        <f>'Costs without VAT'!B19/2.5</f>
        <v>312</v>
      </c>
      <c r="C16" s="445">
        <f>'Costs without VAT'!C19/2.5</f>
        <v>1248</v>
      </c>
      <c r="D16" s="445">
        <f>'Costs without VAT'!D19/2.5</f>
        <v>1248</v>
      </c>
      <c r="E16" s="445">
        <f>'Costs without VAT'!E19/2.5</f>
        <v>1248</v>
      </c>
      <c r="F16" s="445">
        <f>'Costs without VAT'!F19/2.5</f>
        <v>1248</v>
      </c>
      <c r="G16" s="445">
        <f>'Costs without VAT'!G19/2.5</f>
        <v>1248</v>
      </c>
      <c r="J16" s="10"/>
      <c r="K16" s="10"/>
      <c r="L16" s="10"/>
    </row>
    <row r="17" spans="1:12">
      <c r="A17" s="404" t="s">
        <v>556</v>
      </c>
      <c r="B17" s="451">
        <f>B11*(1+23%)</f>
        <v>383.76</v>
      </c>
      <c r="C17" s="451">
        <f>C11*(1+23%)</f>
        <v>82071.713099999994</v>
      </c>
      <c r="D17" s="451">
        <f t="shared" ref="D17:G17" si="5">D11*(1+23%)</f>
        <v>60335.19</v>
      </c>
      <c r="E17" s="451">
        <f t="shared" si="5"/>
        <v>60473.565000000002</v>
      </c>
      <c r="F17" s="451">
        <f t="shared" si="5"/>
        <v>60931.74</v>
      </c>
      <c r="G17" s="451">
        <f t="shared" si="5"/>
        <v>61620.54</v>
      </c>
      <c r="J17" s="10"/>
      <c r="K17" s="10"/>
      <c r="L17" s="10"/>
    </row>
    <row r="18" spans="1:12">
      <c r="A18" s="404" t="s">
        <v>559</v>
      </c>
      <c r="B18" s="451">
        <f>SUM(B19:B21)</f>
        <v>2000</v>
      </c>
      <c r="C18" s="451">
        <f t="shared" ref="C18:G18" si="6">SUM(C19:C21)</f>
        <v>13200</v>
      </c>
      <c r="D18" s="451">
        <f t="shared" si="6"/>
        <v>13200</v>
      </c>
      <c r="E18" s="451">
        <f t="shared" si="6"/>
        <v>13200</v>
      </c>
      <c r="F18" s="451">
        <f t="shared" si="6"/>
        <v>13200</v>
      </c>
      <c r="G18" s="451">
        <f t="shared" si="6"/>
        <v>13200</v>
      </c>
      <c r="J18" s="10"/>
      <c r="K18" s="10"/>
      <c r="L18" s="10"/>
    </row>
    <row r="19" spans="1:12">
      <c r="A19" s="403" t="str">
        <f>'Costs without VAT'!A20</f>
        <v>Maintenance (IT, cleaning..)</v>
      </c>
      <c r="B19" s="449">
        <f>'Costs without VAT'!B20</f>
        <v>0</v>
      </c>
      <c r="C19" s="449">
        <f>'Costs without VAT'!C20</f>
        <v>7200</v>
      </c>
      <c r="D19" s="449">
        <f>'Costs without VAT'!D20</f>
        <v>7200</v>
      </c>
      <c r="E19" s="449">
        <f>'Costs without VAT'!E20</f>
        <v>7200</v>
      </c>
      <c r="F19" s="449">
        <f>'Costs without VAT'!F20</f>
        <v>7200</v>
      </c>
      <c r="G19" s="449">
        <f>'Costs without VAT'!G20</f>
        <v>7200</v>
      </c>
      <c r="J19" s="10"/>
      <c r="K19" s="10"/>
      <c r="L19" s="10"/>
    </row>
    <row r="20" spans="1:12">
      <c r="A20" s="403" t="str">
        <f>'Costs without VAT'!A21</f>
        <v>Accounting expenses</v>
      </c>
      <c r="B20" s="449">
        <f>'Costs without VAT'!B21</f>
        <v>0</v>
      </c>
      <c r="C20" s="449">
        <f>'Costs without VAT'!C21</f>
        <v>6000</v>
      </c>
      <c r="D20" s="449">
        <f>'Costs without VAT'!D21</f>
        <v>6000</v>
      </c>
      <c r="E20" s="449">
        <f>'Costs without VAT'!E21</f>
        <v>6000</v>
      </c>
      <c r="F20" s="449">
        <f>'Costs without VAT'!F21</f>
        <v>6000</v>
      </c>
      <c r="G20" s="449">
        <f>'Costs without VAT'!G21</f>
        <v>6000</v>
      </c>
      <c r="J20" s="10"/>
      <c r="K20" s="10"/>
      <c r="L20" s="10"/>
    </row>
    <row r="21" spans="1:12">
      <c r="A21" s="403" t="str">
        <f>'Investment budget'!A10</f>
        <v>Legal fees (company incorporation, lawyer)</v>
      </c>
      <c r="B21" s="450">
        <f>'Investment budget'!B10</f>
        <v>2000</v>
      </c>
      <c r="C21" s="449"/>
      <c r="D21" s="449"/>
      <c r="E21" s="449"/>
      <c r="F21" s="449"/>
      <c r="G21" s="449"/>
      <c r="J21" s="10"/>
      <c r="K21" s="10"/>
      <c r="L21" s="10"/>
    </row>
    <row r="22" spans="1:12">
      <c r="A22" s="404" t="s">
        <v>557</v>
      </c>
      <c r="B22" s="451">
        <f>SUM(B18:B21)*(1+$N$10)</f>
        <v>4520</v>
      </c>
      <c r="C22" s="451">
        <f>C18*(1+$N$10)</f>
        <v>14915.999999999998</v>
      </c>
      <c r="D22" s="451">
        <f t="shared" ref="D22:G22" si="7">D18*(1+$N$10)</f>
        <v>14915.999999999998</v>
      </c>
      <c r="E22" s="451">
        <f t="shared" si="7"/>
        <v>14915.999999999998</v>
      </c>
      <c r="F22" s="451">
        <f t="shared" si="7"/>
        <v>14915.999999999998</v>
      </c>
      <c r="G22" s="451">
        <f t="shared" si="7"/>
        <v>14915.999999999998</v>
      </c>
      <c r="J22" s="10"/>
      <c r="K22" s="10"/>
      <c r="L22" s="10"/>
    </row>
    <row r="23" spans="1:12">
      <c r="A23" s="404" t="s">
        <v>561</v>
      </c>
      <c r="B23" s="451">
        <f>'Costs without VAT'!B19-B16</f>
        <v>468</v>
      </c>
      <c r="C23" s="451">
        <f>'Costs without VAT'!C19-C16</f>
        <v>1872</v>
      </c>
      <c r="D23" s="451">
        <f>'Costs without VAT'!D19-D16</f>
        <v>1872</v>
      </c>
      <c r="E23" s="451">
        <f>'Costs without VAT'!E19-E16</f>
        <v>1872</v>
      </c>
      <c r="F23" s="451">
        <f>'Costs without VAT'!F19-F16</f>
        <v>1872</v>
      </c>
      <c r="G23" s="451">
        <f>'Costs without VAT'!G19-G16</f>
        <v>1872</v>
      </c>
      <c r="J23" s="10"/>
      <c r="K23" s="10"/>
      <c r="L23" s="10"/>
    </row>
    <row r="24" spans="1:12">
      <c r="A24" s="404" t="s">
        <v>560</v>
      </c>
      <c r="B24" s="451">
        <f>B23*$M$10</f>
        <v>28.08</v>
      </c>
      <c r="C24" s="451">
        <f t="shared" ref="C24:G24" si="8">C23*$M$10</f>
        <v>112.32</v>
      </c>
      <c r="D24" s="451">
        <f t="shared" si="8"/>
        <v>112.32</v>
      </c>
      <c r="E24" s="451">
        <f t="shared" si="8"/>
        <v>112.32</v>
      </c>
      <c r="F24" s="451">
        <f t="shared" si="8"/>
        <v>112.32</v>
      </c>
      <c r="G24" s="451">
        <f t="shared" si="8"/>
        <v>112.32</v>
      </c>
      <c r="J24" s="10"/>
      <c r="K24" s="10"/>
      <c r="L24" s="10"/>
    </row>
    <row r="25" spans="1:12">
      <c r="A25" s="404" t="s">
        <v>158</v>
      </c>
      <c r="B25" s="452">
        <f t="shared" ref="B25:G25" si="9">B9+B11+B18+B23</f>
        <v>48036.703999999998</v>
      </c>
      <c r="C25" s="452">
        <f t="shared" si="9"/>
        <v>271537.00199999998</v>
      </c>
      <c r="D25" s="452">
        <f t="shared" si="9"/>
        <v>298536.52</v>
      </c>
      <c r="E25" s="452">
        <f t="shared" si="9"/>
        <v>371735.99599999998</v>
      </c>
      <c r="F25" s="452">
        <f t="shared" si="9"/>
        <v>439148.24</v>
      </c>
      <c r="G25" s="452">
        <f t="shared" si="9"/>
        <v>527901.20007296</v>
      </c>
      <c r="I25" s="117"/>
    </row>
    <row r="26" spans="1:12" s="109" customFormat="1">
      <c r="A26" s="404" t="s">
        <v>159</v>
      </c>
      <c r="B26" s="452">
        <f t="shared" ref="B26:G26" si="10">B10+B17+B22+B24</f>
        <v>60597.585919999998</v>
      </c>
      <c r="C26" s="452">
        <f t="shared" si="10"/>
        <v>330480.27245999995</v>
      </c>
      <c r="D26" s="452">
        <f t="shared" si="10"/>
        <v>363689.67960000003</v>
      </c>
      <c r="E26" s="452">
        <f t="shared" si="10"/>
        <v>453725.03508</v>
      </c>
      <c r="F26" s="452">
        <f t="shared" si="10"/>
        <v>536642.09519999987</v>
      </c>
      <c r="G26" s="452">
        <f t="shared" si="10"/>
        <v>645808.23608974088</v>
      </c>
    </row>
    <row r="27" spans="1:12">
      <c r="A27" s="403" t="s">
        <v>160</v>
      </c>
      <c r="B27" s="445">
        <f>'Investment budget'!B12-'Investment budget'!B11-'Investment budget'!B10-'Investment budget'!B9</f>
        <v>8629</v>
      </c>
      <c r="C27" s="445">
        <v>0</v>
      </c>
      <c r="D27" s="445">
        <v>0</v>
      </c>
      <c r="E27" s="445">
        <f>'Investment budget'!B19</f>
        <v>5439</v>
      </c>
      <c r="F27" s="445">
        <v>0</v>
      </c>
      <c r="G27" s="445">
        <v>0</v>
      </c>
    </row>
    <row r="28" spans="1:12">
      <c r="A28" s="403" t="s">
        <v>161</v>
      </c>
      <c r="B28" s="445">
        <f>B27*(1+23%)</f>
        <v>10613.67</v>
      </c>
      <c r="C28" s="445">
        <v>0</v>
      </c>
      <c r="D28" s="445">
        <v>0</v>
      </c>
      <c r="E28" s="445">
        <f>'Investment budget'!B19*(1+23%)</f>
        <v>6689.97</v>
      </c>
      <c r="F28" s="445">
        <v>0</v>
      </c>
      <c r="G28" s="445">
        <v>0</v>
      </c>
      <c r="I28" s="116"/>
      <c r="J28" s="116"/>
    </row>
    <row r="29" spans="1:12">
      <c r="A29" s="404" t="s">
        <v>162</v>
      </c>
      <c r="B29" s="452">
        <f>B25+B27</f>
        <v>56665.703999999998</v>
      </c>
      <c r="C29" s="452">
        <f t="shared" ref="C29:G29" si="11">C25+C27</f>
        <v>271537.00199999998</v>
      </c>
      <c r="D29" s="452">
        <f t="shared" si="11"/>
        <v>298536.52</v>
      </c>
      <c r="E29" s="452">
        <f>E25+E27</f>
        <v>377174.99599999998</v>
      </c>
      <c r="F29" s="452">
        <f t="shared" si="11"/>
        <v>439148.24</v>
      </c>
      <c r="G29" s="452">
        <f t="shared" si="11"/>
        <v>527901.20007296</v>
      </c>
    </row>
    <row r="30" spans="1:12">
      <c r="A30" s="404" t="s">
        <v>163</v>
      </c>
      <c r="B30" s="452">
        <f>B26+B28</f>
        <v>71211.255919999996</v>
      </c>
      <c r="C30" s="452">
        <f t="shared" ref="C30:G30" si="12">C26+C28</f>
        <v>330480.27245999995</v>
      </c>
      <c r="D30" s="452">
        <f t="shared" si="12"/>
        <v>363689.67960000003</v>
      </c>
      <c r="E30" s="452">
        <f>E26+E28</f>
        <v>460415.00507999997</v>
      </c>
      <c r="F30" s="452">
        <f t="shared" si="12"/>
        <v>536642.09519999987</v>
      </c>
      <c r="G30" s="452">
        <f t="shared" si="12"/>
        <v>645808.23608974088</v>
      </c>
    </row>
    <row r="31" spans="1:12">
      <c r="A31" s="106"/>
      <c r="B31" s="107"/>
      <c r="C31" s="107"/>
    </row>
    <row r="32" spans="1:12">
      <c r="A32" s="105" t="s">
        <v>164</v>
      </c>
      <c r="B32" s="107"/>
      <c r="C32" s="107"/>
    </row>
    <row r="33" spans="1:10">
      <c r="A33" s="402" t="s">
        <v>165</v>
      </c>
      <c r="B33" s="118">
        <f t="shared" ref="B33:G33" si="13">B5-B4</f>
        <v>0</v>
      </c>
      <c r="C33" s="119">
        <f t="shared" si="13"/>
        <v>79518.113170731696</v>
      </c>
      <c r="D33" s="119">
        <f t="shared" si="13"/>
        <v>94827.634959349583</v>
      </c>
      <c r="E33" s="119">
        <f t="shared" si="13"/>
        <v>127388.93130081298</v>
      </c>
      <c r="F33" s="119">
        <f t="shared" si="13"/>
        <v>158122.22504065034</v>
      </c>
      <c r="G33" s="119">
        <f t="shared" si="13"/>
        <v>196053.27902439027</v>
      </c>
    </row>
    <row r="34" spans="1:10">
      <c r="A34" s="403" t="s">
        <v>166</v>
      </c>
      <c r="B34" s="115">
        <f>B30-B29</f>
        <v>14545.551919999998</v>
      </c>
      <c r="C34" s="115">
        <f t="shared" ref="C34:G34" si="14">C30-C29</f>
        <v>58943.270459999971</v>
      </c>
      <c r="D34" s="115">
        <f t="shared" si="14"/>
        <v>65153.159600000014</v>
      </c>
      <c r="E34" s="115">
        <f>E30-E29</f>
        <v>83240.009079999989</v>
      </c>
      <c r="F34" s="115">
        <f t="shared" si="14"/>
        <v>97493.855199999874</v>
      </c>
      <c r="G34" s="115">
        <f t="shared" si="14"/>
        <v>117907.03601678088</v>
      </c>
      <c r="J34" s="10"/>
    </row>
    <row r="35" spans="1:10">
      <c r="A35" s="403" t="s">
        <v>167</v>
      </c>
      <c r="B35" s="115">
        <f>B33-B34</f>
        <v>-14545.551919999998</v>
      </c>
      <c r="C35" s="115">
        <f>C33-C34</f>
        <v>20574.842710731726</v>
      </c>
      <c r="D35" s="115">
        <f t="shared" ref="D35:G35" si="15">D33-D34</f>
        <v>29674.47535934957</v>
      </c>
      <c r="E35" s="115">
        <f>E33-E34</f>
        <v>44148.922220812994</v>
      </c>
      <c r="F35" s="115">
        <f t="shared" si="15"/>
        <v>60628.36984065047</v>
      </c>
      <c r="G35" s="115">
        <f t="shared" si="15"/>
        <v>78146.243007609388</v>
      </c>
    </row>
    <row r="36" spans="1:10">
      <c r="A36" s="403" t="s">
        <v>168</v>
      </c>
      <c r="B36" s="115">
        <f>B35</f>
        <v>-14545.551919999998</v>
      </c>
      <c r="C36" s="115">
        <f>B36+C35</f>
        <v>6029.2907907317276</v>
      </c>
      <c r="D36" s="115">
        <f>C39+D35</f>
        <v>30679.357157804858</v>
      </c>
      <c r="E36" s="115">
        <f t="shared" ref="E36:G36" si="16">D39+E35</f>
        <v>49262.148413780473</v>
      </c>
      <c r="F36" s="115">
        <f t="shared" si="16"/>
        <v>68838.727909613881</v>
      </c>
      <c r="G36" s="115">
        <f t="shared" si="16"/>
        <v>89619.36432587837</v>
      </c>
    </row>
    <row r="37" spans="1:10">
      <c r="A37" s="403" t="s">
        <v>169</v>
      </c>
      <c r="B37" s="453">
        <f>-B36</f>
        <v>14545.551919999998</v>
      </c>
      <c r="C37" s="453">
        <v>0</v>
      </c>
      <c r="D37" s="453">
        <v>0</v>
      </c>
      <c r="E37" s="453">
        <v>0</v>
      </c>
      <c r="F37" s="453">
        <v>0</v>
      </c>
      <c r="G37" s="453">
        <v>0</v>
      </c>
    </row>
    <row r="38" spans="1:10">
      <c r="A38" s="403" t="s">
        <v>170</v>
      </c>
      <c r="B38" s="115">
        <v>0</v>
      </c>
      <c r="C38" s="115">
        <f>C36</f>
        <v>6029.2907907317276</v>
      </c>
      <c r="D38" s="115">
        <f>D36</f>
        <v>30679.357157804858</v>
      </c>
      <c r="E38" s="115">
        <f>E36</f>
        <v>49262.148413780473</v>
      </c>
      <c r="F38" s="115">
        <f t="shared" ref="F38:G38" si="17">F36</f>
        <v>68838.727909613881</v>
      </c>
      <c r="G38" s="115">
        <f t="shared" si="17"/>
        <v>89619.36432587837</v>
      </c>
    </row>
    <row r="39" spans="1:10">
      <c r="A39" s="403" t="s">
        <v>171</v>
      </c>
      <c r="B39" s="453">
        <v>0</v>
      </c>
      <c r="C39" s="453">
        <f>C38/12*$K$11</f>
        <v>1004.8817984552879</v>
      </c>
      <c r="D39" s="453">
        <f>D38/12*$K$11</f>
        <v>5113.226192967476</v>
      </c>
      <c r="E39" s="453">
        <f>E38/12*$K$11</f>
        <v>8210.3580689634127</v>
      </c>
      <c r="F39" s="453">
        <f>F38/12*$K$11</f>
        <v>11473.121318268981</v>
      </c>
      <c r="G39" s="453">
        <f>G38/12*$K$11</f>
        <v>14936.560720979729</v>
      </c>
    </row>
    <row r="42" spans="1:10">
      <c r="A42" s="108"/>
      <c r="B42" s="109"/>
      <c r="C42" s="109"/>
      <c r="D42" s="109"/>
    </row>
    <row r="43" spans="1:10">
      <c r="A43" s="109"/>
      <c r="B43" s="110"/>
      <c r="C43" s="110"/>
      <c r="D43" s="110"/>
    </row>
    <row r="44" spans="1:10">
      <c r="A44" s="109"/>
      <c r="B44" s="111"/>
      <c r="C44" s="111"/>
      <c r="D44" s="111"/>
    </row>
    <row r="45" spans="1:10">
      <c r="A45" s="109"/>
      <c r="B45" s="111"/>
      <c r="C45" s="111"/>
      <c r="D45" s="111"/>
    </row>
    <row r="46" spans="1:10">
      <c r="A46" s="109"/>
      <c r="B46" s="112"/>
      <c r="C46" s="112"/>
      <c r="D46" s="112"/>
    </row>
    <row r="47" spans="1:10">
      <c r="A47" s="109"/>
      <c r="B47" s="112"/>
      <c r="C47" s="112"/>
      <c r="D47" s="112"/>
    </row>
    <row r="48" spans="1:10">
      <c r="A48" s="109"/>
      <c r="B48" s="112"/>
      <c r="C48" s="112"/>
      <c r="D48" s="112"/>
    </row>
    <row r="49" spans="1:4">
      <c r="A49" s="109"/>
      <c r="B49" s="112"/>
      <c r="C49" s="112"/>
      <c r="D49" s="112"/>
    </row>
    <row r="50" spans="1:4">
      <c r="A50" s="109"/>
      <c r="B50" s="112"/>
      <c r="C50" s="112"/>
      <c r="D50" s="112"/>
    </row>
    <row r="51" spans="1:4">
      <c r="A51" s="109"/>
      <c r="B51" s="112"/>
      <c r="C51" s="112"/>
      <c r="D51" s="112"/>
    </row>
    <row r="52" spans="1:4">
      <c r="A52" s="109"/>
      <c r="B52" s="112"/>
      <c r="C52" s="112"/>
      <c r="D52" s="112"/>
    </row>
    <row r="53" spans="1:4">
      <c r="A53" s="113"/>
      <c r="B53" s="114"/>
      <c r="C53" s="114"/>
      <c r="D53" s="114"/>
    </row>
    <row r="54" spans="1:4">
      <c r="A54" s="113"/>
      <c r="B54" s="114"/>
      <c r="C54" s="114"/>
      <c r="D54" s="114"/>
    </row>
    <row r="55" spans="1:4">
      <c r="A55" s="109"/>
      <c r="B55" s="112"/>
      <c r="C55" s="112"/>
      <c r="D55" s="112"/>
    </row>
    <row r="56" spans="1:4">
      <c r="A56" s="109"/>
      <c r="B56" s="112"/>
      <c r="C56" s="112"/>
      <c r="D56" s="112"/>
    </row>
    <row r="57" spans="1:4">
      <c r="A57" s="109"/>
      <c r="B57" s="112"/>
      <c r="C57" s="112"/>
      <c r="D57" s="112"/>
    </row>
    <row r="58" spans="1:4">
      <c r="A58" s="109"/>
      <c r="B58" s="112"/>
      <c r="C58" s="112"/>
      <c r="D58" s="112"/>
    </row>
    <row r="59" spans="1:4">
      <c r="A59" s="109"/>
      <c r="B59" s="112"/>
      <c r="C59" s="112"/>
      <c r="D59" s="109"/>
    </row>
    <row r="60" spans="1:4">
      <c r="A60" s="108"/>
      <c r="B60" s="112"/>
      <c r="C60" s="112"/>
      <c r="D60" s="109"/>
    </row>
    <row r="61" spans="1:4">
      <c r="A61" s="109"/>
      <c r="B61" s="112"/>
      <c r="C61" s="112"/>
      <c r="D61" s="112"/>
    </row>
    <row r="62" spans="1:4">
      <c r="A62" s="109"/>
      <c r="B62" s="112"/>
      <c r="C62" s="112"/>
      <c r="D62" s="112"/>
    </row>
    <row r="63" spans="1:4">
      <c r="A63" s="109"/>
      <c r="B63" s="112"/>
      <c r="C63" s="112"/>
      <c r="D63" s="112"/>
    </row>
    <row r="64" spans="1:4">
      <c r="A64" s="109"/>
      <c r="B64" s="112"/>
      <c r="C64" s="112"/>
      <c r="D64" s="112"/>
    </row>
    <row r="65" spans="1:4">
      <c r="A65" s="109"/>
      <c r="B65" s="112"/>
      <c r="C65" s="112"/>
      <c r="D65" s="112"/>
    </row>
    <row r="66" spans="1:4">
      <c r="A66" s="109"/>
      <c r="B66" s="112"/>
      <c r="C66" s="112"/>
      <c r="D66" s="112"/>
    </row>
    <row r="67" spans="1:4">
      <c r="A67" s="109"/>
      <c r="B67" s="112"/>
      <c r="C67" s="112"/>
      <c r="D67" s="112"/>
    </row>
    <row r="68" spans="1:4">
      <c r="A68" s="109"/>
      <c r="B68" s="112"/>
      <c r="C68" s="112"/>
      <c r="D68" s="112"/>
    </row>
    <row r="69" spans="1:4">
      <c r="A69" s="109"/>
      <c r="B69" s="112"/>
      <c r="C69" s="112"/>
      <c r="D69" s="112"/>
    </row>
    <row r="70" spans="1:4">
      <c r="A70" s="109"/>
      <c r="B70" s="112"/>
      <c r="C70" s="112"/>
      <c r="D70" s="112"/>
    </row>
    <row r="71" spans="1:4">
      <c r="A71" s="113"/>
      <c r="B71" s="114"/>
      <c r="C71" s="114"/>
      <c r="D71" s="114"/>
    </row>
    <row r="72" spans="1:4">
      <c r="A72" s="113"/>
      <c r="B72" s="114"/>
      <c r="C72" s="114"/>
      <c r="D72" s="114"/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05B-00E8-44CC-9F7F-B654886833BE}"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E801-B79E-4965-AD8A-094BE1FF3251}">
  <dimension ref="A1:F5"/>
  <sheetViews>
    <sheetView workbookViewId="0">
      <selection activeCell="B2" sqref="B2"/>
    </sheetView>
  </sheetViews>
  <sheetFormatPr baseColWidth="10" defaultColWidth="11" defaultRowHeight="16"/>
  <cols>
    <col min="1" max="1" width="19.1640625" bestFit="1" customWidth="1"/>
  </cols>
  <sheetData>
    <row r="1" spans="1:6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s="137" t="s">
        <v>291</v>
      </c>
      <c r="B2">
        <f>('Investment in WC budget'!E12+'Investment in WC budget'!E13)/('Investment in WC budget'!E16+'Investment in WC budget'!E17+'Investment in WC budget'!E18+'Investment in WC budget'!E19)</f>
        <v>1.6645819327404616</v>
      </c>
      <c r="C2">
        <f>('Investment in WC budget'!F12+'Investment in WC budget'!F13)/('Investment in WC budget'!F16+'Investment in WC budget'!F17+'Investment in WC budget'!F18+'Investment in WC budget'!F19)</f>
        <v>1.9564343910024331</v>
      </c>
      <c r="D2">
        <f>('Investment in WC budget'!G12+'Investment in WC budget'!G13)/('Investment in WC budget'!G16+'Investment in WC budget'!G17+'Investment in WC budget'!G18+'Investment in WC budget'!G19)</f>
        <v>1.2978077904111467</v>
      </c>
      <c r="E2">
        <f>('Investment in WC budget'!H12+'Investment in WC budget'!H13)/('Investment in WC budget'!H16+'Investment in WC budget'!H17+'Investment in WC budget'!H18+'Investment in WC budget'!H19)</f>
        <v>1.1546056289902644</v>
      </c>
      <c r="F2">
        <f>('Investment in WC budget'!I12+'Investment in WC budget'!I13)/('Investment in WC budget'!I16+'Investment in WC budget'!I17+'Investment in WC budget'!I18+'Investment in WC budget'!I19)</f>
        <v>1.0826897657382106</v>
      </c>
    </row>
    <row r="5" spans="1:6">
      <c r="A5" t="s">
        <v>251</v>
      </c>
      <c r="B5" t="e">
        <f>'Project cash flow'!H51/'Project cash flow'!H52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F84E-1E22-624B-898A-BE8BC7868886}">
  <dimension ref="B1:P42"/>
  <sheetViews>
    <sheetView topLeftCell="E1" zoomScale="118" workbookViewId="0">
      <selection activeCell="I26" sqref="I26"/>
    </sheetView>
  </sheetViews>
  <sheetFormatPr baseColWidth="10" defaultColWidth="11" defaultRowHeight="16"/>
  <cols>
    <col min="2" max="2" width="39.6640625" customWidth="1"/>
    <col min="3" max="5" width="10.83203125" style="134"/>
    <col min="6" max="6" width="16" style="134" customWidth="1"/>
    <col min="7" max="7" width="16.6640625" style="134" customWidth="1"/>
    <col min="9" max="9" width="33.83203125" customWidth="1"/>
    <col min="10" max="10" width="11.1640625" customWidth="1"/>
    <col min="13" max="13" width="12.6640625" bestFit="1" customWidth="1"/>
    <col min="14" max="15" width="13.6640625" bestFit="1" customWidth="1"/>
    <col min="16" max="16" width="17.1640625" customWidth="1"/>
  </cols>
  <sheetData>
    <row r="1" spans="2:16">
      <c r="F1" s="134" t="s">
        <v>292</v>
      </c>
      <c r="G1" s="152">
        <v>0.21</v>
      </c>
      <c r="I1" s="187" t="s">
        <v>293</v>
      </c>
      <c r="J1" s="188">
        <v>0</v>
      </c>
      <c r="K1" s="188">
        <v>1</v>
      </c>
      <c r="L1" s="188">
        <v>2</v>
      </c>
      <c r="M1" s="189">
        <v>3</v>
      </c>
      <c r="N1" s="189">
        <v>4</v>
      </c>
      <c r="O1" s="455">
        <v>5</v>
      </c>
      <c r="P1" s="385" t="s">
        <v>109</v>
      </c>
    </row>
    <row r="2" spans="2:16">
      <c r="G2" s="152"/>
      <c r="I2" s="199" t="s">
        <v>294</v>
      </c>
      <c r="J2" s="166"/>
      <c r="K2" s="186">
        <f>SUM(K3:K13)</f>
        <v>323353.00199999998</v>
      </c>
      <c r="L2" s="186">
        <f>SUM(L3:L13)</f>
        <v>370377.52</v>
      </c>
      <c r="M2" s="186">
        <f>SUM(M3:M13)</f>
        <v>444289.49599999998</v>
      </c>
      <c r="N2" s="186">
        <f>SUM(N3:N13)</f>
        <v>512374.24</v>
      </c>
      <c r="O2" s="456">
        <f>SUM(O3:O13)</f>
        <v>601687.20007296</v>
      </c>
      <c r="P2" s="463">
        <f>SUM(K2:O2)</f>
        <v>2252081.4580729599</v>
      </c>
    </row>
    <row r="3" spans="2:16">
      <c r="B3" s="131"/>
      <c r="C3" s="133"/>
      <c r="D3" s="133"/>
      <c r="E3" s="133"/>
      <c r="F3" s="133"/>
      <c r="G3" s="133"/>
      <c r="I3" s="197" t="s">
        <v>180</v>
      </c>
      <c r="J3" s="190"/>
      <c r="K3" s="191">
        <f>'Investment in WC budget'!E12-'Investment in WC budget'!D12</f>
        <v>8713.2160000000003</v>
      </c>
      <c r="L3" s="191">
        <f>'Investment in WC budget'!F12-'Investment in WC budget'!E12</f>
        <v>18531.839999999997</v>
      </c>
      <c r="M3" s="191">
        <f>'Investment in WC budget'!G12-'Investment in WC budget'!F12</f>
        <v>17491.456000000006</v>
      </c>
      <c r="N3" s="191">
        <f>'Investment in WC budget'!H12-'Investment in WC budget'!G12</f>
        <v>14565.376000000004</v>
      </c>
      <c r="O3" s="457">
        <f>'Investment in WC budget'!I12-'Investment in WC budget'!H12</f>
        <v>16406.464072959992</v>
      </c>
      <c r="P3" s="461">
        <f t="shared" ref="P3:P13" si="0">SUM(K3:O3)</f>
        <v>75708.352072959999</v>
      </c>
    </row>
    <row r="4" spans="2:16" ht="15" customHeight="1">
      <c r="B4" s="131"/>
      <c r="C4" s="138"/>
      <c r="D4" s="138"/>
      <c r="E4" s="138"/>
      <c r="F4" s="138"/>
      <c r="G4" s="138"/>
      <c r="I4" s="197" t="s">
        <v>150</v>
      </c>
      <c r="J4" s="190"/>
      <c r="K4" s="191">
        <f>'Project cash flow'!E10</f>
        <v>181026.81599999999</v>
      </c>
      <c r="L4" s="191">
        <f>'Project cash flow'!F10</f>
        <v>215879.67999999999</v>
      </c>
      <c r="M4" s="191">
        <f>'Project cash flow'!G10</f>
        <v>290007.03999999998</v>
      </c>
      <c r="N4" s="191">
        <f>'Project cash flow'!H10</f>
        <v>359972.864</v>
      </c>
      <c r="O4" s="457">
        <f>'Project cash flow'!I10</f>
        <v>446324.73600000003</v>
      </c>
      <c r="P4" s="461">
        <f t="shared" si="0"/>
        <v>1493211.1359999999</v>
      </c>
    </row>
    <row r="5" spans="2:16" ht="15" customHeight="1">
      <c r="B5" s="131"/>
      <c r="C5" s="138"/>
      <c r="D5" s="138"/>
      <c r="E5" s="138"/>
      <c r="F5" s="138"/>
      <c r="G5" s="138"/>
      <c r="I5" s="197" t="s">
        <v>78</v>
      </c>
      <c r="J5" s="192"/>
      <c r="K5" s="191">
        <f>'Costs without VAT'!C32</f>
        <v>25980</v>
      </c>
      <c r="L5" s="191">
        <f>'Project cash flow'!F12</f>
        <v>46005</v>
      </c>
      <c r="M5" s="191">
        <f>'Project cash flow'!G12</f>
        <v>46717.5</v>
      </c>
      <c r="N5" s="191">
        <f>'Project cash flow'!H12</f>
        <v>47390</v>
      </c>
      <c r="O5" s="457">
        <f>'Project cash flow'!I12</f>
        <v>47950</v>
      </c>
      <c r="P5" s="461">
        <f t="shared" si="0"/>
        <v>214042.5</v>
      </c>
    </row>
    <row r="6" spans="2:16" ht="15" customHeight="1">
      <c r="B6" s="131"/>
      <c r="C6" s="138"/>
      <c r="D6" s="138"/>
      <c r="E6" s="138"/>
      <c r="F6" s="138"/>
      <c r="G6" s="138"/>
      <c r="I6" s="197" t="s">
        <v>79</v>
      </c>
      <c r="J6" s="192"/>
      <c r="K6" s="191">
        <f>'Costs without VAT'!C33</f>
        <v>35056.97</v>
      </c>
      <c r="L6" s="191">
        <f>'Costs without VAT'!D33</f>
        <v>17950</v>
      </c>
      <c r="M6" s="191">
        <f>'Costs without VAT'!E33</f>
        <v>17950</v>
      </c>
      <c r="N6" s="191">
        <f>'Costs without VAT'!F33</f>
        <v>17950</v>
      </c>
      <c r="O6" s="457">
        <f>'Costs without VAT'!G33</f>
        <v>17950</v>
      </c>
      <c r="P6" s="461">
        <f t="shared" si="0"/>
        <v>106856.97</v>
      </c>
    </row>
    <row r="7" spans="2:16" ht="15" customHeight="1">
      <c r="B7" s="131"/>
      <c r="C7" s="138"/>
      <c r="D7" s="138"/>
      <c r="E7" s="138"/>
      <c r="F7" s="138"/>
      <c r="G7" s="138"/>
      <c r="I7" s="197" t="s">
        <v>83</v>
      </c>
      <c r="J7" s="192"/>
      <c r="K7" s="191">
        <f>'Costs without VAT'!C34</f>
        <v>1740</v>
      </c>
      <c r="L7" s="191">
        <f>'Costs without VAT'!D34</f>
        <v>2075</v>
      </c>
      <c r="M7" s="191">
        <f>'Costs without VAT'!E34</f>
        <v>2787.5</v>
      </c>
      <c r="N7" s="191">
        <f>'Costs without VAT'!F34</f>
        <v>3460</v>
      </c>
      <c r="O7" s="457">
        <f>'Costs without VAT'!G34</f>
        <v>4020</v>
      </c>
      <c r="P7" s="461">
        <f t="shared" si="0"/>
        <v>14082.5</v>
      </c>
    </row>
    <row r="8" spans="2:16" ht="15" customHeight="1">
      <c r="B8" s="131"/>
      <c r="C8" s="138"/>
      <c r="D8" s="138"/>
      <c r="E8" s="138"/>
      <c r="F8" s="138"/>
      <c r="G8" s="138"/>
      <c r="I8" s="454" t="s">
        <v>295</v>
      </c>
      <c r="J8" s="192"/>
      <c r="K8" s="193">
        <f>'Costs without VAT'!C20</f>
        <v>7200</v>
      </c>
      <c r="L8" s="193">
        <f>'Costs without VAT'!D20</f>
        <v>7200</v>
      </c>
      <c r="M8" s="193">
        <f>'Costs without VAT'!E20</f>
        <v>7200</v>
      </c>
      <c r="N8" s="193">
        <f>'Costs without VAT'!F20</f>
        <v>7200</v>
      </c>
      <c r="O8" s="458">
        <f>'Costs without VAT'!G20</f>
        <v>7200</v>
      </c>
      <c r="P8" s="461">
        <f t="shared" si="0"/>
        <v>36000</v>
      </c>
    </row>
    <row r="9" spans="2:16" ht="15" customHeight="1">
      <c r="B9" s="131"/>
      <c r="C9" s="138"/>
      <c r="D9" s="138"/>
      <c r="E9" s="138"/>
      <c r="F9" s="138"/>
      <c r="G9" s="138"/>
      <c r="I9" s="197" t="s">
        <v>49</v>
      </c>
      <c r="J9" s="191"/>
      <c r="K9" s="194">
        <f>'Costs without VAT'!C15</f>
        <v>2700</v>
      </c>
      <c r="L9" s="194">
        <f>'Costs without VAT'!D15</f>
        <v>1800</v>
      </c>
      <c r="M9" s="194">
        <f>'Costs without VAT'!E15</f>
        <v>1200</v>
      </c>
      <c r="N9" s="194">
        <f>'Costs without VAT'!F15</f>
        <v>900</v>
      </c>
      <c r="O9" s="459">
        <f>'Costs without VAT'!G15</f>
        <v>900</v>
      </c>
      <c r="P9" s="461">
        <f t="shared" si="0"/>
        <v>7500</v>
      </c>
    </row>
    <row r="10" spans="2:16" ht="15" customHeight="1">
      <c r="B10" s="131"/>
      <c r="C10" s="138"/>
      <c r="D10" s="138"/>
      <c r="E10" s="138"/>
      <c r="F10" s="138"/>
      <c r="G10" s="138"/>
      <c r="I10" s="197" t="s">
        <v>296</v>
      </c>
      <c r="J10" s="191">
        <f>'Costs without VAT'!B19</f>
        <v>780</v>
      </c>
      <c r="K10" s="193">
        <f>'Costs without VAT'!C19</f>
        <v>3120</v>
      </c>
      <c r="L10" s="193">
        <f>'Costs without VAT'!D19</f>
        <v>3120</v>
      </c>
      <c r="M10" s="193">
        <f>'Costs without VAT'!E19</f>
        <v>3120</v>
      </c>
      <c r="N10" s="193">
        <f>'Costs without VAT'!F19</f>
        <v>3120</v>
      </c>
      <c r="O10" s="458">
        <f>'Costs without VAT'!G19</f>
        <v>3120</v>
      </c>
      <c r="P10" s="461">
        <f t="shared" si="0"/>
        <v>15600</v>
      </c>
    </row>
    <row r="11" spans="2:16" ht="15" customHeight="1">
      <c r="B11" s="131"/>
      <c r="C11" s="138"/>
      <c r="D11" s="138"/>
      <c r="E11" s="138"/>
      <c r="F11" s="138"/>
      <c r="G11" s="138"/>
      <c r="I11" s="197" t="s">
        <v>55</v>
      </c>
      <c r="J11" s="191"/>
      <c r="K11" s="194">
        <f>'Costs without VAT'!C21</f>
        <v>6000</v>
      </c>
      <c r="L11" s="194">
        <f>'Costs without VAT'!D21</f>
        <v>6000</v>
      </c>
      <c r="M11" s="194">
        <f>'Costs without VAT'!E21</f>
        <v>6000</v>
      </c>
      <c r="N11" s="194">
        <f>'Costs without VAT'!F21</f>
        <v>6000</v>
      </c>
      <c r="O11" s="459">
        <f>'Costs without VAT'!G21</f>
        <v>6000</v>
      </c>
      <c r="P11" s="461">
        <f t="shared" si="0"/>
        <v>30000</v>
      </c>
    </row>
    <row r="12" spans="2:16" ht="15" customHeight="1">
      <c r="B12" s="131"/>
      <c r="C12" s="138"/>
      <c r="D12" s="138"/>
      <c r="E12" s="138"/>
      <c r="F12" s="138"/>
      <c r="G12" s="138"/>
      <c r="I12" s="197" t="s">
        <v>51</v>
      </c>
      <c r="J12" s="191">
        <f>'Costs without VAT'!B17</f>
        <v>11850</v>
      </c>
      <c r="K12" s="194">
        <f>'Costs without VAT'!C17</f>
        <v>47400</v>
      </c>
      <c r="L12" s="194">
        <f>'Costs without VAT'!D17</f>
        <v>47400</v>
      </c>
      <c r="M12" s="194">
        <f>'Costs without VAT'!E17</f>
        <v>47400</v>
      </c>
      <c r="N12" s="194">
        <f>'Costs without VAT'!F17</f>
        <v>47400</v>
      </c>
      <c r="O12" s="459">
        <f>'Costs without VAT'!G17</f>
        <v>47400</v>
      </c>
      <c r="P12" s="461">
        <f t="shared" si="0"/>
        <v>237000</v>
      </c>
    </row>
    <row r="13" spans="2:16" ht="15" customHeight="1">
      <c r="B13" s="131"/>
      <c r="C13" s="138"/>
      <c r="D13" s="138"/>
      <c r="E13" s="138"/>
      <c r="F13" s="138"/>
      <c r="G13" s="138"/>
      <c r="I13" s="197" t="s">
        <v>297</v>
      </c>
      <c r="J13" s="191"/>
      <c r="K13" s="194">
        <f>'Costs without VAT'!C18</f>
        <v>4416</v>
      </c>
      <c r="L13" s="194">
        <f>'Costs without VAT'!D18</f>
        <v>4416</v>
      </c>
      <c r="M13" s="194">
        <f>'Costs without VAT'!E18</f>
        <v>4416</v>
      </c>
      <c r="N13" s="194">
        <f>'Costs without VAT'!F18</f>
        <v>4416</v>
      </c>
      <c r="O13" s="459">
        <f>'Costs without VAT'!G18</f>
        <v>4416</v>
      </c>
      <c r="P13" s="461">
        <f t="shared" si="0"/>
        <v>22080</v>
      </c>
    </row>
    <row r="14" spans="2:16" ht="15" customHeight="1">
      <c r="B14" s="131"/>
      <c r="C14" s="138"/>
      <c r="D14" s="138"/>
      <c r="E14" s="138"/>
      <c r="F14" s="138"/>
      <c r="G14" s="138"/>
      <c r="I14" s="199" t="s">
        <v>298</v>
      </c>
      <c r="J14" s="192"/>
      <c r="K14" s="194"/>
      <c r="L14" s="194"/>
      <c r="M14" s="194"/>
      <c r="N14" s="194"/>
      <c r="O14" s="459"/>
      <c r="P14" s="461"/>
    </row>
    <row r="15" spans="2:16" ht="15" customHeight="1">
      <c r="B15" s="131"/>
      <c r="C15" s="133"/>
      <c r="D15" s="133"/>
      <c r="E15" s="133"/>
      <c r="F15" s="133"/>
      <c r="G15" s="133"/>
      <c r="I15" s="197" t="s">
        <v>299</v>
      </c>
      <c r="J15" s="190">
        <f>'Costs without VAT'!B14</f>
        <v>4225.4050000000007</v>
      </c>
      <c r="K15" s="194">
        <f>'Project cash flow'!E16</f>
        <v>90841.59</v>
      </c>
      <c r="L15" s="194">
        <f>'Project cash flow'!F16</f>
        <v>92478.915000000008</v>
      </c>
      <c r="M15" s="194">
        <f>'Project cash flow'!G16</f>
        <v>132796.24</v>
      </c>
      <c r="N15" s="194">
        <f>'Project cash flow'!H16</f>
        <v>133804.04749999999</v>
      </c>
      <c r="O15" s="459">
        <f>'Project cash flow'!I16</f>
        <v>133804.04749999999</v>
      </c>
      <c r="P15" s="462">
        <f>SUM(K15:O15)</f>
        <v>583724.84</v>
      </c>
    </row>
    <row r="16" spans="2:16" s="147" customFormat="1" ht="15" customHeight="1">
      <c r="B16" s="132"/>
      <c r="C16" s="198"/>
      <c r="D16" s="198"/>
      <c r="E16" s="198"/>
      <c r="F16" s="198"/>
      <c r="G16" s="198"/>
      <c r="I16" s="199" t="s">
        <v>300</v>
      </c>
      <c r="J16" s="190"/>
      <c r="K16" s="194">
        <f>Depreciation!G3</f>
        <v>2384.6666666666665</v>
      </c>
      <c r="L16" s="194">
        <f>Depreciation!H3</f>
        <v>2384.6666666666665</v>
      </c>
      <c r="M16" s="194">
        <f>Depreciation!I3</f>
        <v>3751.833333333333</v>
      </c>
      <c r="N16" s="194">
        <f>Depreciation!J3</f>
        <v>2002.1666666666665</v>
      </c>
      <c r="O16" s="459">
        <f>Depreciation!K3</f>
        <v>2002.1666666666665</v>
      </c>
      <c r="P16" s="462">
        <f>SUM(K16:O16)</f>
        <v>12525.499999999998</v>
      </c>
    </row>
    <row r="17" spans="2:16" ht="15" customHeight="1">
      <c r="B17" s="131"/>
      <c r="C17" s="133"/>
      <c r="D17" s="133"/>
      <c r="E17" s="133"/>
      <c r="F17" s="133"/>
      <c r="G17" s="133"/>
      <c r="I17" s="199" t="s">
        <v>301</v>
      </c>
      <c r="J17" s="193">
        <f>'Project cash flow'!D21</f>
        <v>1368.1383999999998</v>
      </c>
      <c r="K17" s="196">
        <f>'Project cash flow'!E21</f>
        <v>2423.75336625</v>
      </c>
      <c r="L17" s="196">
        <f>'Project cash flow'!F21</f>
        <v>2129.4478524999995</v>
      </c>
      <c r="M17" s="196">
        <f>'Project cash flow'!G21</f>
        <v>1649.1136324999986</v>
      </c>
      <c r="N17" s="196">
        <f>'Project cash flow'!H21</f>
        <v>1170.9045124999977</v>
      </c>
      <c r="O17" s="460">
        <f>'Project cash flow'!I21</f>
        <v>717.28809249999722</v>
      </c>
      <c r="P17" s="462">
        <f>SUM(K17:O17)</f>
        <v>8090.5074562499931</v>
      </c>
    </row>
    <row r="18" spans="2:16" ht="15" customHeight="1">
      <c r="B18" s="131"/>
      <c r="C18" s="138"/>
      <c r="D18" s="138"/>
      <c r="E18" s="138"/>
      <c r="F18" s="138"/>
      <c r="G18" s="138"/>
      <c r="I18" s="199" t="s">
        <v>302</v>
      </c>
      <c r="J18" s="195"/>
      <c r="K18" s="194">
        <f>'Income Statement (Predicted)'!K20</f>
        <v>0</v>
      </c>
      <c r="L18" s="194">
        <f>'Income Statement (Predicted)'!L20</f>
        <v>372.25617147448986</v>
      </c>
      <c r="M18" s="194">
        <f>'Income Statement (Predicted)'!M20</f>
        <v>5577.6835608639321</v>
      </c>
      <c r="N18" s="194">
        <f>'Income Statement (Predicted)'!N20</f>
        <v>19952.398863041166</v>
      </c>
      <c r="O18" s="459">
        <f>'Income Statement (Predicted)'!O20</f>
        <v>38020.002027615694</v>
      </c>
      <c r="P18" s="462">
        <f>SUM(K18:O18)</f>
        <v>63922.340622995282</v>
      </c>
    </row>
    <row r="19" spans="2:16" ht="15" customHeight="1">
      <c r="B19" s="131"/>
      <c r="C19" s="133"/>
      <c r="D19" s="133"/>
      <c r="E19" s="133"/>
      <c r="F19" s="133"/>
      <c r="G19" s="133"/>
    </row>
    <row r="20" spans="2:16" ht="15" customHeight="1">
      <c r="B20" s="131"/>
      <c r="C20" s="133"/>
      <c r="D20" s="133"/>
      <c r="E20" s="133"/>
      <c r="F20" s="133"/>
      <c r="G20" s="133"/>
    </row>
    <row r="21" spans="2:16" ht="15" customHeight="1">
      <c r="B21" s="131"/>
      <c r="C21" s="133"/>
      <c r="D21" s="133"/>
      <c r="E21" s="133"/>
      <c r="F21" s="133"/>
      <c r="G21" s="133"/>
    </row>
    <row r="22" spans="2:16" ht="15" customHeight="1">
      <c r="B22" s="131"/>
      <c r="C22" s="133"/>
      <c r="D22" s="133"/>
      <c r="E22" s="133"/>
      <c r="F22" s="133"/>
      <c r="G22" s="133"/>
    </row>
    <row r="23" spans="2:16" ht="15" customHeight="1">
      <c r="B23" s="132"/>
      <c r="C23" s="133"/>
      <c r="D23" s="133"/>
      <c r="E23" s="133"/>
      <c r="F23" s="133"/>
      <c r="G23" s="133"/>
    </row>
    <row r="24" spans="2:16" ht="15" customHeight="1">
      <c r="B24" s="131"/>
      <c r="C24" s="133"/>
      <c r="D24" s="133"/>
      <c r="E24" s="133"/>
      <c r="F24" s="133"/>
      <c r="G24" s="133"/>
    </row>
    <row r="25" spans="2:16" ht="15" customHeight="1">
      <c r="B25" s="131"/>
      <c r="C25" s="133"/>
      <c r="D25" s="133"/>
      <c r="E25" s="133"/>
      <c r="F25" s="133"/>
      <c r="G25" s="133"/>
    </row>
    <row r="26" spans="2:16" ht="15" customHeight="1">
      <c r="B26" s="131"/>
      <c r="C26" s="133"/>
      <c r="D26" s="133"/>
      <c r="E26" s="133"/>
      <c r="F26" s="133"/>
      <c r="G26" s="133"/>
    </row>
    <row r="27" spans="2:16" ht="15" customHeight="1">
      <c r="B27" s="131"/>
      <c r="C27" s="133"/>
      <c r="D27" s="133"/>
      <c r="E27" s="133"/>
      <c r="F27" s="133"/>
      <c r="G27" s="133"/>
    </row>
    <row r="28" spans="2:16" ht="15" customHeight="1">
      <c r="B28" s="132"/>
      <c r="C28" s="133"/>
      <c r="D28" s="133"/>
      <c r="E28" s="133"/>
      <c r="F28" s="133"/>
      <c r="G28" s="133"/>
    </row>
    <row r="29" spans="2:16" ht="15" customHeight="1">
      <c r="B29" s="131"/>
      <c r="C29" s="133"/>
      <c r="D29" s="133"/>
      <c r="E29" s="133"/>
      <c r="F29" s="133"/>
      <c r="G29" s="133"/>
    </row>
    <row r="30" spans="2:16" ht="15" customHeight="1">
      <c r="B30" s="131"/>
      <c r="C30" s="133"/>
      <c r="D30" s="133"/>
      <c r="E30" s="133"/>
      <c r="F30" s="133"/>
      <c r="G30" s="133"/>
    </row>
    <row r="31" spans="2:16" ht="15" customHeight="1">
      <c r="B31" s="131"/>
      <c r="C31" s="133"/>
      <c r="D31" s="133"/>
      <c r="E31" s="133"/>
      <c r="F31" s="133"/>
      <c r="G31" s="133"/>
    </row>
    <row r="32" spans="2:16" ht="15" customHeight="1">
      <c r="B32" s="132"/>
      <c r="C32" s="133"/>
      <c r="D32" s="133"/>
      <c r="E32" s="133"/>
      <c r="F32" s="133"/>
      <c r="G32" s="133"/>
    </row>
    <row r="33" spans="2:7">
      <c r="B33" s="131"/>
      <c r="C33" s="133"/>
      <c r="D33" s="133"/>
      <c r="E33" s="133"/>
      <c r="F33" s="133"/>
      <c r="G33" s="133"/>
    </row>
    <row r="34" spans="2:7">
      <c r="B34" s="131"/>
      <c r="C34" s="133"/>
      <c r="D34" s="133"/>
      <c r="E34" s="133"/>
      <c r="F34" s="133"/>
      <c r="G34" s="133"/>
    </row>
    <row r="35" spans="2:7">
      <c r="B35" s="131"/>
      <c r="C35" s="133"/>
      <c r="D35" s="133"/>
      <c r="E35" s="133"/>
      <c r="F35" s="133"/>
      <c r="G35" s="133"/>
    </row>
    <row r="36" spans="2:7">
      <c r="B36" s="131"/>
      <c r="C36" s="133"/>
      <c r="D36" s="133"/>
      <c r="E36" s="133"/>
      <c r="F36" s="133"/>
      <c r="G36" s="133"/>
    </row>
    <row r="37" spans="2:7">
      <c r="B37" s="131"/>
      <c r="C37" s="133"/>
      <c r="D37" s="133"/>
      <c r="E37" s="133"/>
      <c r="F37" s="133"/>
      <c r="G37" s="133"/>
    </row>
    <row r="38" spans="2:7">
      <c r="B38" s="131"/>
      <c r="C38" s="133"/>
      <c r="D38" s="133"/>
      <c r="E38" s="133"/>
      <c r="F38" s="133"/>
      <c r="G38" s="133"/>
    </row>
    <row r="39" spans="2:7">
      <c r="B39" s="131"/>
      <c r="C39" s="133"/>
      <c r="D39" s="133"/>
      <c r="E39" s="133"/>
      <c r="F39" s="133"/>
      <c r="G39" s="133"/>
    </row>
    <row r="40" spans="2:7">
      <c r="B40" s="131"/>
      <c r="C40" s="133"/>
      <c r="D40" s="133"/>
      <c r="E40" s="133"/>
      <c r="F40" s="133"/>
      <c r="G40" s="133"/>
    </row>
    <row r="41" spans="2:7">
      <c r="B41" s="131"/>
      <c r="C41" s="133"/>
      <c r="D41" s="133"/>
      <c r="E41" s="133"/>
      <c r="F41" s="133"/>
      <c r="G41" s="133"/>
    </row>
    <row r="42" spans="2:7">
      <c r="B42" s="131"/>
      <c r="C42" s="133"/>
      <c r="D42" s="133"/>
      <c r="E42" s="133"/>
      <c r="F42" s="133"/>
      <c r="G42" s="13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87C1-F446-4103-B5C5-F0D63EE5836A}">
  <dimension ref="B1:U46"/>
  <sheetViews>
    <sheetView topLeftCell="F1" zoomScale="118" workbookViewId="0">
      <selection activeCell="N20" sqref="N20"/>
    </sheetView>
  </sheetViews>
  <sheetFormatPr baseColWidth="10" defaultColWidth="11" defaultRowHeight="16"/>
  <cols>
    <col min="2" max="2" width="39.6640625" customWidth="1"/>
    <col min="3" max="5" width="10.83203125" style="134"/>
    <col min="6" max="6" width="16" style="134" customWidth="1"/>
    <col min="7" max="7" width="16.6640625" style="134" customWidth="1"/>
    <col min="9" max="9" width="35" customWidth="1"/>
    <col min="10" max="10" width="11.1640625" customWidth="1"/>
    <col min="11" max="11" width="12.33203125" customWidth="1"/>
    <col min="12" max="12" width="14" customWidth="1"/>
    <col min="13" max="13" width="12.6640625" bestFit="1" customWidth="1"/>
    <col min="14" max="15" width="13.6640625" bestFit="1" customWidth="1"/>
  </cols>
  <sheetData>
    <row r="1" spans="2:21">
      <c r="G1" s="152"/>
      <c r="I1" s="407" t="s">
        <v>533</v>
      </c>
      <c r="J1" s="405">
        <v>0</v>
      </c>
      <c r="K1" s="405">
        <v>1</v>
      </c>
      <c r="L1" s="405">
        <v>2</v>
      </c>
      <c r="M1" s="406">
        <v>3</v>
      </c>
      <c r="N1" s="406">
        <v>4</v>
      </c>
      <c r="O1" s="406">
        <v>5</v>
      </c>
    </row>
    <row r="2" spans="2:21">
      <c r="B2" s="131"/>
      <c r="C2" s="133"/>
      <c r="D2" s="133"/>
      <c r="E2" s="133"/>
      <c r="F2" s="133"/>
      <c r="G2" s="133"/>
      <c r="I2" s="408" t="s">
        <v>86</v>
      </c>
      <c r="J2" s="412"/>
      <c r="K2" s="413">
        <f>'Project cash flow'!E7</f>
        <v>345730.92682926828</v>
      </c>
      <c r="L2" s="412">
        <f>'Project cash flow'!F7</f>
        <v>412294.06504065043</v>
      </c>
      <c r="M2" s="412">
        <f>'Project cash flow'!G7</f>
        <v>553864.91869918699</v>
      </c>
      <c r="N2" s="412">
        <f>'Project cash flow'!H7</f>
        <v>687487.93495934957</v>
      </c>
      <c r="O2" s="412">
        <f>'Project cash flow'!I7</f>
        <v>852405.56097560981</v>
      </c>
      <c r="Q2" s="104"/>
    </row>
    <row r="3" spans="2:21">
      <c r="B3" s="131"/>
      <c r="C3" s="133"/>
      <c r="D3" s="133"/>
      <c r="E3" s="133"/>
      <c r="F3" s="133"/>
      <c r="G3" s="133"/>
      <c r="I3" s="408" t="s">
        <v>180</v>
      </c>
      <c r="J3" s="412"/>
      <c r="K3" s="413">
        <f>'Investment in WC budget'!E12-'Investment in WC budget'!D12</f>
        <v>8713.2160000000003</v>
      </c>
      <c r="L3" s="412">
        <f>'Investment in WC budget'!F12-'Investment in WC budget'!E12</f>
        <v>18531.839999999997</v>
      </c>
      <c r="M3" s="412">
        <f>'Investment in WC budget'!G12-'Investment in WC budget'!F12</f>
        <v>17491.456000000006</v>
      </c>
      <c r="N3" s="412">
        <f>'Investment in WC budget'!H12-'Investment in WC budget'!G12</f>
        <v>14565.376000000004</v>
      </c>
      <c r="O3" s="412">
        <f>'Investment in WC budget'!I12-'Investment in WC budget'!H12</f>
        <v>16406.464072959992</v>
      </c>
    </row>
    <row r="4" spans="2:21" ht="15" customHeight="1">
      <c r="B4" s="131"/>
      <c r="C4" s="138"/>
      <c r="D4" s="138"/>
      <c r="E4" s="138"/>
      <c r="F4" s="138"/>
      <c r="G4" s="138"/>
      <c r="I4" s="408" t="s">
        <v>150</v>
      </c>
      <c r="J4" s="412"/>
      <c r="K4" s="413">
        <f>'Project cash flow'!E10</f>
        <v>181026.81599999999</v>
      </c>
      <c r="L4" s="412">
        <f>'Project cash flow'!F10</f>
        <v>215879.67999999999</v>
      </c>
      <c r="M4" s="412">
        <f>'Project cash flow'!G10</f>
        <v>290007.03999999998</v>
      </c>
      <c r="N4" s="412">
        <f>'Project cash flow'!H10</f>
        <v>359972.864</v>
      </c>
      <c r="O4" s="412">
        <f>'Project cash flow'!I10</f>
        <v>446324.73600000003</v>
      </c>
    </row>
    <row r="5" spans="2:21" ht="15" customHeight="1">
      <c r="B5" s="131"/>
      <c r="C5" s="138"/>
      <c r="D5" s="138"/>
      <c r="E5" s="138"/>
      <c r="F5" s="138"/>
      <c r="G5" s="138"/>
      <c r="I5" s="409" t="s">
        <v>184</v>
      </c>
      <c r="J5" s="414"/>
      <c r="K5" s="413">
        <f>'Project cash flow'!E12</f>
        <v>62776.97</v>
      </c>
      <c r="L5" s="412">
        <f>'Project cash flow'!F12</f>
        <v>46005</v>
      </c>
      <c r="M5" s="412">
        <f>'Project cash flow'!G12</f>
        <v>46717.5</v>
      </c>
      <c r="N5" s="412">
        <f>'Project cash flow'!H12</f>
        <v>47390</v>
      </c>
      <c r="O5" s="412">
        <f>'Project cash flow'!I12</f>
        <v>47950</v>
      </c>
    </row>
    <row r="6" spans="2:21" ht="15" customHeight="1">
      <c r="B6" s="131"/>
      <c r="C6" s="133"/>
      <c r="D6" s="133"/>
      <c r="E6" s="133"/>
      <c r="F6" s="133"/>
      <c r="G6" s="133"/>
      <c r="I6" s="411" t="s">
        <v>304</v>
      </c>
      <c r="J6" s="415">
        <v>0</v>
      </c>
      <c r="K6" s="415">
        <f>K2+K3-K4-K5</f>
        <v>110640.3568292683</v>
      </c>
      <c r="L6" s="415">
        <f>L2+L3-L4-L5</f>
        <v>168941.2250406504</v>
      </c>
      <c r="M6" s="415">
        <f>M2+M3-M4-M5</f>
        <v>234631.83469918702</v>
      </c>
      <c r="N6" s="415">
        <f>N2+N3-N4-N5</f>
        <v>294690.44695934962</v>
      </c>
      <c r="O6" s="415">
        <f>O2+O3-O4-O5</f>
        <v>374537.28904856974</v>
      </c>
    </row>
    <row r="7" spans="2:21" ht="15" customHeight="1">
      <c r="B7" s="131"/>
      <c r="C7" s="133"/>
      <c r="D7" s="133"/>
      <c r="E7" s="133"/>
      <c r="F7" s="133"/>
      <c r="G7" s="133"/>
      <c r="I7" s="408" t="s">
        <v>188</v>
      </c>
      <c r="J7" s="412">
        <f>'Costs without VAT'!B14</f>
        <v>4225.4050000000007</v>
      </c>
      <c r="K7" s="412">
        <f>'Project cash flow'!E16</f>
        <v>90841.59</v>
      </c>
      <c r="L7" s="412">
        <f>'Project cash flow'!F16</f>
        <v>92478.915000000008</v>
      </c>
      <c r="M7" s="412">
        <f>'Project cash flow'!G16</f>
        <v>132796.24</v>
      </c>
      <c r="N7" s="412">
        <f>'Project cash flow'!H16</f>
        <v>133804.04749999999</v>
      </c>
      <c r="O7" s="412">
        <f>'Project cash flow'!I16</f>
        <v>133804.04749999999</v>
      </c>
    </row>
    <row r="8" spans="2:21" ht="15" customHeight="1">
      <c r="B8" s="131"/>
      <c r="C8" s="133"/>
      <c r="D8" s="133"/>
      <c r="E8" s="133"/>
      <c r="F8" s="133"/>
      <c r="G8" s="133"/>
      <c r="I8" s="409" t="s">
        <v>186</v>
      </c>
      <c r="J8" s="412">
        <f>'Project cash flow'!D14</f>
        <v>780</v>
      </c>
      <c r="K8" s="412">
        <f>'Project cash flow'!E14</f>
        <v>19020</v>
      </c>
      <c r="L8" s="412">
        <f>'Project cash flow'!F14</f>
        <v>18120</v>
      </c>
      <c r="M8" s="412">
        <f>'Project cash flow'!G14</f>
        <v>17520</v>
      </c>
      <c r="N8" s="412">
        <f>'Project cash flow'!H14</f>
        <v>17220</v>
      </c>
      <c r="O8" s="412">
        <f>'Project cash flow'!I14</f>
        <v>17220</v>
      </c>
    </row>
    <row r="9" spans="2:21" ht="15" hidden="1" customHeight="1">
      <c r="B9" s="131"/>
      <c r="C9" s="133"/>
      <c r="D9" s="133"/>
      <c r="E9" s="133"/>
      <c r="F9" s="133"/>
      <c r="G9" s="133" t="s">
        <v>305</v>
      </c>
      <c r="I9" s="410" t="s">
        <v>306</v>
      </c>
      <c r="J9" s="412"/>
      <c r="K9" s="416"/>
      <c r="L9" s="412"/>
      <c r="M9" s="412"/>
      <c r="N9" s="412"/>
      <c r="O9" s="412"/>
    </row>
    <row r="10" spans="2:21" ht="15" customHeight="1">
      <c r="B10" s="131"/>
      <c r="C10" s="133"/>
      <c r="D10" s="133"/>
      <c r="E10" s="133"/>
      <c r="F10" s="133"/>
      <c r="G10" s="133"/>
      <c r="I10" s="408" t="s">
        <v>307</v>
      </c>
      <c r="J10" s="417">
        <f>'Costs without VAT'!B17</f>
        <v>11850</v>
      </c>
      <c r="K10" s="417">
        <f>'Project cash flow'!E15</f>
        <v>51816</v>
      </c>
      <c r="L10" s="412">
        <f>'Project cash flow'!F15</f>
        <v>51816</v>
      </c>
      <c r="M10" s="412">
        <f>'Project cash flow'!G15</f>
        <v>51816</v>
      </c>
      <c r="N10" s="412">
        <f>'Project cash flow'!H15</f>
        <v>51816</v>
      </c>
      <c r="O10" s="412">
        <f>'Project cash flow'!I15</f>
        <v>51816</v>
      </c>
    </row>
    <row r="11" spans="2:21" ht="15" customHeight="1">
      <c r="B11" s="131"/>
      <c r="C11" s="133"/>
      <c r="D11" s="133"/>
      <c r="E11" s="133"/>
      <c r="F11" s="133"/>
      <c r="G11" s="133"/>
      <c r="I11" s="411" t="s">
        <v>534</v>
      </c>
      <c r="J11" s="415">
        <f t="shared" ref="J11:O11" si="0">SUM(J7:J10)</f>
        <v>16855.404999999999</v>
      </c>
      <c r="K11" s="415">
        <f t="shared" si="0"/>
        <v>161677.59</v>
      </c>
      <c r="L11" s="415">
        <f t="shared" si="0"/>
        <v>162414.91500000001</v>
      </c>
      <c r="M11" s="415">
        <f t="shared" si="0"/>
        <v>202132.24</v>
      </c>
      <c r="N11" s="415">
        <f t="shared" si="0"/>
        <v>202840.04749999999</v>
      </c>
      <c r="O11" s="415">
        <f t="shared" si="0"/>
        <v>202840.04749999999</v>
      </c>
    </row>
    <row r="12" spans="2:21" ht="15" customHeight="1">
      <c r="B12" s="131"/>
      <c r="C12" s="138"/>
      <c r="D12" s="138"/>
      <c r="E12" s="138"/>
      <c r="F12" s="138"/>
      <c r="G12" s="138"/>
      <c r="I12" s="411" t="s">
        <v>190</v>
      </c>
      <c r="J12" s="415">
        <f>J6-J11</f>
        <v>-16855.404999999999</v>
      </c>
      <c r="K12" s="415">
        <f t="shared" ref="K12:N12" si="1">K6-K11</f>
        <v>-51037.233170731692</v>
      </c>
      <c r="L12" s="415">
        <f t="shared" si="1"/>
        <v>6526.3100406503945</v>
      </c>
      <c r="M12" s="415">
        <f t="shared" si="1"/>
        <v>32499.59469918703</v>
      </c>
      <c r="N12" s="415">
        <f t="shared" si="1"/>
        <v>91850.399459349632</v>
      </c>
      <c r="O12" s="415">
        <f>O6-O11</f>
        <v>171697.24154856976</v>
      </c>
    </row>
    <row r="13" spans="2:21" ht="15" customHeight="1">
      <c r="B13" s="131"/>
      <c r="C13" s="138"/>
      <c r="D13" s="138"/>
      <c r="E13" s="138"/>
      <c r="F13" s="138"/>
      <c r="G13" s="138"/>
      <c r="I13" s="408" t="s">
        <v>191</v>
      </c>
      <c r="J13" s="412"/>
      <c r="K13" s="412">
        <f>Depreciation!G3</f>
        <v>2384.6666666666665</v>
      </c>
      <c r="L13" s="412">
        <f>Depreciation!H3</f>
        <v>2384.6666666666665</v>
      </c>
      <c r="M13" s="412">
        <f>Depreciation!I3</f>
        <v>3751.833333333333</v>
      </c>
      <c r="N13" s="412">
        <f>Depreciation!J3</f>
        <v>2002.1666666666665</v>
      </c>
      <c r="O13" s="412">
        <f>Depreciation!K3</f>
        <v>2002.1666666666665</v>
      </c>
      <c r="Q13" s="27"/>
      <c r="R13" s="27"/>
      <c r="S13" s="27"/>
      <c r="T13" s="27"/>
      <c r="U13" s="27"/>
    </row>
    <row r="14" spans="2:21" ht="15" customHeight="1">
      <c r="B14" s="131"/>
      <c r="C14" s="138"/>
      <c r="D14" s="138"/>
      <c r="E14" s="138"/>
      <c r="F14" s="138"/>
      <c r="G14" s="138"/>
      <c r="I14" s="411" t="s">
        <v>308</v>
      </c>
      <c r="J14" s="415">
        <f t="shared" ref="J14:O14" si="2">J12-J13</f>
        <v>-16855.404999999999</v>
      </c>
      <c r="K14" s="415">
        <f t="shared" si="2"/>
        <v>-53421.899837398356</v>
      </c>
      <c r="L14" s="415">
        <f t="shared" si="2"/>
        <v>4141.6433739837285</v>
      </c>
      <c r="M14" s="415">
        <f t="shared" si="2"/>
        <v>28747.761365853697</v>
      </c>
      <c r="N14" s="415">
        <f t="shared" si="2"/>
        <v>89848.23279268296</v>
      </c>
      <c r="O14" s="415">
        <f t="shared" si="2"/>
        <v>169695.0748819031</v>
      </c>
      <c r="P14" s="116"/>
      <c r="Q14" s="433"/>
      <c r="R14" s="27"/>
      <c r="S14" s="27"/>
      <c r="T14" s="27"/>
      <c r="U14" s="27"/>
    </row>
    <row r="15" spans="2:21" ht="15" customHeight="1">
      <c r="B15" s="131"/>
      <c r="C15" s="133"/>
      <c r="D15" s="133"/>
      <c r="E15" s="133"/>
      <c r="F15" s="133"/>
      <c r="G15" s="133"/>
      <c r="I15" s="408" t="s">
        <v>301</v>
      </c>
      <c r="J15" s="417">
        <f>'Project cash flow'!D21</f>
        <v>1368.1383999999998</v>
      </c>
      <c r="K15" s="417">
        <f>'Project cash flow'!E21</f>
        <v>2423.75336625</v>
      </c>
      <c r="L15" s="417">
        <f>'Project cash flow'!F21</f>
        <v>2129.4478524999995</v>
      </c>
      <c r="M15" s="417">
        <f>'Project cash flow'!G21</f>
        <v>1649.1136324999986</v>
      </c>
      <c r="N15" s="417">
        <f>'Project cash flow'!H21</f>
        <v>1170.9045124999977</v>
      </c>
      <c r="O15" s="417">
        <f>'Project cash flow'!I21</f>
        <v>717.28809249999722</v>
      </c>
      <c r="Q15" s="27"/>
      <c r="R15" s="27"/>
      <c r="S15" s="27"/>
      <c r="T15" s="27"/>
      <c r="U15" s="27"/>
    </row>
    <row r="16" spans="2:21" ht="15" customHeight="1">
      <c r="B16" s="131"/>
      <c r="C16" s="133"/>
      <c r="D16" s="133"/>
      <c r="E16" s="133"/>
      <c r="F16" s="133"/>
      <c r="G16" s="133"/>
      <c r="I16" s="408" t="s">
        <v>309</v>
      </c>
      <c r="J16" s="412">
        <f t="shared" ref="J16:O16" si="3">J15</f>
        <v>1368.1383999999998</v>
      </c>
      <c r="K16" s="412">
        <f t="shared" si="3"/>
        <v>2423.75336625</v>
      </c>
      <c r="L16" s="412">
        <f t="shared" si="3"/>
        <v>2129.4478524999995</v>
      </c>
      <c r="M16" s="412">
        <f t="shared" si="3"/>
        <v>1649.1136324999986</v>
      </c>
      <c r="N16" s="412">
        <f t="shared" si="3"/>
        <v>1170.9045124999977</v>
      </c>
      <c r="O16" s="412">
        <f t="shared" si="3"/>
        <v>717.28809249999722</v>
      </c>
      <c r="Q16" s="27"/>
      <c r="R16" s="27"/>
      <c r="S16" s="27"/>
      <c r="T16" s="27"/>
      <c r="U16" s="27"/>
    </row>
    <row r="17" spans="2:21" ht="15" customHeight="1">
      <c r="B17" s="131"/>
      <c r="C17" s="133"/>
      <c r="D17" s="133"/>
      <c r="E17" s="133"/>
      <c r="F17" s="133"/>
      <c r="G17" s="133"/>
      <c r="I17" s="411" t="s">
        <v>194</v>
      </c>
      <c r="J17" s="415">
        <f>J14-J16</f>
        <v>-18223.543399999999</v>
      </c>
      <c r="K17" s="415">
        <f>K14-K16</f>
        <v>-55845.653203648355</v>
      </c>
      <c r="L17" s="415">
        <f t="shared" ref="L17:O17" si="4">L14-L16</f>
        <v>2012.195521483729</v>
      </c>
      <c r="M17" s="415">
        <f t="shared" si="4"/>
        <v>27098.6477333537</v>
      </c>
      <c r="N17" s="415">
        <f t="shared" si="4"/>
        <v>88677.328280182963</v>
      </c>
      <c r="O17" s="415">
        <f t="shared" si="4"/>
        <v>168977.78678940309</v>
      </c>
      <c r="Q17" s="433"/>
      <c r="R17" s="433"/>
      <c r="S17" s="433"/>
      <c r="T17" s="433"/>
      <c r="U17" s="27"/>
    </row>
    <row r="18" spans="2:21" ht="15" customHeight="1">
      <c r="B18" s="131"/>
      <c r="C18" s="133"/>
      <c r="D18" s="133"/>
      <c r="E18" s="133"/>
      <c r="F18" s="133"/>
      <c r="G18" s="133"/>
      <c r="I18" s="408" t="s">
        <v>310</v>
      </c>
      <c r="J18" s="412">
        <v>0</v>
      </c>
      <c r="K18" s="412">
        <v>0</v>
      </c>
      <c r="L18" s="412">
        <f>MIN(K22,L17)</f>
        <v>2012.195521483729</v>
      </c>
      <c r="M18" s="412">
        <f>MIN(L22,M17)</f>
        <v>0</v>
      </c>
      <c r="N18" s="412">
        <f>MIN(M22,N17)</f>
        <v>0</v>
      </c>
      <c r="O18" s="412">
        <f>MIN(N22,O17)</f>
        <v>0</v>
      </c>
      <c r="Q18" s="27"/>
      <c r="R18" s="27"/>
      <c r="S18" s="27"/>
      <c r="T18" s="27"/>
      <c r="U18" s="27"/>
    </row>
    <row r="19" spans="2:21" ht="15" customHeight="1">
      <c r="B19" s="131"/>
      <c r="C19" s="133"/>
      <c r="D19" s="133"/>
      <c r="E19" s="133"/>
      <c r="F19" s="133"/>
      <c r="G19" s="133"/>
      <c r="I19" s="408" t="s">
        <v>311</v>
      </c>
      <c r="J19" s="412">
        <f>J17</f>
        <v>-18223.543399999999</v>
      </c>
      <c r="K19" s="412">
        <f>K17-K18</f>
        <v>-55845.653203648355</v>
      </c>
      <c r="L19" s="412">
        <f>L18</f>
        <v>2012.195521483729</v>
      </c>
      <c r="M19" s="412">
        <f>M17-M18</f>
        <v>27098.6477333537</v>
      </c>
      <c r="N19" s="412">
        <f>N17-N18</f>
        <v>88677.328280182963</v>
      </c>
      <c r="O19" s="412">
        <f>O17-O18</f>
        <v>168977.78678940309</v>
      </c>
      <c r="Q19" s="27"/>
      <c r="R19" s="27"/>
      <c r="S19" s="434"/>
      <c r="T19" s="27"/>
      <c r="U19" s="27"/>
    </row>
    <row r="20" spans="2:21" ht="15" customHeight="1">
      <c r="B20" s="131"/>
      <c r="C20" s="138"/>
      <c r="D20" s="138"/>
      <c r="E20" s="138"/>
      <c r="F20" s="138"/>
      <c r="G20" s="138"/>
      <c r="I20" s="408" t="s">
        <v>302</v>
      </c>
      <c r="J20" s="412">
        <v>0</v>
      </c>
      <c r="K20" s="412">
        <v>0</v>
      </c>
      <c r="L20" s="412">
        <f>'Project cash flow'!F23+'Project cash flow'!F24</f>
        <v>372.25617147448986</v>
      </c>
      <c r="M20" s="412">
        <f>'Project cash flow'!G23+'Project cash flow'!G24</f>
        <v>5577.6835608639321</v>
      </c>
      <c r="N20" s="412">
        <f>'Project cash flow'!H23+'Project cash flow'!H24</f>
        <v>19952.398863041166</v>
      </c>
      <c r="O20" s="412">
        <f>'Project cash flow'!I23+'Project cash flow'!I24</f>
        <v>38020.002027615694</v>
      </c>
      <c r="Q20" s="27"/>
      <c r="R20" s="27"/>
      <c r="S20" s="27"/>
      <c r="T20" s="27"/>
      <c r="U20" s="27"/>
    </row>
    <row r="21" spans="2:21" ht="15" customHeight="1">
      <c r="B21" s="131"/>
      <c r="C21" s="133"/>
      <c r="D21" s="133"/>
      <c r="E21" s="133"/>
      <c r="F21" s="133"/>
      <c r="G21" s="133"/>
      <c r="I21" s="411" t="s">
        <v>312</v>
      </c>
      <c r="J21" s="415">
        <f>J19</f>
        <v>-18223.543399999999</v>
      </c>
      <c r="K21" s="415">
        <f>K17-K20</f>
        <v>-55845.653203648355</v>
      </c>
      <c r="L21" s="415">
        <f>L19-L20</f>
        <v>1639.9393500092392</v>
      </c>
      <c r="M21" s="415">
        <f>M17-M20</f>
        <v>21520.964172489766</v>
      </c>
      <c r="N21" s="415">
        <f>N17-N20</f>
        <v>68724.929417141801</v>
      </c>
      <c r="O21" s="415">
        <f>O17-O20</f>
        <v>130957.78476178739</v>
      </c>
      <c r="Q21" s="435"/>
      <c r="R21" s="27"/>
      <c r="S21" s="27"/>
      <c r="T21" s="27"/>
      <c r="U21" s="27"/>
    </row>
    <row r="22" spans="2:21" ht="15" customHeight="1">
      <c r="B22" s="132"/>
      <c r="C22" s="133"/>
      <c r="D22" s="133"/>
      <c r="E22" s="133"/>
      <c r="F22" s="133"/>
      <c r="G22" s="133"/>
      <c r="I22" s="408" t="s">
        <v>313</v>
      </c>
      <c r="J22" s="412">
        <f t="shared" ref="J22:O22" si="5">IF(J21&lt;0,-J21,0)</f>
        <v>18223.543399999999</v>
      </c>
      <c r="K22" s="412">
        <f t="shared" si="5"/>
        <v>55845.653203648355</v>
      </c>
      <c r="L22" s="412">
        <f t="shared" si="5"/>
        <v>0</v>
      </c>
      <c r="M22" s="412">
        <f t="shared" si="5"/>
        <v>0</v>
      </c>
      <c r="N22" s="412">
        <f t="shared" si="5"/>
        <v>0</v>
      </c>
      <c r="O22" s="412">
        <f t="shared" si="5"/>
        <v>0</v>
      </c>
      <c r="Q22" s="27"/>
      <c r="R22" s="27"/>
      <c r="S22" s="27"/>
      <c r="T22" s="27"/>
      <c r="U22" s="27"/>
    </row>
    <row r="23" spans="2:21" ht="15" customHeight="1">
      <c r="B23" s="131"/>
      <c r="C23" s="133"/>
      <c r="D23" s="133"/>
      <c r="E23" s="133"/>
      <c r="F23" s="133"/>
      <c r="G23" s="133"/>
    </row>
    <row r="24" spans="2:21" ht="15" customHeight="1">
      <c r="B24" s="131"/>
      <c r="C24" s="133"/>
      <c r="D24" s="133"/>
      <c r="E24" s="133"/>
      <c r="F24" s="133"/>
      <c r="G24" s="133"/>
    </row>
    <row r="25" spans="2:21" ht="15" customHeight="1">
      <c r="B25" s="131"/>
      <c r="C25" s="133"/>
      <c r="D25" s="133"/>
      <c r="E25" s="133"/>
      <c r="F25" s="133"/>
      <c r="G25" s="133"/>
    </row>
    <row r="26" spans="2:21" ht="15" customHeight="1">
      <c r="B26" s="131"/>
      <c r="C26" s="133"/>
      <c r="D26" s="133"/>
      <c r="E26" s="133"/>
      <c r="F26" s="133"/>
      <c r="G26" s="133"/>
    </row>
    <row r="27" spans="2:21" ht="15" customHeight="1">
      <c r="B27" s="132"/>
      <c r="C27" s="133"/>
      <c r="D27" s="133"/>
      <c r="E27" s="133"/>
      <c r="F27" s="133"/>
      <c r="G27" s="133"/>
    </row>
    <row r="28" spans="2:21" ht="15" customHeight="1">
      <c r="B28" s="131"/>
      <c r="C28" s="133"/>
      <c r="D28" s="133"/>
      <c r="E28" s="133"/>
      <c r="F28" s="133"/>
      <c r="G28" s="133"/>
    </row>
    <row r="29" spans="2:21" ht="15" customHeight="1">
      <c r="B29" s="131"/>
      <c r="C29" s="133"/>
      <c r="D29" s="133"/>
      <c r="E29" s="133"/>
      <c r="F29" s="133"/>
      <c r="G29" s="133"/>
    </row>
    <row r="30" spans="2:21" ht="15" customHeight="1">
      <c r="B30" s="131"/>
      <c r="C30" s="133"/>
      <c r="D30" s="133"/>
      <c r="E30" s="133"/>
      <c r="F30" s="133"/>
      <c r="G30" s="133"/>
    </row>
    <row r="31" spans="2:21" ht="15" customHeight="1">
      <c r="B31" s="131"/>
      <c r="C31" s="133"/>
      <c r="D31" s="133"/>
      <c r="E31" s="133"/>
      <c r="F31" s="133"/>
      <c r="G31" s="133"/>
    </row>
    <row r="32" spans="2:21" ht="15" customHeight="1">
      <c r="B32" s="132"/>
      <c r="C32" s="133"/>
      <c r="D32" s="133"/>
      <c r="E32" s="133"/>
      <c r="F32" s="133"/>
      <c r="G32" s="133"/>
    </row>
    <row r="33" spans="2:7" ht="15" customHeight="1">
      <c r="B33" s="131"/>
      <c r="C33" s="133"/>
      <c r="D33" s="133"/>
      <c r="E33" s="133"/>
      <c r="F33" s="133"/>
      <c r="G33" s="133"/>
    </row>
    <row r="34" spans="2:7" ht="15" customHeight="1">
      <c r="B34" s="131"/>
      <c r="C34" s="133"/>
      <c r="D34" s="133"/>
      <c r="E34" s="133"/>
      <c r="F34" s="133"/>
      <c r="G34" s="133"/>
    </row>
    <row r="35" spans="2:7" ht="15" customHeight="1">
      <c r="B35" s="131"/>
      <c r="C35" s="133"/>
      <c r="D35" s="133"/>
      <c r="E35" s="133"/>
      <c r="F35" s="133"/>
      <c r="G35" s="133"/>
    </row>
    <row r="36" spans="2:7" ht="15" customHeight="1">
      <c r="B36" s="132"/>
      <c r="C36" s="133"/>
      <c r="D36" s="133"/>
      <c r="E36" s="133"/>
      <c r="F36" s="133"/>
      <c r="G36" s="133"/>
    </row>
    <row r="37" spans="2:7">
      <c r="B37" s="131"/>
      <c r="C37" s="133"/>
      <c r="D37" s="133"/>
      <c r="E37" s="133"/>
      <c r="F37" s="133"/>
      <c r="G37" s="133"/>
    </row>
    <row r="38" spans="2:7">
      <c r="B38" s="131"/>
      <c r="C38" s="133"/>
      <c r="D38" s="133"/>
      <c r="E38" s="133"/>
      <c r="F38" s="133"/>
      <c r="G38" s="133"/>
    </row>
    <row r="39" spans="2:7">
      <c r="B39" s="131"/>
      <c r="C39" s="133"/>
      <c r="D39" s="133"/>
      <c r="E39" s="133"/>
      <c r="F39" s="133"/>
      <c r="G39" s="133"/>
    </row>
    <row r="40" spans="2:7">
      <c r="B40" s="131"/>
      <c r="C40" s="133"/>
      <c r="D40" s="133"/>
      <c r="E40" s="133"/>
      <c r="F40" s="133"/>
      <c r="G40" s="133"/>
    </row>
    <row r="41" spans="2:7">
      <c r="B41" s="131"/>
      <c r="C41" s="133"/>
      <c r="D41" s="133"/>
      <c r="E41" s="133"/>
      <c r="F41" s="133"/>
      <c r="G41" s="133"/>
    </row>
    <row r="42" spans="2:7">
      <c r="B42" s="131"/>
      <c r="C42" s="133"/>
      <c r="D42" s="133"/>
      <c r="E42" s="133"/>
      <c r="F42" s="133"/>
      <c r="G42" s="133"/>
    </row>
    <row r="43" spans="2:7">
      <c r="B43" s="131"/>
      <c r="C43" s="133"/>
      <c r="D43" s="133"/>
      <c r="E43" s="133"/>
      <c r="F43" s="133"/>
      <c r="G43" s="133"/>
    </row>
    <row r="44" spans="2:7">
      <c r="B44" s="131"/>
      <c r="C44" s="133"/>
      <c r="D44" s="133"/>
      <c r="E44" s="133"/>
      <c r="F44" s="133"/>
      <c r="G44" s="133"/>
    </row>
    <row r="45" spans="2:7">
      <c r="B45" s="131"/>
      <c r="C45" s="133"/>
      <c r="D45" s="133"/>
      <c r="E45" s="133"/>
      <c r="F45" s="133"/>
      <c r="G45" s="133"/>
    </row>
    <row r="46" spans="2:7">
      <c r="B46" s="131"/>
      <c r="C46" s="133"/>
      <c r="D46" s="133"/>
      <c r="E46" s="133"/>
      <c r="F46" s="133"/>
      <c r="G46" s="1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59EB-1013-4645-AE40-17C12192EAF5}">
  <dimension ref="A1:W67"/>
  <sheetViews>
    <sheetView zoomScale="86" workbookViewId="0">
      <selection activeCell="K24" sqref="K24"/>
    </sheetView>
  </sheetViews>
  <sheetFormatPr baseColWidth="10" defaultColWidth="11" defaultRowHeight="16"/>
  <cols>
    <col min="1" max="1" width="46.83203125" customWidth="1"/>
    <col min="2" max="2" width="13.83203125" customWidth="1"/>
    <col min="3" max="10" width="17.83203125" bestFit="1" customWidth="1"/>
    <col min="11" max="13" width="16.83203125" bestFit="1" customWidth="1"/>
    <col min="15" max="15" width="9" customWidth="1"/>
    <col min="16" max="16" width="41.33203125" bestFit="1" customWidth="1"/>
    <col min="18" max="18" width="19.1640625" customWidth="1"/>
    <col min="19" max="19" width="11.6640625" customWidth="1"/>
    <col min="20" max="20" width="13" customWidth="1"/>
    <col min="21" max="21" width="13.6640625" customWidth="1"/>
    <col min="22" max="22" width="14" customWidth="1"/>
  </cols>
  <sheetData>
    <row r="1" spans="1:22">
      <c r="A1" s="75" t="s">
        <v>314</v>
      </c>
    </row>
    <row r="2" spans="1:22">
      <c r="A2" s="75"/>
      <c r="C2" s="134" t="s">
        <v>315</v>
      </c>
      <c r="D2" s="134" t="s">
        <v>316</v>
      </c>
    </row>
    <row r="3" spans="1:22">
      <c r="A3" s="75" t="s">
        <v>317</v>
      </c>
      <c r="B3" s="103">
        <v>50000</v>
      </c>
    </row>
    <row r="4" spans="1:22">
      <c r="A4" s="147" t="s">
        <v>318</v>
      </c>
      <c r="B4" s="2">
        <f>5%/12</f>
        <v>4.1666666666666666E-3</v>
      </c>
      <c r="F4" s="143"/>
    </row>
    <row r="5" spans="1:22">
      <c r="A5" s="147" t="s">
        <v>319</v>
      </c>
      <c r="B5" s="104">
        <f>B3*0.6%</f>
        <v>300</v>
      </c>
      <c r="F5" s="146"/>
    </row>
    <row r="6" spans="1:22">
      <c r="A6" s="75" t="s">
        <v>320</v>
      </c>
      <c r="B6" s="104">
        <v>450</v>
      </c>
      <c r="C6" s="104">
        <f>4%*B6</f>
        <v>18</v>
      </c>
      <c r="D6" s="104">
        <f>SUM(B6:C6)</f>
        <v>468</v>
      </c>
      <c r="F6" s="65"/>
      <c r="G6" s="65"/>
      <c r="P6" s="27"/>
      <c r="Q6" s="27"/>
      <c r="R6" s="27"/>
      <c r="S6" s="27"/>
      <c r="T6" s="27"/>
      <c r="U6" s="27"/>
      <c r="V6" s="27"/>
    </row>
    <row r="7" spans="1:22">
      <c r="A7" s="75" t="s">
        <v>321</v>
      </c>
      <c r="B7" s="125">
        <v>0.21</v>
      </c>
      <c r="P7" s="255"/>
      <c r="Q7" s="256"/>
      <c r="R7" s="256"/>
      <c r="S7" s="256"/>
      <c r="T7" s="256"/>
      <c r="U7" s="256"/>
      <c r="V7" s="256"/>
    </row>
    <row r="8" spans="1:22">
      <c r="A8" s="75"/>
      <c r="D8" s="157"/>
      <c r="P8" s="257"/>
      <c r="Q8" s="255"/>
      <c r="R8" s="255"/>
      <c r="S8" s="255"/>
      <c r="T8" s="255"/>
      <c r="U8" s="255"/>
      <c r="V8" s="255"/>
    </row>
    <row r="9" spans="1:22">
      <c r="A9" s="74"/>
      <c r="B9" s="144">
        <v>44470</v>
      </c>
      <c r="C9" s="144">
        <v>44501</v>
      </c>
      <c r="D9" s="247">
        <v>44531</v>
      </c>
      <c r="E9" s="244"/>
      <c r="F9" s="244"/>
      <c r="G9" s="244"/>
      <c r="H9" s="244"/>
      <c r="I9" s="244"/>
      <c r="J9" s="244"/>
      <c r="K9" s="244"/>
      <c r="L9" s="244"/>
      <c r="M9" s="244"/>
      <c r="N9" t="s">
        <v>322</v>
      </c>
      <c r="P9" s="257"/>
      <c r="Q9" s="255"/>
      <c r="R9" s="255"/>
      <c r="S9" s="255"/>
      <c r="T9" s="255"/>
      <c r="U9" s="255"/>
      <c r="V9" s="255"/>
    </row>
    <row r="10" spans="1:22">
      <c r="A10" s="74" t="s">
        <v>323</v>
      </c>
      <c r="B10" s="141">
        <v>50000</v>
      </c>
      <c r="C10" s="141">
        <v>50000</v>
      </c>
      <c r="D10" s="248">
        <v>50000</v>
      </c>
      <c r="E10" s="245"/>
      <c r="F10" s="245"/>
      <c r="G10" s="245"/>
      <c r="H10" s="245"/>
      <c r="I10" s="245"/>
      <c r="J10" s="245"/>
      <c r="K10" s="245"/>
      <c r="L10" s="245"/>
      <c r="M10" s="245"/>
      <c r="P10" s="257"/>
      <c r="Q10" s="255"/>
      <c r="R10" s="255"/>
      <c r="S10" s="255"/>
      <c r="T10" s="255"/>
      <c r="U10" s="255"/>
      <c r="V10" s="255"/>
    </row>
    <row r="11" spans="1:22">
      <c r="A11" s="74" t="s">
        <v>324</v>
      </c>
      <c r="B11" s="142">
        <f t="shared" ref="B11:D11" si="0">B10*$B$4</f>
        <v>208.33333333333334</v>
      </c>
      <c r="C11" s="142">
        <f t="shared" si="0"/>
        <v>208.33333333333334</v>
      </c>
      <c r="D11" s="153">
        <f t="shared" si="0"/>
        <v>208.33333333333334</v>
      </c>
      <c r="E11" s="246"/>
      <c r="F11" s="246"/>
      <c r="G11" s="246"/>
      <c r="H11" s="246"/>
      <c r="I11" s="246"/>
      <c r="J11" s="246"/>
      <c r="K11" s="246"/>
      <c r="L11" s="246"/>
      <c r="M11" s="246"/>
      <c r="N11" s="116">
        <f>SUM(B11:M11)</f>
        <v>625</v>
      </c>
      <c r="P11" s="257"/>
      <c r="Q11" s="255"/>
      <c r="R11" s="255"/>
      <c r="S11" s="255"/>
      <c r="T11" s="255"/>
      <c r="U11" s="255"/>
      <c r="V11" s="255"/>
    </row>
    <row r="12" spans="1:22">
      <c r="A12" s="74" t="s">
        <v>325</v>
      </c>
      <c r="B12" s="142">
        <f t="shared" ref="B12:D12" si="1">45.81</f>
        <v>45.81</v>
      </c>
      <c r="C12" s="142">
        <f t="shared" si="1"/>
        <v>45.81</v>
      </c>
      <c r="D12" s="153">
        <f t="shared" si="1"/>
        <v>45.81</v>
      </c>
      <c r="E12" s="246"/>
      <c r="F12" s="246"/>
      <c r="G12" s="246"/>
      <c r="H12" s="246"/>
      <c r="I12" s="246"/>
      <c r="J12" s="246"/>
      <c r="K12" s="246"/>
      <c r="L12" s="246"/>
      <c r="M12" s="246"/>
      <c r="N12" s="116">
        <f>SUM(B12:M12)</f>
        <v>137.43</v>
      </c>
      <c r="P12" s="257"/>
      <c r="Q12" s="255"/>
      <c r="R12" s="255"/>
      <c r="S12" s="255"/>
      <c r="T12" s="255"/>
      <c r="U12" s="255"/>
      <c r="V12" s="255"/>
    </row>
    <row r="13" spans="1:22">
      <c r="A13" s="74" t="s">
        <v>326</v>
      </c>
      <c r="B13" s="142">
        <v>3.51</v>
      </c>
      <c r="C13" s="142">
        <v>3.51</v>
      </c>
      <c r="D13" s="153">
        <v>3.51</v>
      </c>
      <c r="E13" s="246"/>
      <c r="F13" s="246"/>
      <c r="G13" s="246"/>
      <c r="H13" s="246"/>
      <c r="I13" s="246"/>
      <c r="J13" s="246"/>
      <c r="K13" s="246"/>
      <c r="L13" s="246"/>
      <c r="M13" s="246"/>
      <c r="N13" s="116">
        <f>SUM(B13:M13)</f>
        <v>10.53</v>
      </c>
      <c r="P13" s="257"/>
      <c r="Q13" s="257"/>
      <c r="R13" s="257"/>
      <c r="S13" s="257"/>
      <c r="T13" s="257"/>
      <c r="U13" s="257"/>
      <c r="V13" s="257"/>
    </row>
    <row r="14" spans="1:22" hidden="1">
      <c r="A14" s="74" t="s">
        <v>327</v>
      </c>
      <c r="B14" s="74">
        <v>0</v>
      </c>
      <c r="C14" s="74">
        <v>0</v>
      </c>
      <c r="D14" s="157">
        <v>0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22">
      <c r="A15" s="74" t="s">
        <v>328</v>
      </c>
      <c r="B15" s="142">
        <f t="shared" ref="B15:D15" si="2">SUM(B11:B14)</f>
        <v>257.65333333333336</v>
      </c>
      <c r="C15" s="142">
        <f t="shared" si="2"/>
        <v>257.65333333333336</v>
      </c>
      <c r="D15" s="153">
        <f t="shared" si="2"/>
        <v>257.65333333333336</v>
      </c>
      <c r="E15" s="246"/>
      <c r="F15" s="246"/>
      <c r="G15" s="246"/>
      <c r="H15" s="246"/>
      <c r="I15" s="246"/>
      <c r="J15" s="246"/>
      <c r="K15" s="246"/>
      <c r="L15" s="246"/>
      <c r="M15" s="246"/>
      <c r="N15" s="150">
        <f>SUM(B15:M15)</f>
        <v>772.96</v>
      </c>
      <c r="O15" s="116"/>
      <c r="P15" s="260" t="s">
        <v>329</v>
      </c>
      <c r="Q15" s="222"/>
      <c r="R15" s="10"/>
      <c r="S15" s="10"/>
      <c r="T15" s="10"/>
      <c r="U15" s="10"/>
      <c r="V15" s="10"/>
    </row>
    <row r="16" spans="1:22">
      <c r="A16" s="74" t="s">
        <v>330</v>
      </c>
      <c r="B16" s="141">
        <f t="shared" ref="B16:D16" si="3">B10-B14</f>
        <v>50000</v>
      </c>
      <c r="C16" s="141">
        <f t="shared" si="3"/>
        <v>50000</v>
      </c>
      <c r="D16" s="248">
        <f t="shared" si="3"/>
        <v>50000</v>
      </c>
      <c r="E16" s="245"/>
      <c r="F16" s="245"/>
      <c r="G16" s="245"/>
      <c r="H16" s="245"/>
      <c r="I16" s="245"/>
      <c r="J16" s="245"/>
      <c r="K16" s="245"/>
      <c r="L16" s="245"/>
      <c r="M16" s="245"/>
      <c r="P16" s="223" t="s">
        <v>14</v>
      </c>
      <c r="Q16" s="224">
        <v>0</v>
      </c>
      <c r="R16" s="224">
        <v>1</v>
      </c>
      <c r="S16" s="224">
        <v>2</v>
      </c>
      <c r="T16" s="224">
        <v>3</v>
      </c>
      <c r="U16" s="224">
        <v>4</v>
      </c>
      <c r="V16" s="224">
        <v>5</v>
      </c>
    </row>
    <row r="17" spans="1:23">
      <c r="A17" s="75"/>
      <c r="P17" s="225" t="s">
        <v>331</v>
      </c>
      <c r="Q17" s="226">
        <f>B10</f>
        <v>50000</v>
      </c>
      <c r="R17" s="226">
        <f>B20</f>
        <v>50000</v>
      </c>
      <c r="S17" s="226">
        <f>B31</f>
        <v>47500.009999999995</v>
      </c>
      <c r="T17" s="226">
        <f>B40</f>
        <v>37500.049999999974</v>
      </c>
      <c r="U17" s="226">
        <f>B49</f>
        <v>27500.089999999953</v>
      </c>
      <c r="V17" s="226">
        <f>B58</f>
        <v>17500.129999999932</v>
      </c>
    </row>
    <row r="18" spans="1:23">
      <c r="A18" s="75"/>
      <c r="P18" s="225" t="s">
        <v>332</v>
      </c>
      <c r="Q18" s="226">
        <v>0</v>
      </c>
      <c r="R18" s="226">
        <f>N24</f>
        <v>2499.9900000000002</v>
      </c>
      <c r="S18" s="226">
        <f>N35</f>
        <v>9999.9600000000009</v>
      </c>
      <c r="T18" s="226">
        <f>N44</f>
        <v>9999.9600000000009</v>
      </c>
      <c r="U18" s="226">
        <f>N53</f>
        <v>9999.9600000000009</v>
      </c>
      <c r="V18" s="226">
        <f>N62</f>
        <v>9999.9600000000009</v>
      </c>
    </row>
    <row r="19" spans="1:23">
      <c r="A19" s="74"/>
      <c r="B19" s="144">
        <v>44562</v>
      </c>
      <c r="C19" s="144">
        <v>44593</v>
      </c>
      <c r="D19" s="144">
        <v>44621</v>
      </c>
      <c r="E19" s="144">
        <v>44652</v>
      </c>
      <c r="F19" s="144">
        <v>44682</v>
      </c>
      <c r="G19" s="144">
        <v>44713</v>
      </c>
      <c r="H19" s="144">
        <v>44743</v>
      </c>
      <c r="I19" s="144">
        <v>44774</v>
      </c>
      <c r="J19" s="144">
        <v>44805</v>
      </c>
      <c r="K19" s="144">
        <v>44835</v>
      </c>
      <c r="L19" s="144">
        <v>44866</v>
      </c>
      <c r="M19" s="144">
        <v>44896</v>
      </c>
      <c r="N19" t="s">
        <v>322</v>
      </c>
      <c r="P19" s="225" t="s">
        <v>333</v>
      </c>
      <c r="Q19" s="226">
        <f>N11</f>
        <v>625</v>
      </c>
      <c r="R19" s="226">
        <f>N21</f>
        <v>2489.5833749999997</v>
      </c>
      <c r="S19" s="226">
        <f>N32</f>
        <v>2145.8347499999991</v>
      </c>
      <c r="T19" s="226">
        <f>N41</f>
        <v>1645.8367499999983</v>
      </c>
      <c r="U19" s="226">
        <f>N50</f>
        <v>1145.8387499999972</v>
      </c>
      <c r="V19" s="226">
        <f>N59</f>
        <v>645.84074999999655</v>
      </c>
    </row>
    <row r="20" spans="1:23">
      <c r="A20" s="74" t="s">
        <v>323</v>
      </c>
      <c r="B20" s="141">
        <v>50000</v>
      </c>
      <c r="C20" s="141">
        <v>50000</v>
      </c>
      <c r="D20" s="141">
        <v>50000</v>
      </c>
      <c r="E20" s="141">
        <v>50000</v>
      </c>
      <c r="F20" s="141">
        <v>50000</v>
      </c>
      <c r="G20" s="141">
        <v>50000</v>
      </c>
      <c r="H20" s="141">
        <v>50000</v>
      </c>
      <c r="I20" s="141">
        <v>50000</v>
      </c>
      <c r="J20" s="141">
        <v>50000</v>
      </c>
      <c r="K20" s="141">
        <v>50000</v>
      </c>
      <c r="L20" s="141">
        <f>K26</f>
        <v>49166.67</v>
      </c>
      <c r="M20" s="141">
        <f>L26</f>
        <v>48333.34</v>
      </c>
      <c r="P20" s="225" t="s">
        <v>334</v>
      </c>
      <c r="Q20" s="226">
        <f t="shared" ref="Q20:V20" si="4">SUM(Q18:Q19)</f>
        <v>625</v>
      </c>
      <c r="R20" s="226">
        <f t="shared" si="4"/>
        <v>4989.5733749999999</v>
      </c>
      <c r="S20" s="226">
        <f t="shared" si="4"/>
        <v>12145.794750000001</v>
      </c>
      <c r="T20" s="226">
        <f t="shared" si="4"/>
        <v>11645.79675</v>
      </c>
      <c r="U20" s="226">
        <f t="shared" si="4"/>
        <v>11145.798749999998</v>
      </c>
      <c r="V20" s="226">
        <f t="shared" si="4"/>
        <v>10645.800749999997</v>
      </c>
    </row>
    <row r="21" spans="1:23">
      <c r="A21" s="74" t="s">
        <v>324</v>
      </c>
      <c r="B21" s="142">
        <f t="shared" ref="B21:M21" si="5">B20*$B$4</f>
        <v>208.33333333333334</v>
      </c>
      <c r="C21" s="142">
        <f t="shared" si="5"/>
        <v>208.33333333333334</v>
      </c>
      <c r="D21" s="142">
        <f t="shared" si="5"/>
        <v>208.33333333333334</v>
      </c>
      <c r="E21" s="142">
        <f t="shared" si="5"/>
        <v>208.33333333333334</v>
      </c>
      <c r="F21" s="142">
        <f t="shared" si="5"/>
        <v>208.33333333333334</v>
      </c>
      <c r="G21" s="142">
        <f t="shared" si="5"/>
        <v>208.33333333333334</v>
      </c>
      <c r="H21" s="142">
        <f t="shared" si="5"/>
        <v>208.33333333333334</v>
      </c>
      <c r="I21" s="142">
        <f t="shared" si="5"/>
        <v>208.33333333333334</v>
      </c>
      <c r="J21" s="142">
        <f t="shared" si="5"/>
        <v>208.33333333333334</v>
      </c>
      <c r="K21" s="142">
        <f>K20*$B$4</f>
        <v>208.33333333333334</v>
      </c>
      <c r="L21" s="142">
        <f>L20*$B$4</f>
        <v>204.86112499999999</v>
      </c>
      <c r="M21" s="142">
        <f t="shared" si="5"/>
        <v>201.38891666666666</v>
      </c>
      <c r="N21" s="116">
        <f>SUM(B21:M21)</f>
        <v>2489.5833749999997</v>
      </c>
      <c r="P21" s="225" t="s">
        <v>335</v>
      </c>
      <c r="Q21" s="226">
        <f>Q19*$B$7</f>
        <v>131.25</v>
      </c>
      <c r="R21" s="226">
        <f>R19*$B$7</f>
        <v>522.81250874999989</v>
      </c>
      <c r="S21" s="226">
        <f t="shared" ref="S21:V21" si="6">S19*$B$7</f>
        <v>450.62529749999982</v>
      </c>
      <c r="T21" s="226">
        <f t="shared" si="6"/>
        <v>345.62571749999967</v>
      </c>
      <c r="U21" s="226">
        <f t="shared" si="6"/>
        <v>240.6261374999994</v>
      </c>
      <c r="V21" s="226">
        <f t="shared" si="6"/>
        <v>135.62655749999928</v>
      </c>
    </row>
    <row r="22" spans="1:23">
      <c r="A22" s="74" t="s">
        <v>325</v>
      </c>
      <c r="B22" s="142">
        <f t="shared" ref="B22:M22" si="7">45.81</f>
        <v>45.81</v>
      </c>
      <c r="C22" s="142">
        <f t="shared" si="7"/>
        <v>45.81</v>
      </c>
      <c r="D22" s="142">
        <f t="shared" si="7"/>
        <v>45.81</v>
      </c>
      <c r="E22" s="142">
        <f t="shared" si="7"/>
        <v>45.81</v>
      </c>
      <c r="F22" s="142">
        <f t="shared" si="7"/>
        <v>45.81</v>
      </c>
      <c r="G22" s="142">
        <f t="shared" si="7"/>
        <v>45.81</v>
      </c>
      <c r="H22" s="142">
        <f t="shared" si="7"/>
        <v>45.81</v>
      </c>
      <c r="I22" s="142">
        <f t="shared" si="7"/>
        <v>45.81</v>
      </c>
      <c r="J22" s="142">
        <f t="shared" si="7"/>
        <v>45.81</v>
      </c>
      <c r="K22" s="142">
        <f t="shared" si="7"/>
        <v>45.81</v>
      </c>
      <c r="L22" s="142">
        <f>45.81</f>
        <v>45.81</v>
      </c>
      <c r="M22" s="142">
        <f t="shared" si="7"/>
        <v>45.81</v>
      </c>
      <c r="N22" s="116">
        <f>SUM(B22:M22)</f>
        <v>549.72</v>
      </c>
      <c r="P22" s="225" t="s">
        <v>336</v>
      </c>
      <c r="Q22" s="226">
        <f>N13</f>
        <v>10.53</v>
      </c>
      <c r="R22" s="226">
        <f>N23</f>
        <v>42.029999999999987</v>
      </c>
      <c r="S22" s="226">
        <f>N34</f>
        <v>38.230000000000004</v>
      </c>
      <c r="T22" s="226">
        <f>N43</f>
        <v>30.17</v>
      </c>
      <c r="U22" s="226">
        <f>N52</f>
        <v>22.310000000000002</v>
      </c>
      <c r="V22" s="226">
        <f>N61</f>
        <v>15.61</v>
      </c>
    </row>
    <row r="23" spans="1:23">
      <c r="A23" s="74" t="s">
        <v>326</v>
      </c>
      <c r="B23" s="142">
        <v>3.51</v>
      </c>
      <c r="C23" s="142">
        <v>3.51</v>
      </c>
      <c r="D23" s="142">
        <v>3.51</v>
      </c>
      <c r="E23" s="142">
        <v>3.51</v>
      </c>
      <c r="F23" s="142">
        <v>3.51</v>
      </c>
      <c r="G23" s="142">
        <v>3.51</v>
      </c>
      <c r="H23" s="142">
        <v>3.51</v>
      </c>
      <c r="I23" s="142">
        <v>3.51</v>
      </c>
      <c r="J23" s="142">
        <v>3.51</v>
      </c>
      <c r="K23" s="142">
        <v>3.51</v>
      </c>
      <c r="L23" s="145">
        <v>3.48</v>
      </c>
      <c r="M23" s="145">
        <v>3.45</v>
      </c>
      <c r="N23" s="116">
        <f>SUM(B23:M23)</f>
        <v>42.029999999999987</v>
      </c>
      <c r="P23" s="225" t="s">
        <v>337</v>
      </c>
      <c r="Q23" s="226">
        <f t="shared" ref="Q23:V23" si="8">Q22*$B$7</f>
        <v>2.2112999999999996</v>
      </c>
      <c r="R23" s="226">
        <f t="shared" si="8"/>
        <v>8.8262999999999963</v>
      </c>
      <c r="S23" s="226">
        <f t="shared" si="8"/>
        <v>8.0282999999999998</v>
      </c>
      <c r="T23" s="226">
        <f t="shared" si="8"/>
        <v>6.3357000000000001</v>
      </c>
      <c r="U23" s="226">
        <f t="shared" si="8"/>
        <v>4.6851000000000003</v>
      </c>
      <c r="V23" s="226">
        <f t="shared" si="8"/>
        <v>3.2780999999999998</v>
      </c>
    </row>
    <row r="24" spans="1:23">
      <c r="A24" s="74" t="s">
        <v>327</v>
      </c>
      <c r="B24" s="74">
        <v>0</v>
      </c>
      <c r="C24" s="74">
        <v>0</v>
      </c>
      <c r="D24" s="74">
        <v>0</v>
      </c>
      <c r="E24" s="74">
        <v>0</v>
      </c>
      <c r="F24" s="74">
        <v>0</v>
      </c>
      <c r="G24" s="74">
        <v>0</v>
      </c>
      <c r="H24" s="74">
        <v>0</v>
      </c>
      <c r="I24" s="74">
        <v>0</v>
      </c>
      <c r="J24" s="74">
        <v>0</v>
      </c>
      <c r="K24" s="74">
        <v>833.33</v>
      </c>
      <c r="L24" s="74">
        <v>833.33</v>
      </c>
      <c r="M24" s="74">
        <v>833.33</v>
      </c>
      <c r="N24" s="151">
        <f>SUM(B24:M24)</f>
        <v>2499.9900000000002</v>
      </c>
      <c r="P24" s="225" t="s">
        <v>338</v>
      </c>
      <c r="Q24" s="226">
        <f>N12</f>
        <v>137.43</v>
      </c>
      <c r="R24" s="226">
        <f>N22</f>
        <v>549.72</v>
      </c>
      <c r="S24" s="226">
        <f>N33</f>
        <v>524.73</v>
      </c>
      <c r="T24" s="226">
        <f>N42</f>
        <v>424.76999999999992</v>
      </c>
      <c r="U24" s="226">
        <f>N51</f>
        <v>327.29999999999995</v>
      </c>
      <c r="V24" s="226">
        <f>N60</f>
        <v>259.8</v>
      </c>
    </row>
    <row r="25" spans="1:23">
      <c r="A25" s="74" t="s">
        <v>328</v>
      </c>
      <c r="B25" s="142">
        <f t="shared" ref="B25:K25" si="9">SUM(B21:B24)</f>
        <v>257.65333333333336</v>
      </c>
      <c r="C25" s="142">
        <f t="shared" si="9"/>
        <v>257.65333333333336</v>
      </c>
      <c r="D25" s="142">
        <f t="shared" si="9"/>
        <v>257.65333333333336</v>
      </c>
      <c r="E25" s="142">
        <f t="shared" si="9"/>
        <v>257.65333333333336</v>
      </c>
      <c r="F25" s="142">
        <f t="shared" si="9"/>
        <v>257.65333333333336</v>
      </c>
      <c r="G25" s="142">
        <f t="shared" si="9"/>
        <v>257.65333333333336</v>
      </c>
      <c r="H25" s="142">
        <f t="shared" si="9"/>
        <v>257.65333333333336</v>
      </c>
      <c r="I25" s="142">
        <f t="shared" si="9"/>
        <v>257.65333333333336</v>
      </c>
      <c r="J25" s="142">
        <f t="shared" si="9"/>
        <v>257.65333333333336</v>
      </c>
      <c r="K25" s="141">
        <f t="shared" si="9"/>
        <v>1090.9833333333333</v>
      </c>
      <c r="L25" s="141">
        <f t="shared" ref="L25:M25" si="10">SUM(L21:L24)</f>
        <v>1087.481125</v>
      </c>
      <c r="M25" s="141">
        <f t="shared" si="10"/>
        <v>1083.9789166666667</v>
      </c>
      <c r="N25" s="150">
        <f>SUM(N21:N24)</f>
        <v>5581.3233749999999</v>
      </c>
      <c r="P25" s="225" t="s">
        <v>339</v>
      </c>
      <c r="Q25" s="226">
        <f t="shared" ref="Q25:V25" si="11">Q24*$B$7</f>
        <v>28.860299999999999</v>
      </c>
      <c r="R25" s="226">
        <f t="shared" si="11"/>
        <v>115.44119999999999</v>
      </c>
      <c r="S25" s="226">
        <f t="shared" si="11"/>
        <v>110.19329999999999</v>
      </c>
      <c r="T25" s="226">
        <f t="shared" si="11"/>
        <v>89.201699999999974</v>
      </c>
      <c r="U25" s="226">
        <f t="shared" si="11"/>
        <v>68.73299999999999</v>
      </c>
      <c r="V25" s="226">
        <f t="shared" si="11"/>
        <v>54.558</v>
      </c>
    </row>
    <row r="26" spans="1:23">
      <c r="A26" s="74" t="s">
        <v>330</v>
      </c>
      <c r="B26" s="141">
        <f>B20-B24</f>
        <v>50000</v>
      </c>
      <c r="C26" s="141">
        <f>C20-C24</f>
        <v>50000</v>
      </c>
      <c r="D26" s="141">
        <f t="shared" ref="D26:M26" si="12">D20-D24</f>
        <v>50000</v>
      </c>
      <c r="E26" s="141">
        <f t="shared" si="12"/>
        <v>50000</v>
      </c>
      <c r="F26" s="141">
        <f t="shared" si="12"/>
        <v>50000</v>
      </c>
      <c r="G26" s="141">
        <f t="shared" si="12"/>
        <v>50000</v>
      </c>
      <c r="H26" s="141">
        <f t="shared" si="12"/>
        <v>50000</v>
      </c>
      <c r="I26" s="141">
        <f t="shared" si="12"/>
        <v>50000</v>
      </c>
      <c r="J26" s="141">
        <f t="shared" si="12"/>
        <v>50000</v>
      </c>
      <c r="K26" s="141">
        <f t="shared" si="12"/>
        <v>49166.67</v>
      </c>
      <c r="L26" s="141">
        <f t="shared" si="12"/>
        <v>48333.34</v>
      </c>
      <c r="M26" s="141">
        <f t="shared" si="12"/>
        <v>47500.009999999995</v>
      </c>
      <c r="P26" s="225" t="s">
        <v>340</v>
      </c>
      <c r="Q26" s="226">
        <f t="shared" ref="Q26:V26" si="13">$B$3*0.006/6*$B$7</f>
        <v>10.5</v>
      </c>
      <c r="R26" s="226">
        <f t="shared" si="13"/>
        <v>10.5</v>
      </c>
      <c r="S26" s="226">
        <f t="shared" si="13"/>
        <v>10.5</v>
      </c>
      <c r="T26" s="226">
        <f t="shared" si="13"/>
        <v>10.5</v>
      </c>
      <c r="U26" s="226">
        <f t="shared" si="13"/>
        <v>10.5</v>
      </c>
      <c r="V26" s="226">
        <f t="shared" si="13"/>
        <v>10.5</v>
      </c>
      <c r="W26" s="215"/>
    </row>
    <row r="27" spans="1:23">
      <c r="P27" s="225" t="s">
        <v>341</v>
      </c>
      <c r="Q27" s="227">
        <f>Q18+Q19-Q21+Q22-Q23+Q24-Q25-Q26</f>
        <v>600.13839999999993</v>
      </c>
      <c r="R27" s="227">
        <f>R18+R19-R21+R22-R23+R24-R25-R26</f>
        <v>4923.7433662499998</v>
      </c>
      <c r="S27" s="227">
        <f t="shared" ref="S27:V27" si="14">S18+S19-S21+S22-S23+S24-S25-S26</f>
        <v>12129.407852499999</v>
      </c>
      <c r="T27" s="227">
        <f t="shared" si="14"/>
        <v>11649.073632500002</v>
      </c>
      <c r="U27" s="227">
        <f t="shared" si="14"/>
        <v>11170.864512499997</v>
      </c>
      <c r="V27" s="227">
        <f t="shared" si="14"/>
        <v>10717.248092499996</v>
      </c>
    </row>
    <row r="28" spans="1:23">
      <c r="P28" s="230"/>
      <c r="Q28" s="221"/>
      <c r="R28" s="221"/>
      <c r="S28" s="221"/>
      <c r="T28" s="221"/>
      <c r="U28" s="221"/>
      <c r="V28" s="221"/>
    </row>
    <row r="29" spans="1:23"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P29" s="231" t="s">
        <v>14</v>
      </c>
      <c r="Q29" s="231">
        <v>0</v>
      </c>
      <c r="R29" s="231">
        <v>1</v>
      </c>
      <c r="S29" s="231">
        <v>2</v>
      </c>
      <c r="T29" s="231">
        <v>3</v>
      </c>
      <c r="U29" s="231">
        <v>4</v>
      </c>
      <c r="V29" s="231">
        <v>5</v>
      </c>
    </row>
    <row r="30" spans="1:23">
      <c r="A30" s="74"/>
      <c r="B30" s="144">
        <v>44927</v>
      </c>
      <c r="C30" s="144">
        <v>44958</v>
      </c>
      <c r="D30" s="144">
        <v>44986</v>
      </c>
      <c r="E30" s="144">
        <v>45017</v>
      </c>
      <c r="F30" s="144">
        <v>45047</v>
      </c>
      <c r="G30" s="144">
        <v>45078</v>
      </c>
      <c r="H30" s="144">
        <v>45108</v>
      </c>
      <c r="I30" s="144">
        <v>45139</v>
      </c>
      <c r="J30" s="144">
        <v>45170</v>
      </c>
      <c r="K30" s="144">
        <v>45200</v>
      </c>
      <c r="L30" s="144">
        <v>45231</v>
      </c>
      <c r="M30" s="144">
        <v>45261</v>
      </c>
      <c r="N30" t="s">
        <v>322</v>
      </c>
      <c r="P30" s="229" t="s">
        <v>342</v>
      </c>
      <c r="Q30" s="228">
        <f>Q17-Q17*0.6%-Q27-D6</f>
        <v>48631.861599999997</v>
      </c>
      <c r="R30" s="228">
        <f>-R27</f>
        <v>-4923.7433662499998</v>
      </c>
      <c r="S30" s="228">
        <f>-S27</f>
        <v>-12129.407852499999</v>
      </c>
      <c r="T30" s="228">
        <f>-T27</f>
        <v>-11649.073632500002</v>
      </c>
      <c r="U30" s="228">
        <f>-U27</f>
        <v>-11170.864512499997</v>
      </c>
      <c r="V30" s="228">
        <f>-V27</f>
        <v>-10717.248092499996</v>
      </c>
    </row>
    <row r="31" spans="1:23">
      <c r="A31" s="74" t="s">
        <v>323</v>
      </c>
      <c r="B31" s="141">
        <f>M26</f>
        <v>47500.009999999995</v>
      </c>
      <c r="C31" s="141">
        <f>B37</f>
        <v>46666.679999999993</v>
      </c>
      <c r="D31" s="141">
        <f>C37</f>
        <v>45833.349999999991</v>
      </c>
      <c r="E31" s="141">
        <f>D37</f>
        <v>45000.01999999999</v>
      </c>
      <c r="F31" s="141">
        <f>E37</f>
        <v>44166.689999999988</v>
      </c>
      <c r="G31" s="141">
        <f t="shared" ref="G31:M31" si="15">F37</f>
        <v>43333.359999999986</v>
      </c>
      <c r="H31" s="141">
        <f t="shared" si="15"/>
        <v>42500.029999999984</v>
      </c>
      <c r="I31" s="141">
        <f t="shared" si="15"/>
        <v>41666.699999999983</v>
      </c>
      <c r="J31" s="141">
        <f t="shared" si="15"/>
        <v>40833.369999999981</v>
      </c>
      <c r="K31" s="141">
        <f t="shared" si="15"/>
        <v>40000.039999999979</v>
      </c>
      <c r="L31" s="141">
        <f t="shared" si="15"/>
        <v>39166.709999999977</v>
      </c>
      <c r="M31" s="141">
        <f t="shared" si="15"/>
        <v>38333.379999999976</v>
      </c>
      <c r="P31" s="229" t="s">
        <v>343</v>
      </c>
      <c r="Q31" s="232">
        <f>IRR(Q30:V30)</f>
        <v>1.2414898862445511E-2</v>
      </c>
      <c r="R31" s="134"/>
      <c r="S31" s="134"/>
      <c r="T31" s="134"/>
      <c r="U31" s="134"/>
      <c r="V31" s="134"/>
    </row>
    <row r="32" spans="1:23">
      <c r="A32" s="74" t="s">
        <v>324</v>
      </c>
      <c r="B32" s="142">
        <f t="shared" ref="B32:M32" si="16">B31*$B$4</f>
        <v>197.9167083333333</v>
      </c>
      <c r="C32" s="142">
        <f t="shared" si="16"/>
        <v>194.44449999999998</v>
      </c>
      <c r="D32" s="142">
        <f t="shared" si="16"/>
        <v>190.97229166666662</v>
      </c>
      <c r="E32" s="142">
        <f t="shared" si="16"/>
        <v>187.50008333333329</v>
      </c>
      <c r="F32" s="142">
        <f t="shared" si="16"/>
        <v>184.02787499999994</v>
      </c>
      <c r="G32" s="142">
        <f t="shared" si="16"/>
        <v>180.55566666666661</v>
      </c>
      <c r="H32" s="142">
        <f t="shared" si="16"/>
        <v>177.08345833333325</v>
      </c>
      <c r="I32" s="142">
        <f t="shared" si="16"/>
        <v>173.61124999999993</v>
      </c>
      <c r="J32" s="142">
        <f t="shared" si="16"/>
        <v>170.13904166666657</v>
      </c>
      <c r="K32" s="142">
        <f>K31*$B$4</f>
        <v>166.66683333333324</v>
      </c>
      <c r="L32" s="142">
        <f t="shared" si="16"/>
        <v>163.19462499999992</v>
      </c>
      <c r="M32" s="142">
        <f t="shared" si="16"/>
        <v>159.72241666666656</v>
      </c>
      <c r="N32" s="116">
        <f>SUM(B32:M32)</f>
        <v>2145.8347499999991</v>
      </c>
    </row>
    <row r="33" spans="1:21">
      <c r="A33" s="74" t="s">
        <v>325</v>
      </c>
      <c r="B33" s="142">
        <f t="shared" ref="B33:J33" si="17">45.81</f>
        <v>45.81</v>
      </c>
      <c r="C33" s="142">
        <f t="shared" si="17"/>
        <v>45.81</v>
      </c>
      <c r="D33" s="142">
        <f t="shared" si="17"/>
        <v>45.81</v>
      </c>
      <c r="E33" s="142">
        <f t="shared" si="17"/>
        <v>45.81</v>
      </c>
      <c r="F33" s="142">
        <f t="shared" si="17"/>
        <v>45.81</v>
      </c>
      <c r="G33" s="142">
        <f t="shared" si="17"/>
        <v>45.81</v>
      </c>
      <c r="H33" s="142">
        <f t="shared" si="17"/>
        <v>45.81</v>
      </c>
      <c r="I33" s="142">
        <f t="shared" si="17"/>
        <v>45.81</v>
      </c>
      <c r="J33" s="142">
        <f t="shared" si="17"/>
        <v>45.81</v>
      </c>
      <c r="K33" s="142">
        <f t="shared" ref="K33:M33" si="18">37.48</f>
        <v>37.479999999999997</v>
      </c>
      <c r="L33" s="142">
        <f t="shared" si="18"/>
        <v>37.479999999999997</v>
      </c>
      <c r="M33" s="142">
        <f t="shared" si="18"/>
        <v>37.479999999999997</v>
      </c>
      <c r="N33" s="116">
        <f>SUM(B33:M33)</f>
        <v>524.73</v>
      </c>
    </row>
    <row r="34" spans="1:21">
      <c r="A34" s="74" t="s">
        <v>326</v>
      </c>
      <c r="B34" s="142">
        <v>3.42</v>
      </c>
      <c r="C34" s="142">
        <v>3.4</v>
      </c>
      <c r="D34" s="142">
        <v>3.37</v>
      </c>
      <c r="E34" s="142">
        <v>3.34</v>
      </c>
      <c r="F34" s="142">
        <v>3.31</v>
      </c>
      <c r="G34" s="145">
        <v>3.28</v>
      </c>
      <c r="H34" s="145">
        <v>3.26</v>
      </c>
      <c r="I34" s="145">
        <v>3.23</v>
      </c>
      <c r="J34" s="145">
        <v>3.2</v>
      </c>
      <c r="K34" s="145">
        <v>2.83</v>
      </c>
      <c r="L34" s="145">
        <v>2.81</v>
      </c>
      <c r="M34" s="145">
        <v>2.78</v>
      </c>
      <c r="N34" s="116">
        <f>SUM(B34:M34)</f>
        <v>38.230000000000004</v>
      </c>
      <c r="P34" s="259" t="s">
        <v>344</v>
      </c>
      <c r="Q34" s="258"/>
      <c r="R34" s="258"/>
      <c r="S34" s="258"/>
      <c r="T34" s="258"/>
      <c r="U34" s="258"/>
    </row>
    <row r="35" spans="1:21">
      <c r="A35" s="74" t="s">
        <v>327</v>
      </c>
      <c r="B35" s="74">
        <v>833.33</v>
      </c>
      <c r="C35" s="74">
        <v>833.33</v>
      </c>
      <c r="D35" s="74">
        <v>833.33</v>
      </c>
      <c r="E35" s="74">
        <v>833.33</v>
      </c>
      <c r="F35" s="74">
        <v>833.33</v>
      </c>
      <c r="G35" s="74">
        <v>833.33</v>
      </c>
      <c r="H35" s="74">
        <v>833.33</v>
      </c>
      <c r="I35" s="74">
        <v>833.33</v>
      </c>
      <c r="J35" s="74">
        <v>833.33</v>
      </c>
      <c r="K35" s="74">
        <v>833.33</v>
      </c>
      <c r="L35" s="74">
        <v>833.33</v>
      </c>
      <c r="M35" s="74">
        <v>833.33</v>
      </c>
      <c r="N35" s="116">
        <f>SUM(B35:M35)</f>
        <v>9999.9600000000009</v>
      </c>
      <c r="P35" s="261" t="s">
        <v>345</v>
      </c>
      <c r="Q35" s="261" t="s">
        <v>346</v>
      </c>
      <c r="R35" s="261" t="s">
        <v>347</v>
      </c>
      <c r="S35" s="261" t="s">
        <v>336</v>
      </c>
      <c r="T35" s="261" t="s">
        <v>338</v>
      </c>
      <c r="U35" s="261" t="s">
        <v>40</v>
      </c>
    </row>
    <row r="36" spans="1:21">
      <c r="A36" s="74" t="s">
        <v>328</v>
      </c>
      <c r="B36" s="141">
        <f>SUM(B32:B35)</f>
        <v>1080.4767083333334</v>
      </c>
      <c r="C36" s="141">
        <f t="shared" ref="C36:D36" si="19">SUM(C32:C35)</f>
        <v>1076.9845</v>
      </c>
      <c r="D36" s="141">
        <f t="shared" si="19"/>
        <v>1073.4822916666667</v>
      </c>
      <c r="E36" s="141">
        <f>SUM(E32:E35)</f>
        <v>1069.9800833333334</v>
      </c>
      <c r="F36" s="141">
        <f>SUM(F32:F35)</f>
        <v>1066.477875</v>
      </c>
      <c r="G36" s="141">
        <f t="shared" ref="G36" si="20">SUM(G32:G35)</f>
        <v>1062.9756666666667</v>
      </c>
      <c r="H36" s="141">
        <f t="shared" ref="H36" si="21">SUM(H32:H35)</f>
        <v>1059.4834583333334</v>
      </c>
      <c r="I36" s="141">
        <f t="shared" ref="I36" si="22">SUM(I32:I35)</f>
        <v>1055.98125</v>
      </c>
      <c r="J36" s="141">
        <f t="shared" ref="J36" si="23">SUM(J32:J35)</f>
        <v>1052.4790416666665</v>
      </c>
      <c r="K36" s="141">
        <f t="shared" ref="K36" si="24">SUM(K32:K35)</f>
        <v>1040.3068333333333</v>
      </c>
      <c r="L36" s="141">
        <f t="shared" ref="L36" si="25">SUM(L32:L35)</f>
        <v>1036.814625</v>
      </c>
      <c r="M36" s="141">
        <f t="shared" ref="M36" si="26">SUM(M32:M35)</f>
        <v>1033.3124166666666</v>
      </c>
      <c r="N36" s="150">
        <f>SUM(N32:N35)</f>
        <v>12708.75475</v>
      </c>
      <c r="P36" s="262" t="s">
        <v>348</v>
      </c>
      <c r="Q36" s="263">
        <v>44470</v>
      </c>
      <c r="R36" s="264"/>
      <c r="S36" s="264"/>
      <c r="T36" s="264"/>
      <c r="U36" s="264"/>
    </row>
    <row r="37" spans="1:21">
      <c r="A37" s="74" t="s">
        <v>330</v>
      </c>
      <c r="B37" s="141">
        <f>B31-B35</f>
        <v>46666.679999999993</v>
      </c>
      <c r="C37" s="141">
        <f>C31-C35</f>
        <v>45833.349999999991</v>
      </c>
      <c r="D37" s="141">
        <f t="shared" ref="D37:M37" si="27">D31-D35</f>
        <v>45000.01999999999</v>
      </c>
      <c r="E37" s="141">
        <f t="shared" si="27"/>
        <v>44166.689999999988</v>
      </c>
      <c r="F37" s="141">
        <f t="shared" si="27"/>
        <v>43333.359999999986</v>
      </c>
      <c r="G37" s="141">
        <f t="shared" si="27"/>
        <v>42500.029999999984</v>
      </c>
      <c r="H37" s="141">
        <f t="shared" si="27"/>
        <v>41666.699999999983</v>
      </c>
      <c r="I37" s="141">
        <f t="shared" si="27"/>
        <v>40833.369999999981</v>
      </c>
      <c r="J37" s="141">
        <f t="shared" si="27"/>
        <v>40000.039999999979</v>
      </c>
      <c r="K37" s="141">
        <f t="shared" si="27"/>
        <v>39166.709999999977</v>
      </c>
      <c r="L37" s="141">
        <f t="shared" si="27"/>
        <v>38333.379999999976</v>
      </c>
      <c r="M37" s="141">
        <f t="shared" si="27"/>
        <v>37500.049999999974</v>
      </c>
      <c r="P37" s="262" t="s">
        <v>349</v>
      </c>
      <c r="Q37" s="263">
        <v>44500</v>
      </c>
      <c r="R37" s="265">
        <f>B11</f>
        <v>208.33333333333334</v>
      </c>
      <c r="S37" s="265">
        <f>B13</f>
        <v>3.51</v>
      </c>
      <c r="T37" s="265">
        <f>B12</f>
        <v>45.81</v>
      </c>
      <c r="U37" s="265">
        <f>SUM(R37:T37)</f>
        <v>257.65333333333331</v>
      </c>
    </row>
    <row r="38" spans="1:21">
      <c r="C38" s="65"/>
      <c r="P38" s="262" t="s">
        <v>349</v>
      </c>
      <c r="Q38" s="263">
        <v>44530</v>
      </c>
      <c r="R38" s="265">
        <f>C11</f>
        <v>208.33333333333334</v>
      </c>
      <c r="S38" s="265">
        <f>C13</f>
        <v>3.51</v>
      </c>
      <c r="T38" s="265">
        <f>D12</f>
        <v>45.81</v>
      </c>
      <c r="U38" s="265">
        <f>SUM(R38:T38)</f>
        <v>257.65333333333331</v>
      </c>
    </row>
    <row r="39" spans="1:21">
      <c r="A39" s="74"/>
      <c r="B39" s="144">
        <v>45292</v>
      </c>
      <c r="C39" s="144">
        <v>45323</v>
      </c>
      <c r="D39" s="144">
        <v>45352</v>
      </c>
      <c r="E39" s="144">
        <v>45383</v>
      </c>
      <c r="F39" s="144">
        <v>45413</v>
      </c>
      <c r="G39" s="144">
        <v>45444</v>
      </c>
      <c r="H39" s="144">
        <v>45474</v>
      </c>
      <c r="I39" s="144">
        <v>45505</v>
      </c>
      <c r="J39" s="144">
        <v>45536</v>
      </c>
      <c r="K39" s="144">
        <v>45566</v>
      </c>
      <c r="L39" s="144">
        <v>45597</v>
      </c>
      <c r="M39" s="144">
        <v>45627</v>
      </c>
      <c r="P39" s="262" t="s">
        <v>349</v>
      </c>
      <c r="Q39" s="263">
        <v>44561</v>
      </c>
      <c r="R39" s="265">
        <f>D11</f>
        <v>208.33333333333334</v>
      </c>
      <c r="S39" s="265">
        <f>D13</f>
        <v>3.51</v>
      </c>
      <c r="T39" s="265">
        <f>D12</f>
        <v>45.81</v>
      </c>
      <c r="U39" s="265">
        <f>SUM(R39:T39)</f>
        <v>257.65333333333331</v>
      </c>
    </row>
    <row r="40" spans="1:21">
      <c r="A40" s="74" t="s">
        <v>323</v>
      </c>
      <c r="B40" s="142">
        <f>M37</f>
        <v>37500.049999999974</v>
      </c>
      <c r="C40" s="142">
        <f t="shared" ref="C40:M40" si="28">B46</f>
        <v>36666.719999999972</v>
      </c>
      <c r="D40" s="141">
        <f t="shared" si="28"/>
        <v>35833.38999999997</v>
      </c>
      <c r="E40" s="141">
        <f t="shared" si="28"/>
        <v>35000.059999999969</v>
      </c>
      <c r="F40" s="141">
        <f t="shared" si="28"/>
        <v>34166.729999999967</v>
      </c>
      <c r="G40" s="141">
        <f t="shared" si="28"/>
        <v>33333.399999999965</v>
      </c>
      <c r="H40" s="141">
        <f t="shared" si="28"/>
        <v>32500.069999999963</v>
      </c>
      <c r="I40" s="141">
        <f t="shared" si="28"/>
        <v>31666.739999999962</v>
      </c>
      <c r="J40" s="141">
        <f t="shared" si="28"/>
        <v>30833.40999999996</v>
      </c>
      <c r="K40" s="141">
        <f t="shared" si="28"/>
        <v>30000.079999999958</v>
      </c>
      <c r="L40" s="141">
        <f t="shared" si="28"/>
        <v>29166.749999999956</v>
      </c>
      <c r="M40" s="141">
        <f t="shared" si="28"/>
        <v>28333.419999999955</v>
      </c>
      <c r="P40" s="266" t="s">
        <v>40</v>
      </c>
      <c r="Q40" s="267"/>
      <c r="R40" s="268">
        <f>SUM(R37:R39)</f>
        <v>625</v>
      </c>
      <c r="S40" s="268">
        <f>SUM(S37:S39)</f>
        <v>10.53</v>
      </c>
      <c r="T40" s="268">
        <f>SUM(T37:T39)</f>
        <v>137.43</v>
      </c>
      <c r="U40" s="268">
        <f>SUM(U37:U39)</f>
        <v>772.95999999999992</v>
      </c>
    </row>
    <row r="41" spans="1:21">
      <c r="A41" s="74" t="s">
        <v>324</v>
      </c>
      <c r="B41" s="142">
        <f t="shared" ref="B41:M41" si="29">B40*$B$4</f>
        <v>156.25020833333323</v>
      </c>
      <c r="C41" s="142">
        <f t="shared" si="29"/>
        <v>152.77799999999988</v>
      </c>
      <c r="D41" s="142">
        <f t="shared" si="29"/>
        <v>149.30579166666655</v>
      </c>
      <c r="E41" s="142">
        <f t="shared" si="29"/>
        <v>145.83358333333319</v>
      </c>
      <c r="F41" s="142">
        <f t="shared" si="29"/>
        <v>142.36137499999987</v>
      </c>
      <c r="G41" s="142">
        <f t="shared" si="29"/>
        <v>138.88916666666651</v>
      </c>
      <c r="H41" s="142">
        <f t="shared" si="29"/>
        <v>135.41695833333318</v>
      </c>
      <c r="I41" s="142">
        <f t="shared" si="29"/>
        <v>131.94474999999983</v>
      </c>
      <c r="J41" s="142">
        <f t="shared" si="29"/>
        <v>128.4725416666665</v>
      </c>
      <c r="K41" s="142">
        <f t="shared" si="29"/>
        <v>125.00033333333316</v>
      </c>
      <c r="L41" s="142">
        <f t="shared" si="29"/>
        <v>121.52812499999982</v>
      </c>
      <c r="M41" s="142">
        <f t="shared" si="29"/>
        <v>118.05591666666648</v>
      </c>
      <c r="N41" s="116">
        <f>SUM(B41:M41)</f>
        <v>1645.8367499999983</v>
      </c>
      <c r="Q41" s="233"/>
    </row>
    <row r="42" spans="1:21">
      <c r="A42" s="74" t="s">
        <v>325</v>
      </c>
      <c r="B42" s="142">
        <f>37.48</f>
        <v>37.479999999999997</v>
      </c>
      <c r="C42" s="142">
        <f>37.48</f>
        <v>37.479999999999997</v>
      </c>
      <c r="D42" s="142">
        <f>37.48</f>
        <v>37.479999999999997</v>
      </c>
      <c r="E42" s="142">
        <f>37.48</f>
        <v>37.479999999999997</v>
      </c>
      <c r="F42" s="142">
        <f t="shared" ref="F42:J42" si="30">$B$42</f>
        <v>37.479999999999997</v>
      </c>
      <c r="G42" s="142">
        <f t="shared" si="30"/>
        <v>37.479999999999997</v>
      </c>
      <c r="H42" s="142">
        <f t="shared" si="30"/>
        <v>37.479999999999997</v>
      </c>
      <c r="I42" s="142">
        <f t="shared" si="30"/>
        <v>37.479999999999997</v>
      </c>
      <c r="J42" s="142">
        <f t="shared" si="30"/>
        <v>37.479999999999997</v>
      </c>
      <c r="K42" s="142">
        <f>29.15</f>
        <v>29.15</v>
      </c>
      <c r="L42" s="142">
        <f>29.15</f>
        <v>29.15</v>
      </c>
      <c r="M42" s="142">
        <f>29.15</f>
        <v>29.15</v>
      </c>
      <c r="N42" s="116">
        <f>SUM(B42:M42)</f>
        <v>424.76999999999992</v>
      </c>
      <c r="Q42" s="233"/>
    </row>
    <row r="43" spans="1:21">
      <c r="A43" s="74" t="s">
        <v>326</v>
      </c>
      <c r="B43" s="142">
        <v>2.75</v>
      </c>
      <c r="C43" s="142">
        <v>2.72</v>
      </c>
      <c r="D43" s="142">
        <v>2.69</v>
      </c>
      <c r="E43" s="142">
        <v>2.67</v>
      </c>
      <c r="F43" s="142">
        <v>2.64</v>
      </c>
      <c r="G43" s="148">
        <v>2.61</v>
      </c>
      <c r="H43" s="148">
        <v>2.58</v>
      </c>
      <c r="I43" s="148">
        <v>2.56</v>
      </c>
      <c r="J43" s="148">
        <v>2.5299999999999998</v>
      </c>
      <c r="K43" s="148">
        <v>2.17</v>
      </c>
      <c r="L43" s="148">
        <v>2.14</v>
      </c>
      <c r="M43" s="148">
        <v>2.11</v>
      </c>
      <c r="N43" s="116">
        <f>SUM(B43:M43)</f>
        <v>30.17</v>
      </c>
      <c r="Q43" s="233"/>
    </row>
    <row r="44" spans="1:21">
      <c r="A44" s="74" t="s">
        <v>327</v>
      </c>
      <c r="B44" s="74">
        <v>833.33</v>
      </c>
      <c r="C44" s="74">
        <v>833.33</v>
      </c>
      <c r="D44" s="74">
        <v>833.33</v>
      </c>
      <c r="E44" s="74">
        <v>833.33</v>
      </c>
      <c r="F44" s="74">
        <v>833.33</v>
      </c>
      <c r="G44" s="74">
        <v>833.33</v>
      </c>
      <c r="H44" s="74">
        <v>833.33</v>
      </c>
      <c r="I44" s="74">
        <v>833.33</v>
      </c>
      <c r="J44" s="74">
        <v>833.33</v>
      </c>
      <c r="K44" s="74">
        <v>833.33</v>
      </c>
      <c r="L44" s="74">
        <v>833.33</v>
      </c>
      <c r="M44" s="74">
        <v>833.33</v>
      </c>
      <c r="N44">
        <f>SUM(B44:M44)</f>
        <v>9999.9600000000009</v>
      </c>
      <c r="Q44" s="233"/>
    </row>
    <row r="45" spans="1:21">
      <c r="A45" s="74" t="s">
        <v>328</v>
      </c>
      <c r="B45" s="149">
        <f t="shared" ref="B45:N45" si="31">SUM(B41:B44)</f>
        <v>1029.8102083333333</v>
      </c>
      <c r="C45" s="149">
        <f t="shared" si="31"/>
        <v>1026.308</v>
      </c>
      <c r="D45" s="149">
        <f t="shared" si="31"/>
        <v>1022.8057916666666</v>
      </c>
      <c r="E45" s="149">
        <f t="shared" si="31"/>
        <v>1019.3135833333332</v>
      </c>
      <c r="F45" s="149">
        <f t="shared" si="31"/>
        <v>1015.8113749999999</v>
      </c>
      <c r="G45" s="149">
        <f t="shared" si="31"/>
        <v>1012.3091666666666</v>
      </c>
      <c r="H45" s="149">
        <f t="shared" si="31"/>
        <v>1008.8069583333332</v>
      </c>
      <c r="I45" s="149">
        <f t="shared" si="31"/>
        <v>1005.3147499999999</v>
      </c>
      <c r="J45" s="149">
        <f t="shared" si="31"/>
        <v>1001.8125416666666</v>
      </c>
      <c r="K45" s="149">
        <f t="shared" si="31"/>
        <v>989.65033333333315</v>
      </c>
      <c r="L45" s="149">
        <f t="shared" si="31"/>
        <v>986.14812499999982</v>
      </c>
      <c r="M45" s="149">
        <f t="shared" si="31"/>
        <v>982.64591666666649</v>
      </c>
      <c r="N45" s="150">
        <f t="shared" si="31"/>
        <v>12100.73675</v>
      </c>
      <c r="Q45" s="233"/>
    </row>
    <row r="46" spans="1:21">
      <c r="A46" s="74" t="s">
        <v>330</v>
      </c>
      <c r="B46" s="141">
        <f t="shared" ref="B46:M46" si="32">B40-B44</f>
        <v>36666.719999999972</v>
      </c>
      <c r="C46" s="141">
        <f t="shared" si="32"/>
        <v>35833.38999999997</v>
      </c>
      <c r="D46" s="141">
        <f t="shared" si="32"/>
        <v>35000.059999999969</v>
      </c>
      <c r="E46" s="141">
        <f t="shared" si="32"/>
        <v>34166.729999999967</v>
      </c>
      <c r="F46" s="141">
        <f t="shared" si="32"/>
        <v>33333.399999999965</v>
      </c>
      <c r="G46" s="141">
        <f t="shared" si="32"/>
        <v>32500.069999999963</v>
      </c>
      <c r="H46" s="141">
        <f t="shared" si="32"/>
        <v>31666.739999999962</v>
      </c>
      <c r="I46" s="141">
        <f t="shared" si="32"/>
        <v>30833.40999999996</v>
      </c>
      <c r="J46" s="141">
        <f t="shared" si="32"/>
        <v>30000.079999999958</v>
      </c>
      <c r="K46" s="141">
        <f t="shared" si="32"/>
        <v>29166.749999999956</v>
      </c>
      <c r="L46" s="141">
        <f t="shared" si="32"/>
        <v>28333.419999999955</v>
      </c>
      <c r="M46" s="141">
        <f t="shared" si="32"/>
        <v>27500.089999999953</v>
      </c>
      <c r="Q46" s="233"/>
    </row>
    <row r="47" spans="1:21">
      <c r="Q47" s="233"/>
    </row>
    <row r="48" spans="1:21">
      <c r="A48" s="74"/>
      <c r="B48" s="144">
        <v>45658</v>
      </c>
      <c r="C48" s="144">
        <v>45689</v>
      </c>
      <c r="D48" s="144">
        <v>45717</v>
      </c>
      <c r="E48" s="144">
        <v>45748</v>
      </c>
      <c r="F48" s="144">
        <v>45778</v>
      </c>
      <c r="G48" s="144">
        <v>45809</v>
      </c>
      <c r="H48" s="144">
        <v>45839</v>
      </c>
      <c r="I48" s="144">
        <v>45870</v>
      </c>
      <c r="J48" s="144">
        <v>45901</v>
      </c>
      <c r="K48" s="144">
        <v>45931</v>
      </c>
      <c r="L48" s="144">
        <v>45962</v>
      </c>
      <c r="M48" s="144">
        <v>45992</v>
      </c>
    </row>
    <row r="49" spans="1:14">
      <c r="A49" s="74" t="s">
        <v>323</v>
      </c>
      <c r="B49" s="141">
        <f>M46</f>
        <v>27500.089999999953</v>
      </c>
      <c r="C49" s="141">
        <f t="shared" ref="C49:M49" si="33">B55</f>
        <v>26666.759999999951</v>
      </c>
      <c r="D49" s="141">
        <f t="shared" si="33"/>
        <v>25833.429999999949</v>
      </c>
      <c r="E49" s="141">
        <f t="shared" si="33"/>
        <v>25000.099999999948</v>
      </c>
      <c r="F49" s="141">
        <f t="shared" si="33"/>
        <v>24166.769999999946</v>
      </c>
      <c r="G49" s="141">
        <f t="shared" si="33"/>
        <v>23333.439999999944</v>
      </c>
      <c r="H49" s="141">
        <f t="shared" si="33"/>
        <v>22500.109999999942</v>
      </c>
      <c r="I49" s="141">
        <f t="shared" si="33"/>
        <v>21666.779999999941</v>
      </c>
      <c r="J49" s="141">
        <f t="shared" si="33"/>
        <v>20833.449999999939</v>
      </c>
      <c r="K49" s="141">
        <f t="shared" si="33"/>
        <v>20000.119999999937</v>
      </c>
      <c r="L49" s="141">
        <f t="shared" si="33"/>
        <v>19166.789999999935</v>
      </c>
      <c r="M49" s="141">
        <f t="shared" si="33"/>
        <v>18333.459999999934</v>
      </c>
    </row>
    <row r="50" spans="1:14">
      <c r="A50" s="74" t="s">
        <v>324</v>
      </c>
      <c r="B50" s="142">
        <f t="shared" ref="B50:M50" si="34">B49*$B$4</f>
        <v>114.58370833333313</v>
      </c>
      <c r="C50" s="142">
        <f t="shared" si="34"/>
        <v>111.11149999999979</v>
      </c>
      <c r="D50" s="142">
        <f t="shared" si="34"/>
        <v>107.63929166666645</v>
      </c>
      <c r="E50" s="142">
        <f t="shared" si="34"/>
        <v>104.16708333333311</v>
      </c>
      <c r="F50" s="142">
        <f t="shared" si="34"/>
        <v>100.69487499999977</v>
      </c>
      <c r="G50" s="142">
        <f t="shared" si="34"/>
        <v>97.222666666666427</v>
      </c>
      <c r="H50" s="142">
        <f t="shared" si="34"/>
        <v>93.750458333333086</v>
      </c>
      <c r="I50" s="142">
        <f t="shared" si="34"/>
        <v>90.278249999999758</v>
      </c>
      <c r="J50" s="142">
        <f t="shared" si="34"/>
        <v>86.806041666666417</v>
      </c>
      <c r="K50" s="142">
        <f t="shared" si="34"/>
        <v>83.333833333333075</v>
      </c>
      <c r="L50" s="142">
        <f t="shared" si="34"/>
        <v>79.861624999999734</v>
      </c>
      <c r="M50" s="142">
        <f t="shared" si="34"/>
        <v>76.389416666666392</v>
      </c>
      <c r="N50" s="116">
        <f>SUM(B50:M50)</f>
        <v>1145.8387499999972</v>
      </c>
    </row>
    <row r="51" spans="1:14">
      <c r="A51" s="74" t="s">
        <v>325</v>
      </c>
      <c r="B51" s="142">
        <f t="shared" ref="B51:J51" si="35">29.15</f>
        <v>29.15</v>
      </c>
      <c r="C51" s="142">
        <f t="shared" si="35"/>
        <v>29.15</v>
      </c>
      <c r="D51" s="142">
        <f t="shared" si="35"/>
        <v>29.15</v>
      </c>
      <c r="E51" s="142">
        <f t="shared" si="35"/>
        <v>29.15</v>
      </c>
      <c r="F51" s="142">
        <f t="shared" si="35"/>
        <v>29.15</v>
      </c>
      <c r="G51" s="142">
        <f t="shared" si="35"/>
        <v>29.15</v>
      </c>
      <c r="H51" s="142">
        <f t="shared" si="35"/>
        <v>29.15</v>
      </c>
      <c r="I51" s="142">
        <f t="shared" si="35"/>
        <v>29.15</v>
      </c>
      <c r="J51" s="142">
        <f t="shared" si="35"/>
        <v>29.15</v>
      </c>
      <c r="K51" s="142">
        <f t="shared" ref="K51:M51" si="36">21.65</f>
        <v>21.65</v>
      </c>
      <c r="L51" s="142">
        <f t="shared" si="36"/>
        <v>21.65</v>
      </c>
      <c r="M51" s="142">
        <f t="shared" si="36"/>
        <v>21.65</v>
      </c>
      <c r="N51" s="116">
        <f>SUM(B51:M51)</f>
        <v>327.29999999999995</v>
      </c>
    </row>
    <row r="52" spans="1:14">
      <c r="A52" s="74" t="s">
        <v>326</v>
      </c>
      <c r="B52" s="142">
        <v>2.09</v>
      </c>
      <c r="C52" s="142">
        <v>2.06</v>
      </c>
      <c r="D52" s="142">
        <v>2.0299999999999998</v>
      </c>
      <c r="E52" s="142">
        <v>2</v>
      </c>
      <c r="F52" s="142">
        <v>1.98</v>
      </c>
      <c r="G52" s="148">
        <v>1.95</v>
      </c>
      <c r="H52" s="148">
        <v>1.92</v>
      </c>
      <c r="I52" s="148">
        <v>1.89</v>
      </c>
      <c r="J52" s="148">
        <v>1.86</v>
      </c>
      <c r="K52" s="148">
        <v>1.54</v>
      </c>
      <c r="L52" s="148">
        <v>1.51</v>
      </c>
      <c r="M52" s="148">
        <v>1.48</v>
      </c>
      <c r="N52" s="116">
        <f>SUM(B52:M52)</f>
        <v>22.310000000000002</v>
      </c>
    </row>
    <row r="53" spans="1:14">
      <c r="A53" s="74" t="s">
        <v>327</v>
      </c>
      <c r="B53" s="74">
        <v>833.33</v>
      </c>
      <c r="C53" s="74">
        <f t="shared" ref="C53:M53" si="37">B53</f>
        <v>833.33</v>
      </c>
      <c r="D53" s="74">
        <f t="shared" si="37"/>
        <v>833.33</v>
      </c>
      <c r="E53" s="74">
        <f t="shared" si="37"/>
        <v>833.33</v>
      </c>
      <c r="F53" s="74">
        <f t="shared" si="37"/>
        <v>833.33</v>
      </c>
      <c r="G53" s="74">
        <f t="shared" si="37"/>
        <v>833.33</v>
      </c>
      <c r="H53" s="74">
        <f t="shared" si="37"/>
        <v>833.33</v>
      </c>
      <c r="I53" s="74">
        <f t="shared" si="37"/>
        <v>833.33</v>
      </c>
      <c r="J53" s="74">
        <f t="shared" si="37"/>
        <v>833.33</v>
      </c>
      <c r="K53" s="74">
        <f t="shared" si="37"/>
        <v>833.33</v>
      </c>
      <c r="L53" s="74">
        <f t="shared" si="37"/>
        <v>833.33</v>
      </c>
      <c r="M53" s="74">
        <f t="shared" si="37"/>
        <v>833.33</v>
      </c>
      <c r="N53">
        <f>SUM(B53:M53)</f>
        <v>9999.9600000000009</v>
      </c>
    </row>
    <row r="54" spans="1:14">
      <c r="A54" s="74" t="s">
        <v>328</v>
      </c>
      <c r="B54" s="149">
        <f t="shared" ref="B54:N54" si="38">SUM(B50:B53)</f>
        <v>979.15370833333316</v>
      </c>
      <c r="C54" s="149">
        <f t="shared" si="38"/>
        <v>975.65149999999983</v>
      </c>
      <c r="D54" s="149">
        <f t="shared" si="38"/>
        <v>972.1492916666665</v>
      </c>
      <c r="E54" s="149">
        <f t="shared" si="38"/>
        <v>968.64708333333317</v>
      </c>
      <c r="F54" s="149">
        <f t="shared" si="38"/>
        <v>965.15487499999983</v>
      </c>
      <c r="G54" s="149">
        <f t="shared" si="38"/>
        <v>961.65266666666639</v>
      </c>
      <c r="H54" s="149">
        <f t="shared" si="38"/>
        <v>958.15045833333318</v>
      </c>
      <c r="I54" s="149">
        <f t="shared" si="38"/>
        <v>954.64824999999985</v>
      </c>
      <c r="J54" s="149">
        <f t="shared" si="38"/>
        <v>951.14604166666641</v>
      </c>
      <c r="K54" s="149">
        <f t="shared" si="38"/>
        <v>939.85383333333311</v>
      </c>
      <c r="L54" s="149">
        <f t="shared" si="38"/>
        <v>936.35162499999979</v>
      </c>
      <c r="M54" s="149">
        <f t="shared" si="38"/>
        <v>932.84941666666646</v>
      </c>
      <c r="N54" s="150">
        <f t="shared" si="38"/>
        <v>11495.408749999999</v>
      </c>
    </row>
    <row r="55" spans="1:14">
      <c r="A55" s="74" t="s">
        <v>330</v>
      </c>
      <c r="B55" s="141">
        <f t="shared" ref="B55:M55" si="39">B49-B53</f>
        <v>26666.759999999951</v>
      </c>
      <c r="C55" s="141">
        <f t="shared" si="39"/>
        <v>25833.429999999949</v>
      </c>
      <c r="D55" s="141">
        <f t="shared" si="39"/>
        <v>25000.099999999948</v>
      </c>
      <c r="E55" s="141">
        <f t="shared" si="39"/>
        <v>24166.769999999946</v>
      </c>
      <c r="F55" s="141">
        <f t="shared" si="39"/>
        <v>23333.439999999944</v>
      </c>
      <c r="G55" s="141">
        <f t="shared" si="39"/>
        <v>22500.109999999942</v>
      </c>
      <c r="H55" s="141">
        <f t="shared" si="39"/>
        <v>21666.779999999941</v>
      </c>
      <c r="I55" s="141">
        <f t="shared" si="39"/>
        <v>20833.449999999939</v>
      </c>
      <c r="J55" s="141">
        <f t="shared" si="39"/>
        <v>20000.119999999937</v>
      </c>
      <c r="K55" s="141">
        <f t="shared" si="39"/>
        <v>19166.789999999935</v>
      </c>
      <c r="L55" s="141">
        <f t="shared" si="39"/>
        <v>18333.459999999934</v>
      </c>
      <c r="M55" s="141">
        <f t="shared" si="39"/>
        <v>17500.129999999932</v>
      </c>
    </row>
    <row r="57" spans="1:14">
      <c r="A57" s="74"/>
      <c r="B57" s="144">
        <v>46023</v>
      </c>
      <c r="C57" s="144">
        <v>46054</v>
      </c>
      <c r="D57" s="144">
        <v>46082</v>
      </c>
      <c r="E57" s="144">
        <v>46113</v>
      </c>
      <c r="F57" s="144">
        <v>46143</v>
      </c>
      <c r="G57" s="144">
        <v>46174</v>
      </c>
      <c r="H57" s="144">
        <v>46204</v>
      </c>
      <c r="I57" s="144">
        <v>46235</v>
      </c>
      <c r="J57" s="144">
        <v>46266</v>
      </c>
      <c r="K57" s="144">
        <v>46296</v>
      </c>
      <c r="L57" s="144">
        <v>46327</v>
      </c>
      <c r="M57" s="144">
        <v>46357</v>
      </c>
    </row>
    <row r="58" spans="1:14">
      <c r="A58" s="74" t="s">
        <v>323</v>
      </c>
      <c r="B58" s="141">
        <f>M55</f>
        <v>17500.129999999932</v>
      </c>
      <c r="C58" s="141">
        <f t="shared" ref="C58:M58" si="40">B64</f>
        <v>16666.79999999993</v>
      </c>
      <c r="D58" s="141">
        <f t="shared" si="40"/>
        <v>15833.46999999993</v>
      </c>
      <c r="E58" s="141">
        <f t="shared" si="40"/>
        <v>15000.13999999993</v>
      </c>
      <c r="F58" s="141">
        <f t="shared" si="40"/>
        <v>14166.80999999993</v>
      </c>
      <c r="G58" s="141">
        <f t="shared" si="40"/>
        <v>13333.47999999993</v>
      </c>
      <c r="H58" s="141">
        <f t="shared" si="40"/>
        <v>12500.149999999931</v>
      </c>
      <c r="I58" s="141">
        <f t="shared" si="40"/>
        <v>11666.819999999931</v>
      </c>
      <c r="J58" s="141">
        <f t="shared" si="40"/>
        <v>10833.489999999931</v>
      </c>
      <c r="K58" s="141">
        <f t="shared" si="40"/>
        <v>10000.159999999931</v>
      </c>
      <c r="L58" s="141">
        <f t="shared" si="40"/>
        <v>9166.8299999999308</v>
      </c>
      <c r="M58" s="141">
        <f t="shared" si="40"/>
        <v>8333.4999999999309</v>
      </c>
    </row>
    <row r="59" spans="1:14">
      <c r="A59" s="74" t="s">
        <v>324</v>
      </c>
      <c r="B59" s="142">
        <f t="shared" ref="B59:M59" si="41">B58*$B$4</f>
        <v>72.917208333333051</v>
      </c>
      <c r="C59" s="142">
        <f t="shared" si="41"/>
        <v>69.444999999999709</v>
      </c>
      <c r="D59" s="142">
        <f t="shared" si="41"/>
        <v>65.972791666666382</v>
      </c>
      <c r="E59" s="142">
        <f t="shared" si="41"/>
        <v>62.50058333333304</v>
      </c>
      <c r="F59" s="142">
        <f t="shared" si="41"/>
        <v>59.028374999999706</v>
      </c>
      <c r="G59" s="142">
        <f t="shared" si="41"/>
        <v>55.556166666666378</v>
      </c>
      <c r="H59" s="142">
        <f t="shared" si="41"/>
        <v>52.083958333333044</v>
      </c>
      <c r="I59" s="142">
        <f t="shared" si="41"/>
        <v>48.611749999999709</v>
      </c>
      <c r="J59" s="142">
        <f t="shared" si="41"/>
        <v>45.139541666666375</v>
      </c>
      <c r="K59" s="142">
        <f t="shared" si="41"/>
        <v>41.667333333333048</v>
      </c>
      <c r="L59" s="142">
        <f t="shared" si="41"/>
        <v>38.195124999999713</v>
      </c>
      <c r="M59" s="142">
        <f t="shared" si="41"/>
        <v>34.722916666666379</v>
      </c>
      <c r="N59" s="116">
        <f>SUM(B59:M59)</f>
        <v>645.84074999999655</v>
      </c>
    </row>
    <row r="60" spans="1:14">
      <c r="A60" s="74" t="s">
        <v>325</v>
      </c>
      <c r="B60" s="142">
        <f t="shared" ref="B60:M60" si="42">21.65</f>
        <v>21.65</v>
      </c>
      <c r="C60" s="142">
        <f t="shared" si="42"/>
        <v>21.65</v>
      </c>
      <c r="D60" s="142">
        <f t="shared" si="42"/>
        <v>21.65</v>
      </c>
      <c r="E60" s="142">
        <f t="shared" si="42"/>
        <v>21.65</v>
      </c>
      <c r="F60" s="142">
        <f t="shared" si="42"/>
        <v>21.65</v>
      </c>
      <c r="G60" s="142">
        <f t="shared" si="42"/>
        <v>21.65</v>
      </c>
      <c r="H60" s="142">
        <f t="shared" si="42"/>
        <v>21.65</v>
      </c>
      <c r="I60" s="142">
        <f t="shared" si="42"/>
        <v>21.65</v>
      </c>
      <c r="J60" s="142">
        <f t="shared" si="42"/>
        <v>21.65</v>
      </c>
      <c r="K60" s="142">
        <f t="shared" si="42"/>
        <v>21.65</v>
      </c>
      <c r="L60" s="142">
        <f t="shared" si="42"/>
        <v>21.65</v>
      </c>
      <c r="M60" s="142">
        <f t="shared" si="42"/>
        <v>21.65</v>
      </c>
      <c r="N60" s="116">
        <f>SUM(B60:M60)</f>
        <v>259.8</v>
      </c>
    </row>
    <row r="61" spans="1:14">
      <c r="A61" s="74" t="s">
        <v>326</v>
      </c>
      <c r="B61" s="142">
        <v>1.45</v>
      </c>
      <c r="C61" s="142">
        <v>1.43</v>
      </c>
      <c r="D61" s="142">
        <v>1.4</v>
      </c>
      <c r="E61" s="142">
        <v>1.37</v>
      </c>
      <c r="F61" s="142">
        <v>1.34</v>
      </c>
      <c r="G61" s="148">
        <v>1.31</v>
      </c>
      <c r="H61" s="148">
        <v>1.29</v>
      </c>
      <c r="I61" s="148">
        <v>1.26</v>
      </c>
      <c r="J61" s="148">
        <v>1.23</v>
      </c>
      <c r="K61" s="148">
        <v>1.2</v>
      </c>
      <c r="L61" s="148">
        <v>1.18</v>
      </c>
      <c r="M61" s="148">
        <v>1.1499999999999999</v>
      </c>
      <c r="N61" s="116">
        <f>SUM(B61:M61)</f>
        <v>15.61</v>
      </c>
    </row>
    <row r="62" spans="1:14">
      <c r="A62" s="74" t="s">
        <v>327</v>
      </c>
      <c r="B62" s="74">
        <f>B53</f>
        <v>833.33</v>
      </c>
      <c r="C62" s="74">
        <f t="shared" ref="C62:M62" si="43">C53</f>
        <v>833.33</v>
      </c>
      <c r="D62" s="74">
        <f t="shared" si="43"/>
        <v>833.33</v>
      </c>
      <c r="E62" s="74">
        <f t="shared" si="43"/>
        <v>833.33</v>
      </c>
      <c r="F62" s="74">
        <f t="shared" si="43"/>
        <v>833.33</v>
      </c>
      <c r="G62" s="74">
        <f t="shared" si="43"/>
        <v>833.33</v>
      </c>
      <c r="H62" s="74">
        <f t="shared" si="43"/>
        <v>833.33</v>
      </c>
      <c r="I62" s="74">
        <f t="shared" si="43"/>
        <v>833.33</v>
      </c>
      <c r="J62" s="74">
        <f t="shared" si="43"/>
        <v>833.33</v>
      </c>
      <c r="K62" s="74">
        <f t="shared" si="43"/>
        <v>833.33</v>
      </c>
      <c r="L62" s="74">
        <f t="shared" si="43"/>
        <v>833.33</v>
      </c>
      <c r="M62" s="74">
        <f t="shared" si="43"/>
        <v>833.33</v>
      </c>
      <c r="N62">
        <f>SUM(B62:M62)</f>
        <v>9999.9600000000009</v>
      </c>
    </row>
    <row r="63" spans="1:14">
      <c r="A63" s="74" t="s">
        <v>328</v>
      </c>
      <c r="B63" s="149">
        <f t="shared" ref="B63:N63" si="44">SUM(B59:B62)</f>
        <v>929.34720833333313</v>
      </c>
      <c r="C63" s="149">
        <f t="shared" si="44"/>
        <v>925.85499999999979</v>
      </c>
      <c r="D63" s="149">
        <f t="shared" si="44"/>
        <v>922.35279166666646</v>
      </c>
      <c r="E63" s="149">
        <f t="shared" si="44"/>
        <v>918.85058333333313</v>
      </c>
      <c r="F63" s="149">
        <f t="shared" si="44"/>
        <v>915.34837499999981</v>
      </c>
      <c r="G63" s="149">
        <f t="shared" si="44"/>
        <v>911.84616666666648</v>
      </c>
      <c r="H63" s="149">
        <f t="shared" si="44"/>
        <v>908.35395833333314</v>
      </c>
      <c r="I63" s="149">
        <f t="shared" si="44"/>
        <v>904.85174999999981</v>
      </c>
      <c r="J63" s="149">
        <f t="shared" si="44"/>
        <v>901.34954166666637</v>
      </c>
      <c r="K63" s="149">
        <f t="shared" si="44"/>
        <v>897.84733333333304</v>
      </c>
      <c r="L63" s="149">
        <f t="shared" si="44"/>
        <v>894.3551249999997</v>
      </c>
      <c r="M63" s="149">
        <f t="shared" si="44"/>
        <v>890.85291666666637</v>
      </c>
      <c r="N63" s="150">
        <f t="shared" si="44"/>
        <v>10921.210749999998</v>
      </c>
    </row>
    <row r="64" spans="1:14">
      <c r="A64" s="74" t="s">
        <v>330</v>
      </c>
      <c r="B64" s="141">
        <f t="shared" ref="B64:M64" si="45">B58-B62</f>
        <v>16666.79999999993</v>
      </c>
      <c r="C64" s="141">
        <f t="shared" si="45"/>
        <v>15833.46999999993</v>
      </c>
      <c r="D64" s="141">
        <f t="shared" si="45"/>
        <v>15000.13999999993</v>
      </c>
      <c r="E64" s="141">
        <f t="shared" si="45"/>
        <v>14166.80999999993</v>
      </c>
      <c r="F64" s="141">
        <f t="shared" si="45"/>
        <v>13333.47999999993</v>
      </c>
      <c r="G64" s="141">
        <f t="shared" si="45"/>
        <v>12500.149999999931</v>
      </c>
      <c r="H64" s="141">
        <f t="shared" si="45"/>
        <v>11666.819999999931</v>
      </c>
      <c r="I64" s="141">
        <f t="shared" si="45"/>
        <v>10833.489999999931</v>
      </c>
      <c r="J64" s="141">
        <f t="shared" si="45"/>
        <v>10000.159999999931</v>
      </c>
      <c r="K64" s="141">
        <f t="shared" si="45"/>
        <v>9166.8299999999308</v>
      </c>
      <c r="L64" s="141">
        <f t="shared" si="45"/>
        <v>8333.4999999999309</v>
      </c>
      <c r="M64" s="141">
        <f t="shared" si="45"/>
        <v>7500.169999999931</v>
      </c>
    </row>
    <row r="66" spans="1:9">
      <c r="I66" s="102"/>
    </row>
    <row r="67" spans="1:9">
      <c r="A67" t="s">
        <v>350</v>
      </c>
      <c r="B67" s="116">
        <f>N11+N21+N32+N41+N50+N59</f>
        <v>8697.9343749999898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D636-F496-F94B-A4BF-BF3E5BC81CA8}">
  <dimension ref="B1:X199"/>
  <sheetViews>
    <sheetView tabSelected="1" topLeftCell="K112" zoomScale="59" zoomScaleNormal="125" zoomScalePageLayoutView="62" workbookViewId="0">
      <selection activeCell="T195" sqref="T195"/>
    </sheetView>
  </sheetViews>
  <sheetFormatPr baseColWidth="10" defaultColWidth="11" defaultRowHeight="16"/>
  <cols>
    <col min="2" max="2" width="94.5" customWidth="1"/>
    <col min="3" max="3" width="40.1640625" customWidth="1"/>
    <col min="4" max="5" width="27" customWidth="1"/>
    <col min="6" max="6" width="32.1640625" customWidth="1"/>
    <col min="7" max="7" width="38.33203125" customWidth="1"/>
    <col min="8" max="9" width="30.33203125" bestFit="1" customWidth="1"/>
    <col min="11" max="11" width="41.1640625" customWidth="1"/>
    <col min="12" max="12" width="74.5" customWidth="1"/>
    <col min="13" max="13" width="28" customWidth="1"/>
    <col min="14" max="14" width="48.1640625" customWidth="1"/>
    <col min="15" max="15" width="25.5" customWidth="1"/>
    <col min="16" max="16" width="27.1640625" customWidth="1"/>
    <col min="17" max="17" width="36" customWidth="1"/>
    <col min="18" max="18" width="69.5" customWidth="1"/>
    <col min="19" max="19" width="28" customWidth="1"/>
    <col min="20" max="20" width="25.5" customWidth="1"/>
    <col min="21" max="21" width="24.6640625" customWidth="1"/>
    <col min="22" max="22" width="29.33203125" customWidth="1"/>
  </cols>
  <sheetData>
    <row r="1" spans="2:17">
      <c r="B1" s="711" t="s">
        <v>172</v>
      </c>
      <c r="C1" s="711"/>
      <c r="D1" s="711"/>
      <c r="E1" s="711"/>
      <c r="F1" s="711"/>
      <c r="G1" s="711"/>
      <c r="H1" s="711"/>
      <c r="I1" s="711"/>
      <c r="J1" s="66"/>
    </row>
    <row r="2" spans="2:17">
      <c r="B2" s="540"/>
      <c r="C2" s="541"/>
      <c r="D2" s="542" t="s">
        <v>173</v>
      </c>
      <c r="E2" s="712" t="s">
        <v>174</v>
      </c>
      <c r="F2" s="712"/>
      <c r="G2" s="712"/>
      <c r="H2" s="712"/>
      <c r="I2" s="712"/>
      <c r="J2" s="66"/>
    </row>
    <row r="3" spans="2:17">
      <c r="B3" s="543" t="s">
        <v>24</v>
      </c>
      <c r="C3" s="49" t="s">
        <v>175</v>
      </c>
      <c r="D3" s="49">
        <v>0</v>
      </c>
      <c r="E3" s="49">
        <v>1</v>
      </c>
      <c r="F3" s="49">
        <v>2</v>
      </c>
      <c r="G3" s="49">
        <v>3</v>
      </c>
      <c r="H3" s="49">
        <v>4</v>
      </c>
      <c r="I3" s="49">
        <v>5</v>
      </c>
      <c r="J3" s="66"/>
    </row>
    <row r="4" spans="2:17">
      <c r="B4" s="544" t="s">
        <v>176</v>
      </c>
      <c r="C4" s="545"/>
      <c r="D4" s="546">
        <v>0</v>
      </c>
      <c r="E4" s="545">
        <f>'Forecasted sales'!E25</f>
        <v>696</v>
      </c>
      <c r="F4" s="547">
        <v>830</v>
      </c>
      <c r="G4" s="547">
        <v>1115</v>
      </c>
      <c r="H4" s="547">
        <v>1384</v>
      </c>
      <c r="I4" s="547">
        <v>1716</v>
      </c>
      <c r="J4" s="123"/>
    </row>
    <row r="5" spans="2:17">
      <c r="B5" s="544" t="s">
        <v>177</v>
      </c>
      <c r="C5" s="545"/>
      <c r="D5" s="546"/>
      <c r="E5" s="547"/>
      <c r="F5" s="548">
        <f>(F4-E4)/E4</f>
        <v>0.19252873563218389</v>
      </c>
      <c r="G5" s="548">
        <f t="shared" ref="G5:I5" si="0">(G4-F4)/F4</f>
        <v>0.34337349397590361</v>
      </c>
      <c r="H5" s="548">
        <f t="shared" si="0"/>
        <v>0.24125560538116592</v>
      </c>
      <c r="I5" s="548">
        <f t="shared" si="0"/>
        <v>0.23988439306358381</v>
      </c>
      <c r="J5" s="66"/>
      <c r="K5" s="295"/>
    </row>
    <row r="6" spans="2:17">
      <c r="B6" s="544" t="s">
        <v>178</v>
      </c>
      <c r="C6" s="546"/>
      <c r="D6" s="546"/>
      <c r="E6" s="549">
        <f>'Forecasted sales'!L33/(1+23%)</f>
        <v>496.73983739837399</v>
      </c>
      <c r="F6" s="547">
        <f>E6</f>
        <v>496.73983739837399</v>
      </c>
      <c r="G6" s="547">
        <f t="shared" ref="G6:I6" si="1">F6</f>
        <v>496.73983739837399</v>
      </c>
      <c r="H6" s="547">
        <f t="shared" si="1"/>
        <v>496.73983739837399</v>
      </c>
      <c r="I6" s="547">
        <f t="shared" si="1"/>
        <v>496.73983739837399</v>
      </c>
      <c r="J6" s="66"/>
    </row>
    <row r="7" spans="2:17">
      <c r="B7" s="550" t="s">
        <v>179</v>
      </c>
      <c r="C7" s="551"/>
      <c r="D7" s="545"/>
      <c r="E7" s="552">
        <f>E4*E6</f>
        <v>345730.92682926828</v>
      </c>
      <c r="F7" s="552">
        <f>F4*F6</f>
        <v>412294.06504065043</v>
      </c>
      <c r="G7" s="552">
        <f>G4*G6</f>
        <v>553864.91869918699</v>
      </c>
      <c r="H7" s="552">
        <f>H4*H6</f>
        <v>687487.93495934957</v>
      </c>
      <c r="I7" s="552">
        <f>I4*I6</f>
        <v>852405.56097560981</v>
      </c>
      <c r="J7" s="66"/>
    </row>
    <row r="8" spans="2:17">
      <c r="B8" s="551" t="s">
        <v>180</v>
      </c>
      <c r="C8" s="551"/>
      <c r="D8" s="545"/>
      <c r="E8" s="547">
        <f>'Income Statement (Predicted)'!K3</f>
        <v>8713.2160000000003</v>
      </c>
      <c r="F8" s="547">
        <f>'Income Statement (Predicted)'!L3</f>
        <v>18531.839999999997</v>
      </c>
      <c r="G8" s="547">
        <f>'Income Statement (Predicted)'!M3</f>
        <v>17491.456000000006</v>
      </c>
      <c r="H8" s="547">
        <f>'Income Statement (Predicted)'!N3</f>
        <v>14565.376000000004</v>
      </c>
      <c r="I8" s="547">
        <f>'Income Statement (Predicted)'!O3</f>
        <v>16406.464072959992</v>
      </c>
      <c r="J8" s="66"/>
    </row>
    <row r="9" spans="2:17">
      <c r="B9" s="551" t="s">
        <v>181</v>
      </c>
      <c r="C9" s="553"/>
      <c r="D9" s="545"/>
      <c r="E9" s="554">
        <f>'Costs without VAT'!L35</f>
        <v>260.096</v>
      </c>
      <c r="F9" s="555">
        <f>E9</f>
        <v>260.096</v>
      </c>
      <c r="G9" s="555">
        <f t="shared" ref="G9:I9" si="2">$E$9</f>
        <v>260.096</v>
      </c>
      <c r="H9" s="555">
        <f t="shared" si="2"/>
        <v>260.096</v>
      </c>
      <c r="I9" s="555">
        <f t="shared" si="2"/>
        <v>260.096</v>
      </c>
      <c r="J9" s="66"/>
      <c r="K9" s="69"/>
      <c r="L9" s="200"/>
      <c r="M9" s="201"/>
      <c r="N9" s="202"/>
      <c r="O9" s="202"/>
      <c r="P9" s="202"/>
      <c r="Q9" s="202"/>
    </row>
    <row r="10" spans="2:17">
      <c r="B10" s="550" t="s">
        <v>182</v>
      </c>
      <c r="C10" s="556"/>
      <c r="D10" s="545"/>
      <c r="E10" s="552">
        <f>E4*E9</f>
        <v>181026.81599999999</v>
      </c>
      <c r="F10" s="552">
        <f>F4*F9</f>
        <v>215879.67999999999</v>
      </c>
      <c r="G10" s="552">
        <f>G4*G9</f>
        <v>290007.03999999998</v>
      </c>
      <c r="H10" s="552">
        <f>H4*H9</f>
        <v>359972.864</v>
      </c>
      <c r="I10" s="552">
        <f>I4*I9</f>
        <v>446324.73600000003</v>
      </c>
      <c r="J10" s="66"/>
      <c r="L10" s="216"/>
      <c r="M10" s="217"/>
      <c r="N10" s="218"/>
      <c r="O10" s="219"/>
      <c r="P10" s="220"/>
      <c r="Q10" s="219"/>
    </row>
    <row r="11" spans="2:17">
      <c r="B11" s="550" t="s">
        <v>183</v>
      </c>
      <c r="C11" s="557"/>
      <c r="D11" s="545"/>
      <c r="E11" s="552">
        <f>E7+E8-E10</f>
        <v>173417.32682926831</v>
      </c>
      <c r="F11" s="552">
        <f>F7+F8-F10</f>
        <v>214946.2250406504</v>
      </c>
      <c r="G11" s="552">
        <f>G7+G8-G10</f>
        <v>281349.33469918702</v>
      </c>
      <c r="H11" s="552">
        <f t="shared" ref="H11:I11" si="3">H7+H8-H10</f>
        <v>342080.44695934962</v>
      </c>
      <c r="I11" s="552">
        <f t="shared" si="3"/>
        <v>422487.28904856974</v>
      </c>
      <c r="J11" s="66"/>
    </row>
    <row r="12" spans="2:17">
      <c r="B12" s="551" t="s">
        <v>184</v>
      </c>
      <c r="C12" s="557"/>
      <c r="D12" s="545"/>
      <c r="E12" s="547">
        <f>('Costs without VAT'!C32+'Costs without VAT'!C33+'Costs without VAT'!C34)</f>
        <v>62776.97</v>
      </c>
      <c r="F12" s="547">
        <f>('Costs without VAT'!D32+'Costs without VAT'!D33+'Costs without VAT'!D34)</f>
        <v>46005</v>
      </c>
      <c r="G12" s="547">
        <f>('Costs without VAT'!E32+'Costs without VAT'!E33+'Costs without VAT'!E34)</f>
        <v>46717.5</v>
      </c>
      <c r="H12" s="547">
        <f>('Costs without VAT'!F32+'Costs without VAT'!F33+'Costs without VAT'!F34)</f>
        <v>47390</v>
      </c>
      <c r="I12" s="547">
        <f>('Costs without VAT'!G32+'Costs without VAT'!G33+'Costs without VAT'!G34)</f>
        <v>47950</v>
      </c>
      <c r="J12" s="66"/>
    </row>
    <row r="13" spans="2:17">
      <c r="B13" s="550" t="s">
        <v>185</v>
      </c>
      <c r="C13" s="550"/>
      <c r="D13" s="558"/>
      <c r="E13" s="552">
        <f>E11-E12</f>
        <v>110640.3568292683</v>
      </c>
      <c r="F13" s="552">
        <f>F11-F12</f>
        <v>168941.2250406504</v>
      </c>
      <c r="G13" s="552">
        <f>G11-G12</f>
        <v>234631.83469918702</v>
      </c>
      <c r="H13" s="552">
        <f t="shared" ref="H13:I13" si="4">H11-H12</f>
        <v>294690.44695934962</v>
      </c>
      <c r="I13" s="552">
        <f t="shared" si="4"/>
        <v>374537.28904856974</v>
      </c>
      <c r="J13" s="66"/>
      <c r="M13" s="124"/>
    </row>
    <row r="14" spans="2:17">
      <c r="B14" s="551" t="s">
        <v>186</v>
      </c>
      <c r="C14" s="559"/>
      <c r="D14" s="547">
        <f>'Costs without VAT'!B19</f>
        <v>780</v>
      </c>
      <c r="E14" s="547">
        <f>'Costs without VAT'!C15+'Costs without VAT'!C20+'Costs without VAT'!C21+'Costs without VAT'!C19</f>
        <v>19020</v>
      </c>
      <c r="F14" s="547">
        <f>('Costs without VAT'!D15+'Costs without VAT'!D20+'Costs without VAT'!D21)+'Costs without VAT'!D19</f>
        <v>18120</v>
      </c>
      <c r="G14" s="547">
        <f>('Costs without VAT'!E15+'Costs without VAT'!E20+'Costs without VAT'!E21)+'Costs without VAT'!E19</f>
        <v>17520</v>
      </c>
      <c r="H14" s="547">
        <f>('Costs without VAT'!F15+'Costs without VAT'!F20+'Costs without VAT'!F21)+'Costs without VAT'!F19</f>
        <v>17220</v>
      </c>
      <c r="I14" s="547">
        <f>('Costs without VAT'!G15+'Costs without VAT'!G20+'Costs without VAT'!G21)+'Costs without VAT'!G19</f>
        <v>17220</v>
      </c>
      <c r="J14" s="66"/>
      <c r="M14" s="10"/>
    </row>
    <row r="15" spans="2:17">
      <c r="B15" s="551" t="s">
        <v>187</v>
      </c>
      <c r="C15" s="559"/>
      <c r="D15" s="547">
        <f>'Costs without VAT'!B17</f>
        <v>11850</v>
      </c>
      <c r="E15" s="547">
        <f>'Costs without VAT'!C17+'Costs without VAT'!C18</f>
        <v>51816</v>
      </c>
      <c r="F15" s="547">
        <f>'Costs without VAT'!D17+'Costs without VAT'!D18</f>
        <v>51816</v>
      </c>
      <c r="G15" s="547">
        <f>'Costs without VAT'!E17+'Costs without VAT'!E18</f>
        <v>51816</v>
      </c>
      <c r="H15" s="547">
        <f>'Costs without VAT'!F17+'Costs without VAT'!F18</f>
        <v>51816</v>
      </c>
      <c r="I15" s="547">
        <f>'Costs without VAT'!G17+'Costs without VAT'!G18</f>
        <v>51816</v>
      </c>
      <c r="J15" s="66"/>
    </row>
    <row r="16" spans="2:17">
      <c r="B16" s="551" t="s">
        <v>188</v>
      </c>
      <c r="C16" s="559"/>
      <c r="D16" s="547">
        <f>'Costs without VAT'!B14-'Investment in WC budget'!D18</f>
        <v>4158.1062500000007</v>
      </c>
      <c r="E16" s="547">
        <f>'Costs without VAT'!C14</f>
        <v>90841.59</v>
      </c>
      <c r="F16" s="547">
        <f>'Costs without VAT'!D14</f>
        <v>92478.915000000008</v>
      </c>
      <c r="G16" s="547">
        <f>'Costs without VAT'!E14</f>
        <v>132796.24</v>
      </c>
      <c r="H16" s="547">
        <f>'Costs without VAT'!F14</f>
        <v>133804.04749999999</v>
      </c>
      <c r="I16" s="547">
        <f>'Costs without VAT'!G14</f>
        <v>133804.04749999999</v>
      </c>
      <c r="J16" s="66"/>
    </row>
    <row r="17" spans="2:17">
      <c r="B17" s="550" t="s">
        <v>189</v>
      </c>
      <c r="C17" s="551"/>
      <c r="D17" s="552">
        <f>SUM(D14:D16)</f>
        <v>16788.106250000001</v>
      </c>
      <c r="E17" s="552">
        <f>SUM(E14:E16)</f>
        <v>161677.59</v>
      </c>
      <c r="F17" s="552">
        <f>SUM(F14:F16)</f>
        <v>162414.91500000001</v>
      </c>
      <c r="G17" s="552">
        <f>SUM(G14:G16)</f>
        <v>202132.24</v>
      </c>
      <c r="H17" s="552">
        <f t="shared" ref="H17:I17" si="5">SUM(H14:H16)</f>
        <v>202840.04749999999</v>
      </c>
      <c r="I17" s="552">
        <f t="shared" si="5"/>
        <v>202840.04749999999</v>
      </c>
      <c r="J17" s="66"/>
    </row>
    <row r="18" spans="2:17">
      <c r="B18" s="550" t="s">
        <v>190</v>
      </c>
      <c r="C18" s="551"/>
      <c r="D18" s="552">
        <f t="shared" ref="D18:I18" si="6">D13-D17</f>
        <v>-16788.106250000001</v>
      </c>
      <c r="E18" s="552">
        <f t="shared" si="6"/>
        <v>-51037.233170731692</v>
      </c>
      <c r="F18" s="552">
        <f t="shared" si="6"/>
        <v>6526.3100406503945</v>
      </c>
      <c r="G18" s="552">
        <f t="shared" si="6"/>
        <v>32499.59469918703</v>
      </c>
      <c r="H18" s="552">
        <f t="shared" si="6"/>
        <v>91850.399459349632</v>
      </c>
      <c r="I18" s="552">
        <f t="shared" si="6"/>
        <v>171697.24154856976</v>
      </c>
      <c r="J18" s="66"/>
    </row>
    <row r="19" spans="2:17">
      <c r="B19" s="551" t="s">
        <v>191</v>
      </c>
      <c r="C19" s="551"/>
      <c r="D19" s="547">
        <v>0</v>
      </c>
      <c r="E19" s="547">
        <f>Depreciation!G3</f>
        <v>2384.6666666666665</v>
      </c>
      <c r="F19" s="547">
        <f>Depreciation!H3</f>
        <v>2384.6666666666665</v>
      </c>
      <c r="G19" s="547">
        <f>Depreciation!I3</f>
        <v>3751.833333333333</v>
      </c>
      <c r="H19" s="547">
        <f>Depreciation!J3</f>
        <v>2002.1666666666665</v>
      </c>
      <c r="I19" s="547">
        <f>Depreciation!K3</f>
        <v>2002.1666666666665</v>
      </c>
      <c r="J19" s="66"/>
    </row>
    <row r="20" spans="2:17">
      <c r="B20" s="550" t="s">
        <v>192</v>
      </c>
      <c r="C20" s="550"/>
      <c r="D20" s="552">
        <f>D18-D19</f>
        <v>-16788.106250000001</v>
      </c>
      <c r="E20" s="552">
        <f>E18-E19</f>
        <v>-53421.899837398356</v>
      </c>
      <c r="F20" s="552">
        <f>F18-F19</f>
        <v>4141.6433739837285</v>
      </c>
      <c r="G20" s="552">
        <f>G18-G19</f>
        <v>28747.761365853697</v>
      </c>
      <c r="H20" s="552">
        <f>H18-H19</f>
        <v>89848.23279268296</v>
      </c>
      <c r="I20" s="552">
        <f t="shared" ref="I20" si="7">I18-I19</f>
        <v>169695.0748819031</v>
      </c>
      <c r="J20" s="66"/>
    </row>
    <row r="21" spans="2:17">
      <c r="B21" s="551" t="s">
        <v>193</v>
      </c>
      <c r="C21" s="550"/>
      <c r="D21" s="547">
        <f>'Financing options'!Q27+'Financing options'!D6+'Financing options'!B5</f>
        <v>1368.1383999999998</v>
      </c>
      <c r="E21" s="547">
        <f>'Financing options'!R19-'Financing options'!R21+'Financing options'!R22-'Financing options'!R23+'Financing options'!R24-'Financing options'!R25-'Financing options'!R26</f>
        <v>2423.75336625</v>
      </c>
      <c r="F21" s="547">
        <f>'Financing options'!S19-'Financing options'!S21+'Financing options'!S22-'Financing options'!S23+'Financing options'!S24-'Financing options'!S25-'Financing options'!S26</f>
        <v>2129.4478524999995</v>
      </c>
      <c r="G21" s="547">
        <f>'Financing options'!T19-'Financing options'!T21+'Financing options'!T22-'Financing options'!T23+'Financing options'!T24-'Financing options'!T25-'Financing options'!T26</f>
        <v>1649.1136324999986</v>
      </c>
      <c r="H21" s="547">
        <f>'Financing options'!U19-'Financing options'!U21+'Financing options'!U22-'Financing options'!U23+'Financing options'!U24-'Financing options'!U25-'Financing options'!U26</f>
        <v>1170.9045124999977</v>
      </c>
      <c r="I21" s="547">
        <f>'Financing options'!V19-'Financing options'!V21+'Financing options'!V22-'Financing options'!V23+'Financing options'!V24-'Financing options'!V25-'Financing options'!V26</f>
        <v>717.28809249999722</v>
      </c>
      <c r="J21" s="66"/>
    </row>
    <row r="22" spans="2:17">
      <c r="B22" s="550" t="s">
        <v>194</v>
      </c>
      <c r="C22" s="550"/>
      <c r="D22" s="552">
        <f>D20-D21</f>
        <v>-18156.244650000001</v>
      </c>
      <c r="E22" s="552">
        <f>E20-E21</f>
        <v>-55845.653203648355</v>
      </c>
      <c r="F22" s="552">
        <f t="shared" ref="F22:I22" si="8">F20-F21</f>
        <v>2012.195521483729</v>
      </c>
      <c r="G22" s="552">
        <f>G20-G21</f>
        <v>27098.6477333537</v>
      </c>
      <c r="H22" s="552">
        <f t="shared" si="8"/>
        <v>88677.328280182963</v>
      </c>
      <c r="I22" s="552">
        <f t="shared" si="8"/>
        <v>168977.78678940309</v>
      </c>
      <c r="J22" s="66"/>
      <c r="M22" t="s">
        <v>195</v>
      </c>
      <c r="N22" s="77">
        <v>3.44E-2</v>
      </c>
    </row>
    <row r="23" spans="2:17">
      <c r="B23" s="551" t="s">
        <v>196</v>
      </c>
      <c r="C23" s="560">
        <v>0.21</v>
      </c>
      <c r="D23" s="561"/>
      <c r="E23" s="547">
        <v>0</v>
      </c>
      <c r="F23" s="547">
        <f>17%*F22</f>
        <v>342.07323865223395</v>
      </c>
      <c r="G23" s="547">
        <f>17%*(15000-F22)+(G22-(15000-F22))*C23</f>
        <v>5171.2038448636267</v>
      </c>
      <c r="H23" s="547">
        <f>H22*$C23</f>
        <v>18622.238938838422</v>
      </c>
      <c r="I23" s="547">
        <f>I22*$C23</f>
        <v>35485.335225774645</v>
      </c>
      <c r="J23" s="66"/>
    </row>
    <row r="24" spans="2:17">
      <c r="B24" s="551" t="s">
        <v>197</v>
      </c>
      <c r="C24" s="562">
        <v>1.4999999999999999E-2</v>
      </c>
      <c r="D24" s="561"/>
      <c r="E24" s="547">
        <v>0</v>
      </c>
      <c r="F24" s="547">
        <f t="shared" ref="F24:H24" si="9">IF(F22&gt;0,$C$24*F22,0)</f>
        <v>30.182932822255932</v>
      </c>
      <c r="G24" s="547">
        <f t="shared" si="9"/>
        <v>406.47971600030547</v>
      </c>
      <c r="H24" s="547">
        <f t="shared" si="9"/>
        <v>1330.1599242027444</v>
      </c>
      <c r="I24" s="547">
        <f>IF(I22&gt;0,$C$24*I22,0)</f>
        <v>2534.6668018410464</v>
      </c>
      <c r="J24" s="66"/>
    </row>
    <row r="25" spans="2:17">
      <c r="B25" s="551" t="s">
        <v>198</v>
      </c>
      <c r="C25" s="551"/>
      <c r="D25" s="547">
        <f>D22-D23-D24</f>
        <v>-18156.244650000001</v>
      </c>
      <c r="E25" s="547">
        <f>E22-E23-E24</f>
        <v>-55845.653203648355</v>
      </c>
      <c r="F25" s="547">
        <f>F22-F23-F24</f>
        <v>1639.939350009239</v>
      </c>
      <c r="G25" s="547">
        <f t="shared" ref="G25:H25" si="10">G22-G23-G24</f>
        <v>21520.964172489766</v>
      </c>
      <c r="H25" s="547">
        <f t="shared" si="10"/>
        <v>68724.929417141801</v>
      </c>
      <c r="I25" s="547">
        <f>I22-I23-I24</f>
        <v>130957.78476178741</v>
      </c>
      <c r="J25" s="66"/>
    </row>
    <row r="26" spans="2:17">
      <c r="B26" s="563" t="s">
        <v>199</v>
      </c>
      <c r="C26" s="563"/>
      <c r="D26" s="564">
        <f>D22</f>
        <v>-18156.244650000001</v>
      </c>
      <c r="E26" s="564">
        <f>E25+E19</f>
        <v>-53460.986536981691</v>
      </c>
      <c r="F26" s="564">
        <f>F25+F19</f>
        <v>4024.6060166759053</v>
      </c>
      <c r="G26" s="564">
        <f t="shared" ref="G26:I26" si="11">G25+G19</f>
        <v>25272.797505823099</v>
      </c>
      <c r="H26" s="564">
        <f t="shared" si="11"/>
        <v>70727.096083808472</v>
      </c>
      <c r="I26" s="564">
        <f t="shared" si="11"/>
        <v>132959.95142845408</v>
      </c>
      <c r="J26" s="66"/>
      <c r="L26" s="66"/>
      <c r="M26" s="66"/>
      <c r="N26" s="66"/>
      <c r="O26" s="66"/>
      <c r="P26" s="66"/>
      <c r="Q26" s="66"/>
    </row>
    <row r="27" spans="2:17" s="66" customFormat="1" hidden="1">
      <c r="B27" s="551" t="s">
        <v>200</v>
      </c>
      <c r="C27" s="565">
        <v>0.23</v>
      </c>
      <c r="D27" s="546"/>
      <c r="E27" s="546"/>
      <c r="F27" s="546"/>
      <c r="G27" s="546"/>
      <c r="H27" s="546"/>
      <c r="I27" s="546"/>
      <c r="L27" s="162" t="s">
        <v>201</v>
      </c>
      <c r="M27"/>
      <c r="N27"/>
      <c r="O27"/>
      <c r="P27"/>
      <c r="Q27"/>
    </row>
    <row r="28" spans="2:17">
      <c r="B28" s="551" t="s">
        <v>202</v>
      </c>
      <c r="C28" s="565">
        <v>0.25</v>
      </c>
      <c r="D28" s="547">
        <f>'Investment in WC budget'!D12</f>
        <v>45256.703999999998</v>
      </c>
      <c r="E28" s="547">
        <f>'Investment in WC budget'!E12</f>
        <v>53969.919999999998</v>
      </c>
      <c r="F28" s="547">
        <f>'Investment in WC budget'!F12</f>
        <v>72501.759999999995</v>
      </c>
      <c r="G28" s="547">
        <f>'Investment in WC budget'!G12</f>
        <v>89993.216</v>
      </c>
      <c r="H28" s="547">
        <f>'Investment in WC budget'!H12</f>
        <v>104558.592</v>
      </c>
      <c r="I28" s="547">
        <f>'Investment in WC budget'!I12</f>
        <v>120965.05607296</v>
      </c>
      <c r="J28" s="66"/>
      <c r="L28" s="157" t="s">
        <v>1</v>
      </c>
      <c r="M28" s="157">
        <v>1</v>
      </c>
      <c r="N28" s="157">
        <v>2</v>
      </c>
      <c r="O28" s="157">
        <v>3</v>
      </c>
      <c r="P28" s="157">
        <v>4</v>
      </c>
      <c r="Q28" s="157">
        <v>5</v>
      </c>
    </row>
    <row r="29" spans="2:17">
      <c r="B29" s="551" t="s">
        <v>203</v>
      </c>
      <c r="C29" s="546" t="s">
        <v>114</v>
      </c>
      <c r="D29" s="547">
        <f>'Investment in WC budget'!D13</f>
        <v>0</v>
      </c>
      <c r="E29" s="547">
        <f>'Investment in WC budget'!E13</f>
        <v>11524.364227642278</v>
      </c>
      <c r="F29" s="547">
        <f>'Investment in WC budget'!F13</f>
        <v>13743.135501355015</v>
      </c>
      <c r="G29" s="547">
        <f>'Investment in WC budget'!G13</f>
        <v>18462.163956639568</v>
      </c>
      <c r="H29" s="547">
        <f>'Investment in WC budget'!H13</f>
        <v>22916.264498644985</v>
      </c>
      <c r="I29" s="547">
        <f>'Investment in WC budget'!I13</f>
        <v>28413.518699186992</v>
      </c>
      <c r="J29" s="66"/>
      <c r="L29" s="163" t="s">
        <v>204</v>
      </c>
      <c r="M29" s="164">
        <f>E25</f>
        <v>-55845.653203648355</v>
      </c>
      <c r="N29" s="164">
        <f>F25</f>
        <v>1639.939350009239</v>
      </c>
      <c r="O29" s="164">
        <f>G25</f>
        <v>21520.964172489766</v>
      </c>
      <c r="P29" s="164">
        <f>H25</f>
        <v>68724.929417141801</v>
      </c>
      <c r="Q29" s="164">
        <f>I25</f>
        <v>130957.78476178741</v>
      </c>
    </row>
    <row r="30" spans="2:17" s="66" customFormat="1">
      <c r="B30" s="551" t="s">
        <v>205</v>
      </c>
      <c r="C30" s="551"/>
      <c r="D30" s="547">
        <f>VAT!B28-VAT!B27</f>
        <v>1984.67</v>
      </c>
      <c r="E30" s="547">
        <v>0</v>
      </c>
      <c r="F30" s="547">
        <v>0</v>
      </c>
      <c r="G30" s="547">
        <f>G44*C27</f>
        <v>1250.97</v>
      </c>
      <c r="H30" s="547">
        <v>0</v>
      </c>
      <c r="I30" s="547">
        <v>0</v>
      </c>
      <c r="L30" s="163" t="s">
        <v>206</v>
      </c>
      <c r="M30" s="164">
        <f>$D$44+D43</f>
        <v>-45226.633819999995</v>
      </c>
      <c r="N30" s="164">
        <f>$D$44+E43</f>
        <v>-24276.213962835347</v>
      </c>
      <c r="O30" s="164">
        <f>$G$44+G41</f>
        <v>22115.884326812229</v>
      </c>
      <c r="P30" s="164">
        <f>$G$44+H41</f>
        <v>11035.196442334869</v>
      </c>
      <c r="Q30" s="164">
        <f>$G$44+I41</f>
        <v>1911.1361607115832</v>
      </c>
    </row>
    <row r="31" spans="2:17" s="66" customFormat="1">
      <c r="B31" s="551" t="s">
        <v>207</v>
      </c>
      <c r="C31" s="551"/>
      <c r="D31" s="547">
        <f>VAT!B37-D30</f>
        <v>12560.881919999998</v>
      </c>
      <c r="E31" s="547">
        <v>0</v>
      </c>
      <c r="F31" s="547">
        <v>0</v>
      </c>
      <c r="G31" s="547">
        <v>0</v>
      </c>
      <c r="H31" s="547">
        <v>0</v>
      </c>
      <c r="I31" s="547">
        <v>0</v>
      </c>
      <c r="L31" s="157" t="s">
        <v>208</v>
      </c>
      <c r="M31" s="153">
        <f>M29-M30</f>
        <v>-10619.01938364836</v>
      </c>
      <c r="N31" s="153">
        <f>N29-N30</f>
        <v>25916.153312844584</v>
      </c>
      <c r="O31" s="153">
        <f>O29-O30</f>
        <v>-594.92015432246262</v>
      </c>
      <c r="P31" s="153">
        <f>P29-P30</f>
        <v>57689.732974806931</v>
      </c>
      <c r="Q31" s="153">
        <f>Q29-Q30</f>
        <v>129046.64860107582</v>
      </c>
    </row>
    <row r="32" spans="2:17">
      <c r="B32" s="550" t="s">
        <v>209</v>
      </c>
      <c r="C32" s="551"/>
      <c r="D32" s="552">
        <f>SUM(D28:D31)</f>
        <v>59802.255919999996</v>
      </c>
      <c r="E32" s="552">
        <f>SUM(E28:E29)</f>
        <v>65494.284227642274</v>
      </c>
      <c r="F32" s="552">
        <f>SUM(F28:F29)</f>
        <v>86244.895501355015</v>
      </c>
      <c r="G32" s="552">
        <f>SUM(G28:G29)</f>
        <v>108455.37995663958</v>
      </c>
      <c r="H32" s="552">
        <f>SUM(H28:H29)</f>
        <v>127474.85649864499</v>
      </c>
      <c r="I32" s="552">
        <f>SUM(I28:I29)</f>
        <v>149378.574772147</v>
      </c>
      <c r="J32" s="66"/>
      <c r="L32" s="157" t="s">
        <v>210</v>
      </c>
      <c r="M32" s="157"/>
      <c r="N32" s="157"/>
      <c r="O32" s="157"/>
      <c r="P32" s="157"/>
      <c r="Q32" s="157">
        <f>Q31*(1+N22)/(D54-N22)</f>
        <v>1172143.4554200077</v>
      </c>
    </row>
    <row r="33" spans="2:17">
      <c r="B33" s="551" t="s">
        <v>211</v>
      </c>
      <c r="C33" s="566"/>
      <c r="D33" s="545">
        <f>'Costs without VAT'!B9</f>
        <v>498.03749999999997</v>
      </c>
      <c r="E33" s="546">
        <f>'Costs without VAT'!C9</f>
        <v>9823.9499999999989</v>
      </c>
      <c r="F33" s="567">
        <f>'Costs without VAT'!D9</f>
        <v>11461.275</v>
      </c>
      <c r="G33" s="546">
        <f>'Costs without VAT'!E9</f>
        <v>17508.12</v>
      </c>
      <c r="H33" s="567">
        <f>'Costs without VAT'!F9</f>
        <v>18515.927500000002</v>
      </c>
      <c r="I33" s="567">
        <f>'Costs without VAT'!G9</f>
        <v>18515.927500000002</v>
      </c>
      <c r="J33" s="66"/>
      <c r="L33" s="157" t="s">
        <v>212</v>
      </c>
      <c r="M33" s="157">
        <f>1/(1+$D$54)^M28</f>
        <v>0.87086633722234341</v>
      </c>
      <c r="N33" s="157">
        <f>1/(1+$D$54)^N28</f>
        <v>0.75840817730706034</v>
      </c>
      <c r="O33" s="157">
        <f>1/(1+$D$54)^O28</f>
        <v>0.66047215149087335</v>
      </c>
      <c r="P33" s="157">
        <f>1/(1+$D$54)^P28</f>
        <v>0.57518296340621755</v>
      </c>
      <c r="Q33" s="157">
        <f>1/(1+$D$54)^Q28</f>
        <v>0.50090748057426582</v>
      </c>
    </row>
    <row r="34" spans="2:17">
      <c r="B34" s="551" t="s">
        <v>213</v>
      </c>
      <c r="C34" s="568" t="s">
        <v>214</v>
      </c>
      <c r="D34" s="547">
        <f>'Investment in WC budget'!D18</f>
        <v>67.298749999999998</v>
      </c>
      <c r="E34" s="547">
        <f>'Investment in WC budget'!E18</f>
        <v>2056.8525</v>
      </c>
      <c r="F34" s="547">
        <f>'Investment in WC budget'!F18</f>
        <v>2193.2962499999999</v>
      </c>
      <c r="G34" s="547">
        <f>'Investment in WC budget'!G18</f>
        <v>2697.2000000000003</v>
      </c>
      <c r="H34" s="547">
        <f>'Investment in WC budget'!H18</f>
        <v>2781.1839583333335</v>
      </c>
      <c r="I34" s="547">
        <f>'Investment in WC budget'!I18</f>
        <v>2781.1839583333335</v>
      </c>
      <c r="J34" s="66"/>
      <c r="L34" s="157" t="s">
        <v>215</v>
      </c>
      <c r="M34" s="153">
        <f>M31*M33</f>
        <v>-9247.7465155309128</v>
      </c>
      <c r="N34" s="157">
        <f>N31*N33</f>
        <v>19655.022596804796</v>
      </c>
      <c r="O34" s="157">
        <f>O31*O33</f>
        <v>-392.92819429063928</v>
      </c>
      <c r="P34" s="157">
        <f>P31*P33</f>
        <v>33182.151570562841</v>
      </c>
      <c r="Q34" s="157">
        <f>Q31*Q33</f>
        <v>64640.431627317492</v>
      </c>
    </row>
    <row r="35" spans="2:17">
      <c r="B35" s="551" t="s">
        <v>216</v>
      </c>
      <c r="C35" s="546" t="s">
        <v>118</v>
      </c>
      <c r="D35" s="547">
        <f>'Investment in WC budget'!D16</f>
        <v>15085.567999999999</v>
      </c>
      <c r="E35" s="547">
        <f>'Investment in WC budget'!E16</f>
        <v>33338.933333333334</v>
      </c>
      <c r="F35" s="547">
        <f>'Investment in WC budget'!F16</f>
        <v>37567.14</v>
      </c>
      <c r="G35" s="547">
        <f>'Investment in WC budget'!G16</f>
        <v>71343.254000000001</v>
      </c>
      <c r="H35" s="547">
        <f>'Investment in WC budget'!H16</f>
        <v>83721.955916666644</v>
      </c>
      <c r="I35" s="547">
        <f>'Investment in WC budget'!I16</f>
        <v>93218.691904506661</v>
      </c>
      <c r="J35" s="66"/>
      <c r="L35" s="157" t="s">
        <v>217</v>
      </c>
      <c r="M35" s="157"/>
      <c r="N35" s="157"/>
      <c r="O35" s="157"/>
      <c r="P35" s="157"/>
      <c r="Q35" s="157">
        <f>Q32*Q33</f>
        <v>587135.42512605037</v>
      </c>
    </row>
    <row r="36" spans="2:17">
      <c r="B36" s="551" t="str">
        <f>'Investment in WC budget'!C17</f>
        <v>Rent to be paid next year</v>
      </c>
      <c r="C36" s="546"/>
      <c r="D36" s="547">
        <f>'Investment in WC budget'!D17</f>
        <v>3950</v>
      </c>
      <c r="E36" s="547">
        <f>'Investment in WC budget'!E17</f>
        <v>3950</v>
      </c>
      <c r="F36" s="547">
        <f>'Investment in WC budget'!F17</f>
        <v>3950</v>
      </c>
      <c r="G36" s="547">
        <f>'Investment in WC budget'!G17</f>
        <v>3950</v>
      </c>
      <c r="H36" s="547">
        <f>'Investment in WC budget'!H17</f>
        <v>3950</v>
      </c>
      <c r="I36" s="547">
        <f>'Investment in WC budget'!I17</f>
        <v>3950</v>
      </c>
      <c r="J36" s="66"/>
      <c r="L36" s="159" t="s">
        <v>218</v>
      </c>
      <c r="M36" s="159">
        <f>SUM(M34:Q34:Q35)</f>
        <v>694972.35621091397</v>
      </c>
    </row>
    <row r="37" spans="2:17">
      <c r="B37" s="551" t="str">
        <f>'Investment in WC budget'!C19</f>
        <v>Taxes to be paid next year</v>
      </c>
      <c r="C37" s="546" t="s">
        <v>219</v>
      </c>
      <c r="D37" s="547">
        <v>0</v>
      </c>
      <c r="E37" s="547">
        <v>0</v>
      </c>
      <c r="F37" s="547">
        <v>0</v>
      </c>
      <c r="G37" s="547">
        <f>'Investment in WC budget'!G19</f>
        <v>5577.6835608639321</v>
      </c>
      <c r="H37" s="547">
        <f>'Investment in WC budget'!H19</f>
        <v>19952.398863041166</v>
      </c>
      <c r="I37" s="547">
        <f>'Investment in WC budget'!I19</f>
        <v>38020.002027615694</v>
      </c>
      <c r="J37" s="66"/>
      <c r="L37" s="159" t="s">
        <v>220</v>
      </c>
      <c r="M37" s="159">
        <f>M36</f>
        <v>694972.35621091397</v>
      </c>
    </row>
    <row r="38" spans="2:17">
      <c r="B38" s="551" t="s">
        <v>221</v>
      </c>
      <c r="C38" s="546" t="s">
        <v>566</v>
      </c>
      <c r="D38" s="547">
        <v>0</v>
      </c>
      <c r="E38" s="547">
        <f>VAT!C35</f>
        <v>20574.842710731726</v>
      </c>
      <c r="F38" s="547">
        <f>VAT!D35</f>
        <v>29674.47535934957</v>
      </c>
      <c r="G38" s="547">
        <f>VAT!E35</f>
        <v>44148.922220812994</v>
      </c>
      <c r="H38" s="547">
        <f>VAT!F35</f>
        <v>60628.36984065047</v>
      </c>
      <c r="I38" s="547">
        <f>VAT!G35</f>
        <v>78146.243007609388</v>
      </c>
      <c r="J38" s="66"/>
      <c r="L38" s="159" t="s">
        <v>222</v>
      </c>
      <c r="M38" s="165">
        <f>M37-'Statement of Financial Position'!I24</f>
        <v>644972.35621091397</v>
      </c>
    </row>
    <row r="39" spans="2:17">
      <c r="B39" s="551" t="s">
        <v>223</v>
      </c>
      <c r="C39" s="546"/>
      <c r="D39" s="547">
        <v>0</v>
      </c>
      <c r="E39" s="547">
        <f>VAT!C39</f>
        <v>1004.8817984552879</v>
      </c>
      <c r="F39" s="547">
        <f>VAT!D39</f>
        <v>5113.226192967476</v>
      </c>
      <c r="G39" s="547">
        <f>VAT!E39</f>
        <v>8210.3580689634127</v>
      </c>
      <c r="H39" s="547">
        <f>VAT!F39</f>
        <v>11473.121318268981</v>
      </c>
      <c r="I39" s="547">
        <f>VAT!G39</f>
        <v>14936.560720979729</v>
      </c>
      <c r="J39" s="66"/>
    </row>
    <row r="40" spans="2:17">
      <c r="B40" s="550" t="s">
        <v>528</v>
      </c>
      <c r="C40" s="551"/>
      <c r="D40" s="552">
        <f>D35+D34+D36</f>
        <v>19102.866750000001</v>
      </c>
      <c r="E40" s="552">
        <f>E34+E35+E36+E39</f>
        <v>40350.667631788623</v>
      </c>
      <c r="F40" s="552">
        <f>F34+F35+F36+F39</f>
        <v>48823.662442967478</v>
      </c>
      <c r="G40" s="552">
        <f>G34+G35+G36+G39+G37</f>
        <v>91778.495629827346</v>
      </c>
      <c r="H40" s="552">
        <f>H34+H35+H36+H39+H37</f>
        <v>121878.66005631012</v>
      </c>
      <c r="I40" s="552">
        <f>I34+I35+I36+I39+I37</f>
        <v>152906.43861143541</v>
      </c>
      <c r="J40" s="66"/>
    </row>
    <row r="41" spans="2:17">
      <c r="B41" s="550" t="s">
        <v>224</v>
      </c>
      <c r="C41" s="557"/>
      <c r="D41" s="547">
        <f>D32-D40</f>
        <v>40699.389169999995</v>
      </c>
      <c r="E41" s="547">
        <f t="shared" ref="E41:I41" si="12">E32-E40</f>
        <v>25143.616595853651</v>
      </c>
      <c r="F41" s="547">
        <f t="shared" si="12"/>
        <v>37421.233058387537</v>
      </c>
      <c r="G41" s="547">
        <f>G32-G40</f>
        <v>16676.884326812229</v>
      </c>
      <c r="H41" s="547">
        <f t="shared" si="12"/>
        <v>5596.1964423348691</v>
      </c>
      <c r="I41" s="547">
        <f t="shared" si="12"/>
        <v>-3527.8638392884168</v>
      </c>
      <c r="J41" s="66"/>
    </row>
    <row r="42" spans="2:17">
      <c r="B42" s="550" t="s">
        <v>225</v>
      </c>
      <c r="C42" s="551"/>
      <c r="D42" s="547">
        <f>D41-C41</f>
        <v>40699.389169999995</v>
      </c>
      <c r="E42" s="545">
        <f>E41-D41</f>
        <v>-15555.772574146344</v>
      </c>
      <c r="F42" s="545">
        <f>F41-E41</f>
        <v>12277.616462533886</v>
      </c>
      <c r="G42" s="545">
        <f>G41-F41</f>
        <v>-20744.348731575308</v>
      </c>
      <c r="H42" s="545">
        <f t="shared" ref="H42:I42" si="13">H41-G41</f>
        <v>-11080.68788447736</v>
      </c>
      <c r="I42" s="545">
        <f t="shared" si="13"/>
        <v>-9124.0602816232858</v>
      </c>
      <c r="J42" s="66"/>
      <c r="K42" s="116"/>
    </row>
    <row r="43" spans="2:17">
      <c r="B43" s="563" t="s">
        <v>226</v>
      </c>
      <c r="C43" s="563"/>
      <c r="D43" s="564">
        <f>D26-D42</f>
        <v>-58855.633819999995</v>
      </c>
      <c r="E43" s="564">
        <f>E26-E42</f>
        <v>-37905.213962835347</v>
      </c>
      <c r="F43" s="564">
        <f>F26-F42</f>
        <v>-8253.0104458579808</v>
      </c>
      <c r="G43" s="564">
        <f t="shared" ref="G43:I43" si="14">G26-G42</f>
        <v>46017.14623739841</v>
      </c>
      <c r="H43" s="564">
        <f t="shared" si="14"/>
        <v>81807.783968285832</v>
      </c>
      <c r="I43" s="564">
        <f t="shared" si="14"/>
        <v>142084.01171007735</v>
      </c>
      <c r="J43" s="66"/>
    </row>
    <row r="44" spans="2:17">
      <c r="B44" s="551" t="s">
        <v>227</v>
      </c>
      <c r="C44" s="556"/>
      <c r="D44" s="547">
        <f>'Investment budget'!B12</f>
        <v>13629</v>
      </c>
      <c r="E44" s="545"/>
      <c r="F44" s="545"/>
      <c r="G44" s="547">
        <f>'Investment budget'!B19</f>
        <v>5439</v>
      </c>
      <c r="H44" s="545"/>
      <c r="I44" s="545"/>
      <c r="J44" s="66"/>
    </row>
    <row r="45" spans="2:17">
      <c r="B45" s="563" t="s">
        <v>228</v>
      </c>
      <c r="C45" s="563"/>
      <c r="D45" s="564">
        <f>D43-D44</f>
        <v>-72484.633819999988</v>
      </c>
      <c r="E45" s="564">
        <f t="shared" ref="E45:I45" si="15">E43-E44</f>
        <v>-37905.213962835347</v>
      </c>
      <c r="F45" s="564">
        <f t="shared" si="15"/>
        <v>-8253.0104458579808</v>
      </c>
      <c r="G45" s="564">
        <f t="shared" si="15"/>
        <v>40578.14623739841</v>
      </c>
      <c r="H45" s="564">
        <f t="shared" si="15"/>
        <v>81807.783968285832</v>
      </c>
      <c r="I45" s="564">
        <f t="shared" si="15"/>
        <v>142084.01171007735</v>
      </c>
      <c r="J45" s="66"/>
    </row>
    <row r="46" spans="2:17">
      <c r="B46" s="569" t="s">
        <v>229</v>
      </c>
      <c r="C46" s="569"/>
      <c r="D46" s="570">
        <f>SUM($D45:D45)</f>
        <v>-72484.633819999988</v>
      </c>
      <c r="E46" s="570">
        <f>SUM($D45:E45)</f>
        <v>-110389.84778283534</v>
      </c>
      <c r="F46" s="570">
        <f>SUM($D45:F45)</f>
        <v>-118642.85822869331</v>
      </c>
      <c r="G46" s="570">
        <f>SUM($D45:G45)</f>
        <v>-78064.711991294898</v>
      </c>
      <c r="H46" s="570">
        <f>SUM($D45:H45)</f>
        <v>3743.0719769909338</v>
      </c>
      <c r="I46" s="570">
        <f>SUM($D45:I45)</f>
        <v>145827.08368706828</v>
      </c>
      <c r="J46" s="66"/>
    </row>
    <row r="47" spans="2:17">
      <c r="B47" s="569" t="s">
        <v>230</v>
      </c>
      <c r="C47" s="569"/>
      <c r="D47" s="570">
        <f t="shared" ref="D47:I47" si="16">D45*(1+$D$54)^-D3</f>
        <v>-72484.633819999988</v>
      </c>
      <c r="E47" s="570">
        <f t="shared" si="16"/>
        <v>-33010.37484544365</v>
      </c>
      <c r="F47" s="570">
        <f t="shared" si="16"/>
        <v>-6259.1506095392806</v>
      </c>
      <c r="G47" s="570">
        <f t="shared" si="16"/>
        <v>26800.735548925815</v>
      </c>
      <c r="H47" s="570">
        <f t="shared" si="16"/>
        <v>47054.443612574301</v>
      </c>
      <c r="I47" s="570">
        <f t="shared" si="16"/>
        <v>71170.944335579334</v>
      </c>
      <c r="J47" s="66"/>
      <c r="L47" s="147" t="s">
        <v>231</v>
      </c>
    </row>
    <row r="48" spans="2:17">
      <c r="B48" s="569" t="s">
        <v>232</v>
      </c>
      <c r="C48" s="569"/>
      <c r="D48" s="570">
        <f>SUM($D47:D47)</f>
        <v>-72484.633819999988</v>
      </c>
      <c r="E48" s="570">
        <f>SUM($D47:E47)</f>
        <v>-105495.00866544363</v>
      </c>
      <c r="F48" s="570">
        <f>SUM($D47:F47)</f>
        <v>-111754.15927498291</v>
      </c>
      <c r="G48" s="570">
        <f>SUM($D47:G47)</f>
        <v>-84953.423726057095</v>
      </c>
      <c r="H48" s="570">
        <f>SUM($D47:H47)</f>
        <v>-37898.980113482794</v>
      </c>
      <c r="I48" s="570">
        <f>SUM($D47:I47)</f>
        <v>33271.96422209654</v>
      </c>
      <c r="J48" s="66"/>
    </row>
    <row r="49" spans="2:24">
      <c r="B49" s="66"/>
      <c r="C49" s="66"/>
      <c r="D49" s="70"/>
      <c r="E49" s="70"/>
      <c r="F49" s="70"/>
      <c r="G49" s="70"/>
      <c r="H49" s="70"/>
      <c r="I49" s="70"/>
      <c r="J49" s="66"/>
      <c r="M49" s="212" t="s">
        <v>144</v>
      </c>
      <c r="N49" s="212" t="s">
        <v>145</v>
      </c>
      <c r="O49" s="212" t="s">
        <v>110</v>
      </c>
      <c r="P49" s="212" t="s">
        <v>146</v>
      </c>
      <c r="Q49" s="212" t="s">
        <v>147</v>
      </c>
    </row>
    <row r="50" spans="2:24" hidden="1">
      <c r="B50" s="66"/>
      <c r="C50" s="71"/>
      <c r="D50" s="70"/>
      <c r="E50" s="66"/>
      <c r="F50" s="70"/>
      <c r="G50" s="70"/>
      <c r="H50" s="70"/>
      <c r="I50" s="70"/>
      <c r="J50" s="66"/>
      <c r="L50" s="214" t="s">
        <v>233</v>
      </c>
      <c r="M50" s="213">
        <f>E13/E20</f>
        <v>-2.0710674305112189</v>
      </c>
      <c r="N50" s="213">
        <f>F13/F20</f>
        <v>40.790867244117798</v>
      </c>
      <c r="O50" s="213">
        <f t="shared" ref="O50:Q50" si="17">G13/G20</f>
        <v>8.1617428123596554</v>
      </c>
      <c r="P50" s="213">
        <f t="shared" si="17"/>
        <v>3.2798691504519892</v>
      </c>
      <c r="Q50" s="213">
        <f t="shared" si="17"/>
        <v>2.207119383454256</v>
      </c>
    </row>
    <row r="51" spans="2:24" hidden="1">
      <c r="B51" s="66"/>
      <c r="C51" s="71"/>
      <c r="D51" s="70"/>
      <c r="E51" s="66"/>
      <c r="F51" s="70"/>
      <c r="G51" s="70"/>
      <c r="H51" s="210"/>
      <c r="I51" s="210"/>
      <c r="J51" s="211"/>
      <c r="L51" s="214" t="s">
        <v>234</v>
      </c>
      <c r="M51" s="213">
        <f>E20/E22</f>
        <v>0.95659906855397558</v>
      </c>
      <c r="N51" s="213">
        <f>F20/F22</f>
        <v>2.0582708438441473</v>
      </c>
      <c r="O51" s="213">
        <f t="shared" ref="O51:Q51" si="18">G20/G22</f>
        <v>1.0608559382271399</v>
      </c>
      <c r="P51" s="213">
        <f t="shared" si="18"/>
        <v>1.0132041022796767</v>
      </c>
      <c r="Q51" s="213">
        <f t="shared" si="18"/>
        <v>1.0042448661811032</v>
      </c>
    </row>
    <row r="52" spans="2:24" ht="11" hidden="1" customHeight="1">
      <c r="B52" s="66"/>
      <c r="C52" s="72"/>
      <c r="D52" s="73"/>
      <c r="E52" s="70"/>
      <c r="F52" s="70"/>
      <c r="G52" s="70"/>
      <c r="H52" s="210"/>
      <c r="I52" s="210"/>
      <c r="J52" s="211"/>
      <c r="K52" s="571"/>
      <c r="L52" s="572" t="s">
        <v>235</v>
      </c>
      <c r="M52" s="573">
        <f>E13/E22</f>
        <v>-1.9811811749395072</v>
      </c>
      <c r="N52" s="573">
        <f>F13/F22</f>
        <v>83.958652743684922</v>
      </c>
      <c r="O52" s="573">
        <f t="shared" ref="O52:Q52" si="19">G13/G22</f>
        <v>8.658433328774418</v>
      </c>
      <c r="P52" s="573">
        <f t="shared" si="19"/>
        <v>3.3231768781785136</v>
      </c>
      <c r="Q52" s="573">
        <f t="shared" si="19"/>
        <v>2.2164883098827382</v>
      </c>
      <c r="R52" s="574"/>
      <c r="S52" s="574"/>
      <c r="T52" s="574"/>
      <c r="U52" s="574"/>
      <c r="V52" s="574"/>
      <c r="W52" s="574"/>
      <c r="X52" s="574"/>
    </row>
    <row r="53" spans="2:24" ht="27" customHeight="1">
      <c r="B53" s="66"/>
      <c r="C53" s="72"/>
      <c r="D53" s="73"/>
      <c r="E53" s="70"/>
      <c r="F53" s="70"/>
      <c r="G53" s="70"/>
      <c r="H53" s="210"/>
      <c r="I53" s="210"/>
      <c r="J53" s="211"/>
      <c r="K53" s="571"/>
      <c r="L53" s="575"/>
      <c r="M53" s="576"/>
      <c r="N53" s="576"/>
      <c r="O53" s="576"/>
      <c r="P53" s="576"/>
      <c r="Q53" s="576"/>
      <c r="R53" s="574"/>
      <c r="S53" s="574"/>
      <c r="T53" s="574"/>
      <c r="U53" s="574"/>
      <c r="V53" s="574"/>
      <c r="W53" s="574"/>
      <c r="X53" s="574"/>
    </row>
    <row r="54" spans="2:24" hidden="1">
      <c r="B54" s="67" t="s">
        <v>236</v>
      </c>
      <c r="C54" s="68"/>
      <c r="D54" s="464">
        <f>F73+3%</f>
        <v>0.14828183988547849</v>
      </c>
      <c r="E54" s="70"/>
      <c r="F54" s="70"/>
      <c r="G54" s="70"/>
      <c r="H54" s="70"/>
      <c r="I54" s="70"/>
      <c r="J54" s="66"/>
      <c r="K54" s="574"/>
      <c r="L54" s="574"/>
      <c r="M54" s="574"/>
      <c r="N54" s="574"/>
      <c r="O54" s="574"/>
      <c r="P54" s="574"/>
      <c r="Q54" s="574"/>
      <c r="R54" s="574"/>
      <c r="S54" s="574"/>
      <c r="T54" s="574"/>
      <c r="U54" s="574"/>
      <c r="V54" s="574"/>
      <c r="W54" s="574"/>
      <c r="X54" s="574"/>
    </row>
    <row r="55" spans="2:24" ht="14" customHeight="1">
      <c r="B55" s="66"/>
      <c r="C55" s="66"/>
      <c r="D55" s="66"/>
      <c r="E55" s="66"/>
      <c r="F55" s="66"/>
      <c r="G55" s="66"/>
      <c r="H55" s="66"/>
      <c r="I55" s="66"/>
      <c r="J55" s="66"/>
      <c r="K55" s="574"/>
      <c r="L55" s="574"/>
      <c r="M55" s="574"/>
      <c r="N55" s="574"/>
      <c r="O55" s="574"/>
      <c r="P55" s="574"/>
      <c r="Q55" s="574"/>
      <c r="R55" s="574"/>
      <c r="S55" s="574"/>
      <c r="T55" s="574"/>
      <c r="U55" s="574"/>
      <c r="V55" s="574"/>
      <c r="W55" s="574"/>
      <c r="X55" s="574"/>
    </row>
    <row r="56" spans="2:24" ht="15" customHeight="1">
      <c r="B56" s="577" t="s">
        <v>237</v>
      </c>
      <c r="C56" s="578"/>
      <c r="D56" s="579">
        <f>+NPV(D54,E45:I45)+D45</f>
        <v>33271.964222096532</v>
      </c>
      <c r="E56" s="580"/>
      <c r="F56" s="581"/>
      <c r="G56" s="581"/>
      <c r="H56" s="582"/>
      <c r="I56" s="581"/>
      <c r="J56" s="583"/>
      <c r="K56" s="574"/>
      <c r="L56" s="574"/>
      <c r="M56" s="574"/>
      <c r="N56" s="574"/>
      <c r="O56" s="574"/>
      <c r="P56" s="574"/>
      <c r="Q56" s="574"/>
      <c r="R56" s="574"/>
      <c r="S56" s="574"/>
      <c r="T56" s="574"/>
      <c r="U56" s="574"/>
      <c r="V56" s="574"/>
      <c r="W56" s="574"/>
      <c r="X56" s="574"/>
    </row>
    <row r="57" spans="2:24">
      <c r="B57" s="581"/>
      <c r="C57" s="581"/>
      <c r="D57" s="581"/>
      <c r="E57" s="581"/>
      <c r="F57" s="581"/>
      <c r="G57" s="581"/>
      <c r="H57" s="581"/>
      <c r="I57" s="581"/>
      <c r="J57" s="581"/>
      <c r="K57" s="574"/>
      <c r="L57" s="571"/>
      <c r="M57" s="574"/>
      <c r="N57" s="574"/>
      <c r="O57" s="571"/>
      <c r="P57" s="574"/>
      <c r="Q57" s="574"/>
      <c r="R57" s="574"/>
      <c r="S57" s="574"/>
      <c r="T57" s="574"/>
      <c r="U57" s="574"/>
      <c r="V57" s="574"/>
      <c r="W57" s="574"/>
      <c r="X57" s="574"/>
    </row>
    <row r="58" spans="2:24">
      <c r="B58" s="577" t="s">
        <v>238</v>
      </c>
      <c r="C58" s="50"/>
      <c r="D58" s="584">
        <f>IRR(D45:I45)</f>
        <v>0.22783596408931084</v>
      </c>
      <c r="E58" s="585"/>
      <c r="F58" s="581"/>
      <c r="G58" s="581"/>
      <c r="H58" s="581"/>
      <c r="I58" s="581"/>
      <c r="J58" s="581"/>
      <c r="K58" s="574"/>
      <c r="L58" s="574"/>
      <c r="M58" s="574"/>
      <c r="N58" s="574"/>
      <c r="O58" s="574"/>
      <c r="P58" s="574"/>
      <c r="Q58" s="574"/>
      <c r="R58" s="574"/>
      <c r="S58" s="574"/>
      <c r="T58" s="574"/>
      <c r="U58" s="574"/>
      <c r="V58" s="574"/>
      <c r="W58" s="574"/>
      <c r="X58" s="574"/>
    </row>
    <row r="59" spans="2:24">
      <c r="B59" s="580"/>
      <c r="C59" s="581"/>
      <c r="D59" s="586"/>
      <c r="E59" s="580"/>
      <c r="F59" s="581"/>
      <c r="G59" s="581"/>
      <c r="H59" s="581"/>
      <c r="I59" s="581"/>
      <c r="J59" s="581"/>
      <c r="K59" s="574"/>
      <c r="L59" s="711" t="s">
        <v>497</v>
      </c>
      <c r="M59" s="711"/>
      <c r="N59" s="574"/>
      <c r="O59" s="574"/>
      <c r="P59" s="574"/>
      <c r="Q59" s="574"/>
      <c r="R59" s="574"/>
      <c r="S59" s="574"/>
      <c r="T59" s="574"/>
      <c r="U59" s="574"/>
      <c r="V59" s="574"/>
      <c r="W59" s="574"/>
      <c r="X59" s="574"/>
    </row>
    <row r="60" spans="2:24">
      <c r="B60" s="577" t="s">
        <v>239</v>
      </c>
      <c r="C60" s="50"/>
      <c r="D60" s="587">
        <f>+MIRR(D45:I45,D54,D54)</f>
        <v>0.20972040188909391</v>
      </c>
      <c r="E60" s="580"/>
      <c r="F60" s="581"/>
      <c r="G60" s="581"/>
      <c r="H60" s="581"/>
      <c r="I60" s="581"/>
      <c r="J60" s="581"/>
      <c r="K60" s="574"/>
      <c r="L60" s="574"/>
      <c r="M60" s="574"/>
      <c r="N60" s="578" t="s">
        <v>500</v>
      </c>
      <c r="O60" s="588">
        <f>E4</f>
        <v>696</v>
      </c>
      <c r="P60" s="574"/>
      <c r="Q60" s="574"/>
      <c r="R60" s="574"/>
      <c r="S60" s="574"/>
      <c r="T60" s="574"/>
      <c r="U60" s="574"/>
      <c r="V60" s="574"/>
      <c r="W60" s="574"/>
      <c r="X60" s="574"/>
    </row>
    <row r="61" spans="2:24">
      <c r="B61" s="581"/>
      <c r="C61" s="581"/>
      <c r="D61" s="586"/>
      <c r="E61" s="580"/>
      <c r="F61" s="581"/>
      <c r="G61" s="581"/>
      <c r="H61" s="581"/>
      <c r="I61" s="581"/>
      <c r="J61" s="581"/>
      <c r="K61" s="574"/>
      <c r="L61" s="574"/>
      <c r="M61" s="574"/>
      <c r="N61" s="574"/>
      <c r="O61" s="574"/>
      <c r="P61" s="574"/>
      <c r="Q61" s="574"/>
      <c r="R61" s="574"/>
      <c r="S61" s="574"/>
      <c r="T61" s="574"/>
      <c r="U61" s="574"/>
      <c r="V61" s="574"/>
      <c r="W61" s="574"/>
      <c r="X61" s="574"/>
    </row>
    <row r="62" spans="2:24">
      <c r="B62" s="577" t="s">
        <v>240</v>
      </c>
      <c r="C62" s="589">
        <f>+(D56-D45)/-D45</f>
        <v>1.4590209326947876</v>
      </c>
      <c r="D62" s="590">
        <f>+(D56-D45)/-D45</f>
        <v>1.4590209326947876</v>
      </c>
      <c r="E62" s="206"/>
      <c r="F62" s="580" t="s">
        <v>241</v>
      </c>
      <c r="G62" s="581"/>
      <c r="H62" s="581"/>
      <c r="I62" s="581"/>
      <c r="J62" s="581"/>
      <c r="K62" s="574"/>
      <c r="L62" s="574"/>
      <c r="M62" s="49" t="s">
        <v>248</v>
      </c>
      <c r="N62" s="49" t="s">
        <v>249</v>
      </c>
      <c r="O62" s="49" t="s">
        <v>250</v>
      </c>
      <c r="P62" s="49"/>
      <c r="Q62" s="49"/>
      <c r="R62" s="591"/>
      <c r="S62" s="574"/>
      <c r="T62" s="574"/>
      <c r="U62" s="574"/>
      <c r="V62" s="574"/>
      <c r="W62" s="574"/>
      <c r="X62" s="574"/>
    </row>
    <row r="63" spans="2:24">
      <c r="B63" s="581"/>
      <c r="C63" s="581"/>
      <c r="D63" s="581"/>
      <c r="E63" s="216"/>
      <c r="F63" s="581"/>
      <c r="G63" s="581"/>
      <c r="H63" s="581"/>
      <c r="I63" s="581"/>
      <c r="J63" s="581"/>
      <c r="K63" s="574"/>
      <c r="L63" s="592" t="s">
        <v>498</v>
      </c>
      <c r="M63" s="593">
        <f>D56</f>
        <v>33271.964222096532</v>
      </c>
      <c r="N63" s="594">
        <f>D58</f>
        <v>0.22783596408931084</v>
      </c>
      <c r="O63" s="595">
        <f>D60</f>
        <v>0.20972040188909391</v>
      </c>
      <c r="P63" s="49" t="s">
        <v>253</v>
      </c>
      <c r="Q63" s="49" t="s">
        <v>499</v>
      </c>
      <c r="R63" s="596" t="s">
        <v>287</v>
      </c>
      <c r="S63" s="574"/>
      <c r="T63" s="574"/>
      <c r="U63" s="574"/>
      <c r="V63" s="574"/>
      <c r="W63" s="574"/>
      <c r="X63" s="574"/>
    </row>
    <row r="64" spans="2:24">
      <c r="B64" s="577" t="s">
        <v>242</v>
      </c>
      <c r="C64" s="50"/>
      <c r="D64" s="597">
        <f>+G3+(-G46/H45)</f>
        <v>3.9542455278040292</v>
      </c>
      <c r="E64" s="598">
        <f>INT(D64)</f>
        <v>3</v>
      </c>
      <c r="F64" s="581" t="s">
        <v>14</v>
      </c>
      <c r="G64" s="598">
        <f>INT((D64-E64)*12)</f>
        <v>11</v>
      </c>
      <c r="H64" s="598"/>
      <c r="I64" s="581" t="s">
        <v>243</v>
      </c>
      <c r="J64" s="581">
        <f>ROUND(((D64-E64)*360-G64*30),0)</f>
        <v>14</v>
      </c>
      <c r="K64" s="574" t="s">
        <v>244</v>
      </c>
      <c r="L64" s="599">
        <v>418</v>
      </c>
      <c r="M64" s="600">
        <f t="dataTable" ref="M64:O77" dt2D="0" dtr="0" r1="E4"/>
        <v>-24352.288411231137</v>
      </c>
      <c r="N64" s="601">
        <v>0.10130386371092337</v>
      </c>
      <c r="O64" s="601">
        <v>0.11324133571285366</v>
      </c>
      <c r="P64" s="602">
        <f>(M64-$M$63)/$M$63</f>
        <v>-1.731916163670864</v>
      </c>
      <c r="Q64" s="602">
        <f>(L64-O60)/O60</f>
        <v>-0.39942528735632182</v>
      </c>
      <c r="R64" s="603">
        <f>P64/Q64</f>
        <v>4.336020323434969</v>
      </c>
      <c r="S64" s="574"/>
      <c r="T64" s="574"/>
      <c r="U64" s="574"/>
      <c r="V64" s="574"/>
      <c r="W64" s="574"/>
      <c r="X64" s="574"/>
    </row>
    <row r="65" spans="2:24">
      <c r="B65" s="581"/>
      <c r="C65" s="581"/>
      <c r="D65" s="581"/>
      <c r="E65" s="581"/>
      <c r="F65" s="581"/>
      <c r="G65" s="581"/>
      <c r="H65" s="581"/>
      <c r="I65" s="581"/>
      <c r="J65" s="581"/>
      <c r="K65" s="574"/>
      <c r="L65" s="604">
        <f>L64+50</f>
        <v>468</v>
      </c>
      <c r="M65" s="605">
        <v>-13988.214196603876</v>
      </c>
      <c r="N65" s="606">
        <v>0.12033460060380463</v>
      </c>
      <c r="O65" s="607">
        <v>0.12735871803206367</v>
      </c>
      <c r="P65" s="607">
        <f t="shared" ref="P65:P77" si="20">(M65-$M$63)/$M$63</f>
        <v>-1.4204204507804215</v>
      </c>
      <c r="Q65" s="607">
        <f>(L65-$E$4)/$E$4</f>
        <v>-0.32758620689655171</v>
      </c>
      <c r="R65" s="604">
        <f>P65/Q65</f>
        <v>4.3360203234349708</v>
      </c>
      <c r="S65" s="574"/>
      <c r="T65" s="574"/>
      <c r="U65" s="574"/>
      <c r="V65" s="574"/>
      <c r="W65" s="574"/>
      <c r="X65" s="574"/>
    </row>
    <row r="66" spans="2:24">
      <c r="B66" s="577" t="s">
        <v>247</v>
      </c>
      <c r="C66" s="50"/>
      <c r="D66" s="597">
        <f>+H3+(-H48/I47)</f>
        <v>4.5325063544862445</v>
      </c>
      <c r="E66" s="598">
        <f>INT(D66)</f>
        <v>4</v>
      </c>
      <c r="F66" s="581" t="s">
        <v>14</v>
      </c>
      <c r="G66" s="598">
        <f>INT((D66-E66)*12)</f>
        <v>6</v>
      </c>
      <c r="H66" s="598"/>
      <c r="I66" s="581" t="s">
        <v>243</v>
      </c>
      <c r="J66" s="581">
        <f>ROUND(((D66-E66)*360-G66*30),0)</f>
        <v>12</v>
      </c>
      <c r="K66" s="574" t="s">
        <v>244</v>
      </c>
      <c r="L66" s="604">
        <f>L65+50</f>
        <v>518</v>
      </c>
      <c r="M66" s="605">
        <v>-3624.1399819765793</v>
      </c>
      <c r="N66" s="606">
        <v>0.1407720874017151</v>
      </c>
      <c r="O66" s="607">
        <v>0.14263395841164317</v>
      </c>
      <c r="P66" s="607">
        <f t="shared" si="20"/>
        <v>-1.1089247378899776</v>
      </c>
      <c r="Q66" s="607">
        <f t="shared" ref="Q66:Q77" si="21">(L66-$E$4)/$E$4</f>
        <v>-0.2557471264367816</v>
      </c>
      <c r="R66" s="604">
        <f>P66/Q66</f>
        <v>4.336020323434969</v>
      </c>
      <c r="S66" s="574"/>
      <c r="T66" s="574"/>
      <c r="U66" s="574"/>
      <c r="V66" s="574"/>
      <c r="W66" s="574"/>
      <c r="X66" s="574"/>
    </row>
    <row r="67" spans="2:24">
      <c r="B67" s="581"/>
      <c r="C67" s="581"/>
      <c r="D67" s="581"/>
      <c r="E67" s="581"/>
      <c r="F67" s="581"/>
      <c r="G67" s="581"/>
      <c r="H67" s="581"/>
      <c r="I67" s="581"/>
      <c r="J67" s="581"/>
      <c r="K67" s="574"/>
      <c r="L67" s="608">
        <v>557</v>
      </c>
      <c r="M67" s="609">
        <v>4459.8379054326797</v>
      </c>
      <c r="N67" s="608">
        <v>0.1578001256839574</v>
      </c>
      <c r="O67" s="608">
        <v>0.15547073276855516</v>
      </c>
      <c r="P67" s="608">
        <f t="shared" si="20"/>
        <v>-0.86595808183543255</v>
      </c>
      <c r="Q67" s="608">
        <f t="shared" si="21"/>
        <v>-0.19971264367816091</v>
      </c>
      <c r="R67" s="608">
        <f>P67/Q67</f>
        <v>4.3360203234349717</v>
      </c>
      <c r="S67" s="574"/>
      <c r="T67" s="574"/>
      <c r="U67" s="574"/>
      <c r="V67" s="574"/>
      <c r="W67" s="574"/>
      <c r="X67" s="574"/>
    </row>
    <row r="68" spans="2:24" hidden="1">
      <c r="B68" s="577" t="s">
        <v>251</v>
      </c>
      <c r="C68" s="50"/>
      <c r="D68" s="597">
        <f>50000/75000</f>
        <v>0.66666666666666663</v>
      </c>
      <c r="E68" s="581"/>
      <c r="F68" s="581"/>
      <c r="G68" s="581"/>
      <c r="H68" s="581"/>
      <c r="I68" s="581"/>
      <c r="J68" s="581"/>
      <c r="K68" s="574"/>
      <c r="L68" s="610">
        <f>L67+50</f>
        <v>607</v>
      </c>
      <c r="M68" s="611">
        <v>14823.912120059977</v>
      </c>
      <c r="N68" s="612">
        <v>0.18118726049593259</v>
      </c>
      <c r="O68" s="613">
        <v>0.17329761102505237</v>
      </c>
      <c r="P68" s="614">
        <f t="shared" si="20"/>
        <v>-0.55446236894498879</v>
      </c>
      <c r="Q68" s="614">
        <f t="shared" si="21"/>
        <v>-0.1278735632183908</v>
      </c>
      <c r="R68" s="610">
        <f t="shared" ref="R68:R71" si="22">P68/Q68</f>
        <v>4.336020323434969</v>
      </c>
      <c r="S68" s="574"/>
      <c r="T68" s="574"/>
      <c r="U68" s="574"/>
      <c r="V68" s="574"/>
      <c r="W68" s="574"/>
      <c r="X68" s="574"/>
    </row>
    <row r="69" spans="2:24">
      <c r="B69" s="581"/>
      <c r="C69" s="581"/>
      <c r="D69" s="581"/>
      <c r="E69" s="581"/>
      <c r="F69" s="581"/>
      <c r="G69" s="581"/>
      <c r="H69" s="581"/>
      <c r="I69" s="581"/>
      <c r="J69" s="581"/>
      <c r="K69" s="574"/>
      <c r="L69" s="610">
        <f>L68+50</f>
        <v>657</v>
      </c>
      <c r="M69" s="615">
        <v>25187.986334687259</v>
      </c>
      <c r="N69" s="616">
        <v>0.20653488563926614</v>
      </c>
      <c r="O69" s="613">
        <v>0.19292728320044583</v>
      </c>
      <c r="P69" s="614">
        <f t="shared" si="20"/>
        <v>-0.24296665605454557</v>
      </c>
      <c r="Q69" s="614">
        <f t="shared" si="21"/>
        <v>-5.6034482758620691E-2</v>
      </c>
      <c r="R69" s="617">
        <f t="shared" si="22"/>
        <v>4.3360203234349672</v>
      </c>
      <c r="S69" s="574"/>
      <c r="T69" s="574"/>
      <c r="U69" s="574"/>
      <c r="V69" s="574"/>
      <c r="W69" s="574"/>
      <c r="X69" s="574"/>
    </row>
    <row r="70" spans="2:24" hidden="1">
      <c r="B70" s="574"/>
      <c r="C70" s="574"/>
      <c r="D70" s="574"/>
      <c r="E70" s="574"/>
      <c r="F70" s="574"/>
      <c r="G70" s="574"/>
      <c r="H70" s="574"/>
      <c r="I70" s="574"/>
      <c r="J70" s="574"/>
      <c r="K70" s="574"/>
      <c r="L70" s="618">
        <v>696</v>
      </c>
      <c r="M70" s="619">
        <v>33271.964222096532</v>
      </c>
      <c r="N70" s="618">
        <v>0.22783596408931084</v>
      </c>
      <c r="O70" s="618">
        <v>0.20972040188909391</v>
      </c>
      <c r="P70" s="618">
        <f t="shared" si="20"/>
        <v>0</v>
      </c>
      <c r="Q70" s="618">
        <f t="shared" si="21"/>
        <v>0</v>
      </c>
      <c r="R70" s="618" t="e">
        <f t="shared" si="22"/>
        <v>#DIV/0!</v>
      </c>
      <c r="S70" s="574"/>
      <c r="T70" s="574"/>
      <c r="U70" s="574"/>
      <c r="V70" s="574"/>
      <c r="W70" s="574"/>
      <c r="X70" s="574"/>
    </row>
    <row r="71" spans="2:24">
      <c r="B71" s="574"/>
      <c r="C71" s="574"/>
      <c r="D71" s="574"/>
      <c r="E71" s="574"/>
      <c r="F71" s="574"/>
      <c r="G71" s="574"/>
      <c r="H71" s="574"/>
      <c r="I71" s="574"/>
      <c r="J71" s="574"/>
      <c r="K71" s="574"/>
      <c r="L71" s="610">
        <f>L70+50</f>
        <v>746</v>
      </c>
      <c r="M71" s="615">
        <v>43636.038436723829</v>
      </c>
      <c r="N71" s="616">
        <v>0.25735784832655462</v>
      </c>
      <c r="O71" s="613">
        <v>0.23353409799064595</v>
      </c>
      <c r="P71" s="614">
        <f t="shared" si="20"/>
        <v>0.3114957128904437</v>
      </c>
      <c r="Q71" s="614">
        <f t="shared" si="21"/>
        <v>7.183908045977011E-2</v>
      </c>
      <c r="R71" s="617">
        <f t="shared" si="22"/>
        <v>4.3360203234349761</v>
      </c>
      <c r="S71" s="574"/>
      <c r="T71" s="574"/>
      <c r="U71" s="574"/>
      <c r="V71" s="574"/>
      <c r="W71" s="574"/>
      <c r="X71" s="574"/>
    </row>
    <row r="72" spans="2:24">
      <c r="B72" s="574"/>
      <c r="C72" s="574"/>
      <c r="D72" s="574"/>
      <c r="E72" s="574"/>
      <c r="F72" s="574"/>
      <c r="G72" s="574"/>
      <c r="H72" s="574"/>
      <c r="I72" s="574"/>
      <c r="J72" s="574"/>
      <c r="K72" s="574"/>
      <c r="L72" s="610">
        <f t="shared" ref="L72:L77" si="23">L71+10</f>
        <v>756</v>
      </c>
      <c r="M72" s="620">
        <v>45708.85327964928</v>
      </c>
      <c r="N72" s="613">
        <v>0.26358770871916026</v>
      </c>
      <c r="O72" s="613">
        <v>0.23865068440776138</v>
      </c>
      <c r="P72" s="614">
        <f t="shared" si="20"/>
        <v>0.37379485546853219</v>
      </c>
      <c r="Q72" s="614">
        <f t="shared" si="21"/>
        <v>8.6206896551724144E-2</v>
      </c>
      <c r="R72" s="610" t="e">
        <f>P72/P755</f>
        <v>#DIV/0!</v>
      </c>
      <c r="S72" s="574"/>
      <c r="T72" s="574"/>
      <c r="U72" s="574"/>
      <c r="V72" s="574"/>
      <c r="W72" s="574"/>
      <c r="X72" s="574"/>
    </row>
    <row r="73" spans="2:24">
      <c r="B73" s="578" t="s">
        <v>256</v>
      </c>
      <c r="C73" s="390">
        <f>'Statement of Financial Position'!I15</f>
        <v>64000</v>
      </c>
      <c r="D73" s="574"/>
      <c r="E73" s="388" t="s">
        <v>257</v>
      </c>
      <c r="F73" s="397">
        <f>C73/C77*C75+C74/C77*C76*(1-21%)</f>
        <v>0.1182818398854785</v>
      </c>
      <c r="G73" s="574"/>
      <c r="H73" s="574"/>
      <c r="I73" s="574"/>
      <c r="J73" s="574"/>
      <c r="K73" s="574"/>
      <c r="L73" s="608">
        <f t="shared" si="23"/>
        <v>766</v>
      </c>
      <c r="M73" s="609">
        <v>47781.66812257476</v>
      </c>
      <c r="N73" s="608">
        <v>0.26993302542295727</v>
      </c>
      <c r="O73" s="608">
        <v>0.24389802184897147</v>
      </c>
      <c r="P73" s="608">
        <f t="shared" si="20"/>
        <v>0.43609399804662152</v>
      </c>
      <c r="Q73" s="608">
        <f t="shared" si="21"/>
        <v>0.10057471264367816</v>
      </c>
      <c r="R73" s="608">
        <f t="shared" ref="R73:R77" si="24">P73/Q73</f>
        <v>4.3360203234349797</v>
      </c>
      <c r="S73" s="574"/>
      <c r="T73" s="574"/>
      <c r="U73" s="574"/>
      <c r="V73" s="574"/>
      <c r="W73" s="574"/>
      <c r="X73" s="574"/>
    </row>
    <row r="74" spans="2:24">
      <c r="B74" s="578" t="s">
        <v>258</v>
      </c>
      <c r="C74" s="621">
        <f>('Financing options'!B67)*((1-(1/((1+'Project cash flow'!C76)^6)))/'Project cash flow'!C76)+(39000/((1+'Project cash flow'!C76)^6))</f>
        <v>52073.386783242051</v>
      </c>
      <c r="D74" s="574"/>
      <c r="E74" s="574"/>
      <c r="F74" s="574"/>
      <c r="G74" s="574"/>
      <c r="H74" s="574"/>
      <c r="I74" s="574"/>
      <c r="J74" s="574"/>
      <c r="K74" s="574"/>
      <c r="L74" s="610">
        <f>L73+10</f>
        <v>776</v>
      </c>
      <c r="M74" s="611">
        <v>49854.48296550021</v>
      </c>
      <c r="N74" s="610">
        <v>0.27639697368209704</v>
      </c>
      <c r="O74" s="610">
        <v>0.24928235694492584</v>
      </c>
      <c r="P74" s="610">
        <f t="shared" si="20"/>
        <v>0.49839314062471002</v>
      </c>
      <c r="Q74" s="610">
        <f t="shared" si="21"/>
        <v>0.11494252873563218</v>
      </c>
      <c r="R74" s="610">
        <f t="shared" si="24"/>
        <v>4.336020323434977</v>
      </c>
      <c r="S74" s="574"/>
      <c r="T74" s="574"/>
      <c r="U74" s="574"/>
      <c r="V74" s="574"/>
      <c r="W74" s="574"/>
      <c r="X74" s="574"/>
    </row>
    <row r="75" spans="2:24">
      <c r="B75" s="578" t="s">
        <v>259</v>
      </c>
      <c r="C75" s="622">
        <f>C87</f>
        <v>0.148228</v>
      </c>
      <c r="D75" s="574"/>
      <c r="E75" s="574" t="s">
        <v>525</v>
      </c>
      <c r="F75" s="574"/>
      <c r="G75" s="574"/>
      <c r="H75" s="574"/>
      <c r="I75" s="574"/>
      <c r="J75" s="574"/>
      <c r="K75" s="574"/>
      <c r="L75" s="610">
        <f t="shared" si="23"/>
        <v>786</v>
      </c>
      <c r="M75" s="611">
        <v>51927.297808425647</v>
      </c>
      <c r="N75" s="612">
        <v>0.28298282948786246</v>
      </c>
      <c r="O75" s="614">
        <v>0.25481038000238221</v>
      </c>
      <c r="P75" s="614">
        <f t="shared" si="20"/>
        <v>0.56069228320279807</v>
      </c>
      <c r="Q75" s="614">
        <f t="shared" si="21"/>
        <v>0.12931034482758622</v>
      </c>
      <c r="R75" s="610">
        <f t="shared" si="24"/>
        <v>4.3360203234349717</v>
      </c>
      <c r="S75" s="574"/>
      <c r="T75" s="574"/>
      <c r="U75" s="574"/>
      <c r="V75" s="574"/>
      <c r="W75" s="574"/>
      <c r="X75" s="574"/>
    </row>
    <row r="76" spans="2:24">
      <c r="B76" s="578" t="s">
        <v>260</v>
      </c>
      <c r="C76" s="622">
        <f>('Financing options'!B67)*(1-21%)/'Financing options'!B3</f>
        <v>0.13742736312499984</v>
      </c>
      <c r="D76" s="574"/>
      <c r="E76" s="574"/>
      <c r="F76" s="574"/>
      <c r="G76" s="574"/>
      <c r="H76" s="574"/>
      <c r="I76" s="574"/>
      <c r="J76" s="574"/>
      <c r="K76" s="574"/>
      <c r="L76" s="608">
        <f>800</f>
        <v>800</v>
      </c>
      <c r="M76" s="609">
        <v>54829.238588521315</v>
      </c>
      <c r="N76" s="608">
        <v>0.29241428696996152</v>
      </c>
      <c r="O76" s="608">
        <v>0.2628047720772908</v>
      </c>
      <c r="P76" s="608">
        <f t="shared" si="20"/>
        <v>0.64791108281212306</v>
      </c>
      <c r="Q76" s="608">
        <f t="shared" si="21"/>
        <v>0.14942528735632185</v>
      </c>
      <c r="R76" s="608">
        <f t="shared" si="24"/>
        <v>4.336020323434977</v>
      </c>
      <c r="S76" s="574"/>
      <c r="T76" s="574"/>
      <c r="U76" s="574"/>
      <c r="V76" s="574"/>
      <c r="W76" s="574"/>
      <c r="X76" s="574"/>
    </row>
    <row r="77" spans="2:24">
      <c r="B77" s="578" t="s">
        <v>261</v>
      </c>
      <c r="C77" s="623">
        <f>C73+C73</f>
        <v>128000</v>
      </c>
      <c r="D77" s="574"/>
      <c r="E77" s="574"/>
      <c r="F77" s="574"/>
      <c r="G77" s="574"/>
      <c r="H77" s="574"/>
      <c r="I77" s="574"/>
      <c r="J77" s="574"/>
      <c r="K77" s="574"/>
      <c r="L77" s="610">
        <f t="shared" si="23"/>
        <v>810</v>
      </c>
      <c r="M77" s="611">
        <v>56902.053431446751</v>
      </c>
      <c r="N77" s="610">
        <v>0.29930671183703184</v>
      </c>
      <c r="O77" s="610">
        <v>0.26870795103008294</v>
      </c>
      <c r="P77" s="610">
        <f t="shared" si="20"/>
        <v>0.71021022539021117</v>
      </c>
      <c r="Q77" s="610">
        <f t="shared" si="21"/>
        <v>0.16379310344827586</v>
      </c>
      <c r="R77" s="610">
        <f t="shared" si="24"/>
        <v>4.3360203234349735</v>
      </c>
      <c r="S77" s="574"/>
      <c r="T77" s="574"/>
      <c r="U77" s="574"/>
      <c r="V77" s="574"/>
      <c r="W77" s="574"/>
      <c r="X77" s="574"/>
    </row>
    <row r="78" spans="2:24">
      <c r="B78" s="574"/>
      <c r="C78" s="574"/>
      <c r="D78" s="574"/>
      <c r="E78" s="574"/>
      <c r="F78" s="574"/>
      <c r="G78" s="574"/>
      <c r="H78" s="574"/>
      <c r="I78" s="574"/>
      <c r="J78" s="574"/>
      <c r="K78" s="574"/>
      <c r="L78" s="574"/>
      <c r="M78" s="574"/>
      <c r="N78" s="574"/>
      <c r="O78" s="574"/>
      <c r="P78" s="574"/>
      <c r="Q78" s="574"/>
      <c r="R78" s="574"/>
      <c r="S78" s="574"/>
      <c r="T78" s="574"/>
      <c r="U78" s="574"/>
      <c r="V78" s="574"/>
      <c r="W78" s="574"/>
      <c r="X78" s="574"/>
    </row>
    <row r="79" spans="2:24">
      <c r="B79" s="574"/>
      <c r="C79" s="574"/>
      <c r="D79" s="574"/>
      <c r="E79" s="574"/>
      <c r="F79" s="574"/>
      <c r="G79" s="574"/>
      <c r="H79" s="574"/>
      <c r="I79" s="574"/>
      <c r="J79" s="574"/>
      <c r="K79" s="574"/>
      <c r="L79" s="574"/>
      <c r="M79" s="574"/>
      <c r="N79" s="574"/>
      <c r="O79" s="574"/>
      <c r="P79" s="574"/>
      <c r="Q79" s="574"/>
      <c r="R79" s="574"/>
      <c r="S79" s="574"/>
      <c r="T79" s="574"/>
      <c r="U79" s="574"/>
      <c r="V79" s="574"/>
      <c r="W79" s="574"/>
      <c r="X79" s="574"/>
    </row>
    <row r="80" spans="2:24">
      <c r="B80" s="574"/>
      <c r="C80" s="574"/>
      <c r="D80" s="574"/>
      <c r="E80" s="574"/>
      <c r="F80" s="574"/>
      <c r="G80" s="574"/>
      <c r="H80" s="574"/>
      <c r="I80" s="574"/>
      <c r="J80" s="574"/>
      <c r="K80" s="574"/>
      <c r="L80" s="624" t="s">
        <v>269</v>
      </c>
      <c r="M80" s="625" t="s">
        <v>270</v>
      </c>
      <c r="N80" s="626" t="s">
        <v>271</v>
      </c>
      <c r="O80" s="626" t="s">
        <v>272</v>
      </c>
      <c r="P80" s="626" t="s">
        <v>273</v>
      </c>
      <c r="Q80" s="627" t="s">
        <v>274</v>
      </c>
      <c r="R80" s="574"/>
      <c r="S80" s="574"/>
      <c r="T80" s="574"/>
      <c r="U80" s="574"/>
      <c r="V80" s="574"/>
      <c r="W80" s="574"/>
      <c r="X80" s="574"/>
    </row>
    <row r="81" spans="2:24">
      <c r="B81" s="574"/>
      <c r="C81" s="574"/>
      <c r="D81" s="574"/>
      <c r="E81" s="574"/>
      <c r="F81" s="574"/>
      <c r="G81" s="574"/>
      <c r="H81" s="574"/>
      <c r="I81" s="574"/>
      <c r="J81" s="574"/>
      <c r="K81" s="574"/>
      <c r="L81" s="563" t="s">
        <v>501</v>
      </c>
      <c r="M81" s="628">
        <v>535</v>
      </c>
      <c r="N81" s="629">
        <f>O60</f>
        <v>696</v>
      </c>
      <c r="O81" s="630">
        <f>M81/N81</f>
        <v>0.76867816091954022</v>
      </c>
      <c r="P81" s="631">
        <f>O81-1</f>
        <v>-0.23132183908045978</v>
      </c>
      <c r="Q81" s="630">
        <f>N81/M81-1</f>
        <v>0.30093457943925239</v>
      </c>
      <c r="R81" s="574"/>
      <c r="S81" s="574"/>
      <c r="T81" s="574"/>
      <c r="U81" s="574"/>
      <c r="V81" s="574"/>
      <c r="W81" s="574"/>
      <c r="X81" s="574"/>
    </row>
    <row r="82" spans="2:24">
      <c r="B82" s="574"/>
      <c r="C82" s="574"/>
      <c r="D82" s="578" t="s">
        <v>262</v>
      </c>
      <c r="E82" s="578" t="s">
        <v>263</v>
      </c>
      <c r="F82" s="574"/>
      <c r="G82" s="574"/>
      <c r="H82" s="574"/>
      <c r="I82" s="574"/>
      <c r="J82" s="574"/>
      <c r="K82" s="574"/>
      <c r="L82" s="574"/>
      <c r="M82" s="574"/>
      <c r="N82" s="574"/>
      <c r="O82" s="574"/>
      <c r="P82" s="574"/>
      <c r="Q82" s="574"/>
      <c r="R82" s="574"/>
      <c r="S82" s="574"/>
      <c r="T82" s="574"/>
      <c r="U82" s="574"/>
      <c r="V82" s="574"/>
      <c r="W82" s="574"/>
      <c r="X82" s="574"/>
    </row>
    <row r="83" spans="2:24">
      <c r="B83" s="578" t="s">
        <v>264</v>
      </c>
      <c r="C83" s="578"/>
      <c r="D83" s="632">
        <v>1.03</v>
      </c>
      <c r="E83" s="632">
        <v>0.68</v>
      </c>
      <c r="F83" s="574"/>
      <c r="G83" s="574"/>
      <c r="H83" s="574"/>
      <c r="I83" s="574"/>
      <c r="J83" s="574"/>
      <c r="K83" s="574"/>
      <c r="L83" s="574"/>
      <c r="M83" s="574"/>
      <c r="N83" s="574"/>
      <c r="O83" s="574"/>
      <c r="P83" s="574"/>
      <c r="Q83" s="574"/>
      <c r="R83" s="574"/>
      <c r="S83" s="574"/>
      <c r="T83" s="574"/>
      <c r="U83" s="574"/>
      <c r="V83" s="574"/>
      <c r="W83" s="574"/>
      <c r="X83" s="574"/>
    </row>
    <row r="84" spans="2:24">
      <c r="B84" s="578" t="s">
        <v>265</v>
      </c>
      <c r="C84" s="633">
        <v>4.0000000000000001E-3</v>
      </c>
      <c r="D84" s="578"/>
      <c r="E84" s="578"/>
      <c r="F84" s="574"/>
      <c r="G84" s="574"/>
      <c r="H84" s="574"/>
      <c r="I84" s="574"/>
      <c r="J84" s="574"/>
      <c r="K84" s="574"/>
      <c r="L84" s="711" t="s">
        <v>245</v>
      </c>
      <c r="M84" s="711"/>
      <c r="N84" s="574"/>
      <c r="O84" s="574"/>
      <c r="P84" s="574"/>
      <c r="Q84" s="574"/>
      <c r="R84" s="574"/>
      <c r="S84" s="574"/>
      <c r="T84" s="574"/>
      <c r="U84" s="574"/>
      <c r="V84" s="574"/>
      <c r="W84" s="574"/>
      <c r="X84" s="574"/>
    </row>
    <row r="85" spans="2:24">
      <c r="B85" s="578" t="s">
        <v>266</v>
      </c>
      <c r="C85" s="633">
        <v>0.21609999999999999</v>
      </c>
      <c r="D85" s="578"/>
      <c r="E85" s="578"/>
      <c r="F85" s="574"/>
      <c r="G85" s="574"/>
      <c r="H85" s="574"/>
      <c r="I85" s="574"/>
      <c r="J85" s="574"/>
      <c r="K85" s="574"/>
      <c r="L85" s="574"/>
      <c r="M85" s="574"/>
      <c r="N85" s="578" t="s">
        <v>246</v>
      </c>
      <c r="O85" s="588">
        <f>E6</f>
        <v>496.73983739837399</v>
      </c>
      <c r="P85" s="574"/>
      <c r="Q85" s="574"/>
      <c r="R85" s="574"/>
      <c r="S85" s="574"/>
      <c r="T85" s="574"/>
      <c r="U85" s="574"/>
      <c r="V85" s="574"/>
      <c r="W85" s="574"/>
      <c r="X85" s="574"/>
    </row>
    <row r="86" spans="2:24">
      <c r="B86" s="578" t="s">
        <v>267</v>
      </c>
      <c r="C86" s="633">
        <f>C85-C84</f>
        <v>0.21209999999999998</v>
      </c>
      <c r="D86" s="578"/>
      <c r="E86" s="578"/>
      <c r="F86" s="574"/>
      <c r="G86" s="574"/>
      <c r="H86" s="574"/>
      <c r="I86" s="574"/>
      <c r="J86" s="574"/>
      <c r="K86" s="634"/>
      <c r="L86" s="574"/>
      <c r="M86" s="574"/>
      <c r="N86" s="574"/>
      <c r="O86" s="574"/>
      <c r="P86" s="574"/>
      <c r="Q86" s="574"/>
      <c r="R86" s="574"/>
      <c r="S86" s="574"/>
      <c r="T86" s="574"/>
      <c r="U86" s="574"/>
      <c r="V86" s="574"/>
      <c r="W86" s="574"/>
      <c r="X86" s="574"/>
    </row>
    <row r="87" spans="2:24">
      <c r="B87" s="578" t="s">
        <v>268</v>
      </c>
      <c r="C87" s="633">
        <f>C84+E83*C86</f>
        <v>0.148228</v>
      </c>
      <c r="D87" s="578"/>
      <c r="E87" s="578"/>
      <c r="F87" s="574"/>
      <c r="G87" s="574"/>
      <c r="H87" s="574"/>
      <c r="I87" s="574"/>
      <c r="J87" s="574"/>
      <c r="K87" s="634"/>
      <c r="L87" s="574"/>
      <c r="M87" s="49" t="s">
        <v>248</v>
      </c>
      <c r="N87" s="49" t="s">
        <v>249</v>
      </c>
      <c r="O87" s="49" t="s">
        <v>250</v>
      </c>
      <c r="P87" s="49"/>
      <c r="Q87" s="49"/>
      <c r="R87" s="591"/>
      <c r="S87" s="574"/>
      <c r="T87" s="574"/>
      <c r="U87" s="574"/>
      <c r="V87" s="574"/>
      <c r="W87" s="574"/>
      <c r="X87" s="574"/>
    </row>
    <row r="88" spans="2:24">
      <c r="B88" s="578" t="s">
        <v>275</v>
      </c>
      <c r="C88" s="635">
        <v>0.05</v>
      </c>
      <c r="D88" s="578"/>
      <c r="E88" s="578"/>
      <c r="F88" s="574"/>
      <c r="G88" s="574"/>
      <c r="H88" s="574"/>
      <c r="I88" s="574"/>
      <c r="J88" s="574"/>
      <c r="K88" s="634"/>
      <c r="L88" s="636" t="s">
        <v>252</v>
      </c>
      <c r="M88" s="637">
        <f>D56</f>
        <v>33271.964222096532</v>
      </c>
      <c r="N88" s="638">
        <f>D58</f>
        <v>0.22783596408931084</v>
      </c>
      <c r="O88" s="595">
        <f>D60</f>
        <v>0.20972040188909391</v>
      </c>
      <c r="P88" s="49" t="s">
        <v>253</v>
      </c>
      <c r="Q88" s="49" t="s">
        <v>254</v>
      </c>
      <c r="R88" s="596" t="s">
        <v>255</v>
      </c>
      <c r="S88" s="574"/>
      <c r="T88" s="574"/>
      <c r="U88" s="574"/>
      <c r="V88" s="574"/>
      <c r="W88" s="574"/>
      <c r="X88" s="574"/>
    </row>
    <row r="89" spans="2:24">
      <c r="B89" s="634"/>
      <c r="C89" s="634"/>
      <c r="D89" s="634"/>
      <c r="E89" s="634"/>
      <c r="F89" s="574"/>
      <c r="G89" s="574"/>
      <c r="H89" s="574"/>
      <c r="I89" s="574"/>
      <c r="J89" s="574"/>
      <c r="K89" s="634"/>
      <c r="L89" s="639">
        <v>422.22899999999998</v>
      </c>
      <c r="M89" s="600">
        <f t="dataTable" ref="M89:O105" dt2D="0" dtr="0" r1="E6" ca="1"/>
        <v>-209796.99636034702</v>
      </c>
      <c r="N89" s="640">
        <v>-0.45077873388836021</v>
      </c>
      <c r="O89" s="601">
        <v>-0.30820703246255288</v>
      </c>
      <c r="P89" s="602">
        <f t="shared" ref="P89:P105" si="25">(M89-$M$88)/$M$88</f>
        <v>-7.3055188133743227</v>
      </c>
      <c r="Q89" s="602">
        <f t="shared" ref="Q89:Q105" si="26">(L89-$E$6)/$E$6</f>
        <v>-0.14999972176304036</v>
      </c>
      <c r="R89" s="603">
        <f>P89/Q89</f>
        <v>48.703549096678316</v>
      </c>
      <c r="S89" s="574"/>
      <c r="T89" s="574"/>
      <c r="U89" s="574"/>
      <c r="V89" s="574"/>
      <c r="W89" s="574"/>
      <c r="X89" s="574"/>
    </row>
    <row r="90" spans="2:24">
      <c r="B90" s="574"/>
      <c r="C90" s="574"/>
      <c r="D90" s="574"/>
      <c r="E90" s="574"/>
      <c r="F90" s="574"/>
      <c r="G90" s="574"/>
      <c r="H90" s="574"/>
      <c r="I90" s="574"/>
      <c r="J90" s="574"/>
      <c r="K90" s="634"/>
      <c r="L90" s="604">
        <f>L89+10</f>
        <v>432.22899999999998</v>
      </c>
      <c r="M90" s="605">
        <v>-177051.16402927163</v>
      </c>
      <c r="N90" s="641">
        <v>-0.33175076076619214</v>
      </c>
      <c r="O90" s="604">
        <v>-0.21665308447444276</v>
      </c>
      <c r="P90" s="607">
        <f t="shared" si="25"/>
        <v>-6.3213318831260548</v>
      </c>
      <c r="Q90" s="607">
        <f t="shared" si="26"/>
        <v>-0.12986845938558736</v>
      </c>
      <c r="R90" s="604">
        <f t="shared" ref="R90:R105" si="27">P90/Q90</f>
        <v>48.674881591977893</v>
      </c>
      <c r="S90" s="574"/>
      <c r="T90" s="574"/>
      <c r="U90" s="574"/>
      <c r="V90" s="574"/>
      <c r="W90" s="574"/>
      <c r="X90" s="574"/>
    </row>
    <row r="91" spans="2:24">
      <c r="B91" s="634"/>
      <c r="C91" s="634"/>
      <c r="D91" s="634"/>
      <c r="E91" s="634"/>
      <c r="F91" s="634"/>
      <c r="G91" s="634"/>
      <c r="H91" s="634"/>
      <c r="I91" s="634"/>
      <c r="J91" s="574"/>
      <c r="K91" s="574"/>
      <c r="L91" s="604">
        <f>L90+10</f>
        <v>442.22899999999998</v>
      </c>
      <c r="M91" s="605">
        <v>-144404.76931655401</v>
      </c>
      <c r="N91" s="641">
        <v>-0.22913195739831438</v>
      </c>
      <c r="O91" s="604">
        <v>-0.14063609530992227</v>
      </c>
      <c r="P91" s="607">
        <f t="shared" si="25"/>
        <v>-5.3401335837170718</v>
      </c>
      <c r="Q91" s="607">
        <f t="shared" si="26"/>
        <v>-0.10973719700813439</v>
      </c>
      <c r="R91" s="604">
        <f t="shared" si="27"/>
        <v>48.662930431157527</v>
      </c>
      <c r="S91" s="574"/>
      <c r="T91" s="574"/>
      <c r="U91" s="574"/>
      <c r="V91" s="574"/>
      <c r="W91" s="574"/>
      <c r="X91" s="574"/>
    </row>
    <row r="92" spans="2:24">
      <c r="B92" s="356"/>
      <c r="C92" s="353"/>
      <c r="D92" s="357"/>
      <c r="E92" s="357"/>
      <c r="F92" s="357"/>
      <c r="G92" s="357"/>
      <c r="H92" s="357"/>
      <c r="I92" s="353"/>
      <c r="J92" s="574"/>
      <c r="K92" s="574"/>
      <c r="L92" s="639">
        <v>447.06599999999997</v>
      </c>
      <c r="M92" s="600">
        <v>-128615.90940369111</v>
      </c>
      <c r="N92" s="640">
        <v>-0.18311503142300467</v>
      </c>
      <c r="O92" s="601">
        <v>-0.10761778842260905</v>
      </c>
      <c r="P92" s="602">
        <f t="shared" si="25"/>
        <v>-4.865594124385205</v>
      </c>
      <c r="Q92" s="602">
        <f t="shared" si="26"/>
        <v>-9.9999705396160404E-2</v>
      </c>
      <c r="R92" s="603">
        <f t="shared" si="27"/>
        <v>48.65608458654544</v>
      </c>
      <c r="S92" s="574"/>
      <c r="T92" s="574"/>
      <c r="U92" s="574"/>
      <c r="V92" s="574"/>
      <c r="W92" s="574"/>
      <c r="X92" s="574"/>
    </row>
    <row r="93" spans="2:24">
      <c r="B93" s="357"/>
      <c r="C93" s="353"/>
      <c r="D93" s="358"/>
      <c r="E93" s="358"/>
      <c r="F93" s="358"/>
      <c r="G93" s="358"/>
      <c r="H93" s="358"/>
      <c r="I93" s="353"/>
      <c r="J93" s="574"/>
      <c r="K93" s="574"/>
      <c r="L93" s="604">
        <f>L92+10</f>
        <v>457.06599999999997</v>
      </c>
      <c r="M93" s="605">
        <v>-95974.065465582884</v>
      </c>
      <c r="N93" s="641">
        <v>-9.3132233586868618E-2</v>
      </c>
      <c r="O93" s="606">
        <v>-4.3094388880225321E-2</v>
      </c>
      <c r="P93" s="607">
        <f t="shared" si="25"/>
        <v>-3.8845326000274043</v>
      </c>
      <c r="Q93" s="607">
        <f t="shared" si="26"/>
        <v>-7.9868443018707408E-2</v>
      </c>
      <c r="R93" s="604">
        <f t="shared" si="27"/>
        <v>48.636638617301443</v>
      </c>
      <c r="S93" s="574"/>
      <c r="T93" s="574"/>
      <c r="U93" s="574"/>
      <c r="V93" s="574"/>
      <c r="W93" s="574"/>
      <c r="X93" s="574"/>
    </row>
    <row r="94" spans="2:24">
      <c r="B94" s="357"/>
      <c r="C94" s="359"/>
      <c r="D94" s="357"/>
      <c r="E94" s="353"/>
      <c r="F94" s="353"/>
      <c r="G94" s="353"/>
      <c r="H94" s="634"/>
      <c r="I94" s="353"/>
      <c r="J94" s="574"/>
      <c r="K94" s="574"/>
      <c r="L94" s="604">
        <f>L93+10</f>
        <v>467.06599999999997</v>
      </c>
      <c r="M94" s="605">
        <v>-63332.221527474714</v>
      </c>
      <c r="N94" s="641">
        <v>-8.118310161253306E-3</v>
      </c>
      <c r="O94" s="606">
        <v>2.4949675933481297E-2</v>
      </c>
      <c r="P94" s="607">
        <f t="shared" si="25"/>
        <v>-2.9034710756696054</v>
      </c>
      <c r="Q94" s="607">
        <f t="shared" si="26"/>
        <v>-5.9737180641254425E-2</v>
      </c>
      <c r="R94" s="604">
        <f t="shared" si="27"/>
        <v>48.604086173837132</v>
      </c>
      <c r="S94" s="574"/>
      <c r="T94" s="574"/>
      <c r="U94" s="574"/>
      <c r="V94" s="574"/>
      <c r="W94" s="574"/>
      <c r="X94" s="574"/>
    </row>
    <row r="95" spans="2:24">
      <c r="B95" s="357"/>
      <c r="C95" s="359"/>
      <c r="D95" s="353"/>
      <c r="E95" s="353"/>
      <c r="F95" s="353"/>
      <c r="G95" s="353"/>
      <c r="H95" s="634"/>
      <c r="I95" s="353"/>
      <c r="J95" s="574"/>
      <c r="K95" s="574"/>
      <c r="L95" s="604">
        <v>492.07</v>
      </c>
      <c r="M95" s="605">
        <v>18096.568380284501</v>
      </c>
      <c r="N95" s="641">
        <v>0.19170146635127083</v>
      </c>
      <c r="O95" s="606">
        <v>0.18175073105299377</v>
      </c>
      <c r="P95" s="607">
        <f t="shared" si="25"/>
        <v>-0.45610159173391296</v>
      </c>
      <c r="Q95" s="607">
        <f t="shared" si="26"/>
        <v>-9.4009721926709439E-3</v>
      </c>
      <c r="R95" s="604">
        <f t="shared" si="27"/>
        <v>48.516428129581385</v>
      </c>
      <c r="S95" s="574"/>
      <c r="T95" s="574"/>
      <c r="U95" s="574"/>
      <c r="V95" s="574"/>
      <c r="W95" s="574"/>
      <c r="X95" s="574"/>
    </row>
    <row r="96" spans="2:24">
      <c r="B96" s="357"/>
      <c r="C96" s="359"/>
      <c r="D96" s="353"/>
      <c r="E96" s="353"/>
      <c r="F96" s="353"/>
      <c r="G96" s="353"/>
      <c r="H96" s="634"/>
      <c r="I96" s="353"/>
      <c r="J96" s="574"/>
      <c r="K96" s="574"/>
      <c r="L96" s="642">
        <v>496.73983700000002</v>
      </c>
      <c r="M96" s="643">
        <v>33271.962929324334</v>
      </c>
      <c r="N96" s="644">
        <v>0.2278359610203915</v>
      </c>
      <c r="O96" s="645">
        <v>0.20972039950491017</v>
      </c>
      <c r="P96" s="646">
        <f t="shared" si="25"/>
        <v>-3.8854700299111854E-8</v>
      </c>
      <c r="Q96" s="646">
        <f t="shared" si="26"/>
        <v>-8.0197709195755385E-10</v>
      </c>
      <c r="R96" s="642">
        <f>P96/Q96</f>
        <v>48.448641100546936</v>
      </c>
      <c r="S96" s="574"/>
      <c r="T96" s="574"/>
      <c r="U96" s="574"/>
      <c r="V96" s="574"/>
      <c r="W96" s="574"/>
      <c r="X96" s="574"/>
    </row>
    <row r="97" spans="2:24">
      <c r="B97" s="353"/>
      <c r="C97" s="359"/>
      <c r="D97" s="353"/>
      <c r="E97" s="353"/>
      <c r="F97" s="353"/>
      <c r="G97" s="353"/>
      <c r="H97" s="634"/>
      <c r="I97" s="353"/>
      <c r="J97" s="574"/>
      <c r="K97" s="574"/>
      <c r="L97" s="610">
        <f>L96+10</f>
        <v>506.73983700000002</v>
      </c>
      <c r="M97" s="611">
        <v>65723.185698728135</v>
      </c>
      <c r="N97" s="647">
        <v>0.30449445007062503</v>
      </c>
      <c r="O97" s="613">
        <v>0.27009609786794231</v>
      </c>
      <c r="P97" s="614">
        <f t="shared" si="25"/>
        <v>0.97533230259607395</v>
      </c>
      <c r="Q97" s="614">
        <f t="shared" si="26"/>
        <v>2.0131261575475894E-2</v>
      </c>
      <c r="R97" s="610" t="e">
        <f>P97/P790</f>
        <v>#DIV/0!</v>
      </c>
      <c r="S97" s="574"/>
      <c r="T97" s="574"/>
      <c r="U97" s="574"/>
      <c r="V97" s="574"/>
      <c r="W97" s="574"/>
      <c r="X97" s="574"/>
    </row>
    <row r="98" spans="2:24">
      <c r="B98" s="357"/>
      <c r="C98" s="358"/>
      <c r="D98" s="353"/>
      <c r="E98" s="353"/>
      <c r="F98" s="353"/>
      <c r="G98" s="353"/>
      <c r="H98" s="634"/>
      <c r="I98" s="353"/>
      <c r="J98" s="648"/>
      <c r="K98" s="574"/>
      <c r="L98" s="610">
        <f>L97+10</f>
        <v>516.73983700000008</v>
      </c>
      <c r="M98" s="611">
        <v>98174.408468132053</v>
      </c>
      <c r="N98" s="647">
        <v>0.38066009993292504</v>
      </c>
      <c r="O98" s="613">
        <v>0.32642312593451916</v>
      </c>
      <c r="P98" s="614">
        <f t="shared" si="25"/>
        <v>1.9506646440468518</v>
      </c>
      <c r="Q98" s="614">
        <f t="shared" si="26"/>
        <v>4.0262523952928994E-2</v>
      </c>
      <c r="R98" s="610">
        <f t="shared" si="27"/>
        <v>48.448642870163283</v>
      </c>
      <c r="S98" s="574"/>
      <c r="T98" s="574"/>
      <c r="U98" s="574"/>
      <c r="V98" s="574"/>
      <c r="W98" s="574"/>
      <c r="X98" s="574"/>
    </row>
    <row r="99" spans="2:24">
      <c r="B99" s="353"/>
      <c r="C99" s="358"/>
      <c r="D99" s="353"/>
      <c r="E99" s="353"/>
      <c r="F99" s="353"/>
      <c r="G99" s="353"/>
      <c r="H99" s="634"/>
      <c r="I99" s="353"/>
      <c r="J99" s="574"/>
      <c r="K99" s="574"/>
      <c r="L99" s="610">
        <f>L98+10</f>
        <v>526.73983700000008</v>
      </c>
      <c r="M99" s="611">
        <v>130625.63123753588</v>
      </c>
      <c r="N99" s="647">
        <v>0.4566557343192601</v>
      </c>
      <c r="O99" s="613">
        <v>0.38012531145550277</v>
      </c>
      <c r="P99" s="614">
        <f t="shared" si="25"/>
        <v>2.9259969854976271</v>
      </c>
      <c r="Q99" s="614">
        <f t="shared" si="26"/>
        <v>6.0393786330381977E-2</v>
      </c>
      <c r="R99" s="610">
        <f t="shared" si="27"/>
        <v>48.448642870163312</v>
      </c>
      <c r="S99" s="574"/>
      <c r="T99" s="574"/>
      <c r="U99" s="574"/>
      <c r="V99" s="574"/>
      <c r="W99" s="574"/>
      <c r="X99" s="574"/>
    </row>
    <row r="100" spans="2:24">
      <c r="B100" s="357"/>
      <c r="C100" s="358"/>
      <c r="D100" s="353"/>
      <c r="E100" s="353"/>
      <c r="F100" s="353"/>
      <c r="G100" s="353"/>
      <c r="H100" s="634"/>
      <c r="I100" s="353"/>
      <c r="J100" s="574"/>
      <c r="K100" s="574"/>
      <c r="L100" s="610">
        <f>L99+10</f>
        <v>536.73983700000008</v>
      </c>
      <c r="M100" s="611">
        <v>163076.85400693965</v>
      </c>
      <c r="N100" s="647">
        <v>0.53272949450414009</v>
      </c>
      <c r="O100" s="613">
        <v>0.43333016329230922</v>
      </c>
      <c r="P100" s="614">
        <f t="shared" si="25"/>
        <v>3.9013293269484004</v>
      </c>
      <c r="Q100" s="614">
        <f t="shared" si="26"/>
        <v>8.0525048707834959E-2</v>
      </c>
      <c r="R100" s="610">
        <f t="shared" si="27"/>
        <v>48.448642870163297</v>
      </c>
      <c r="S100" s="574"/>
      <c r="T100" s="574"/>
      <c r="U100" s="574"/>
      <c r="V100" s="574"/>
      <c r="W100" s="574"/>
      <c r="X100" s="574"/>
    </row>
    <row r="101" spans="2:24">
      <c r="B101" s="357"/>
      <c r="C101" s="358"/>
      <c r="D101" s="353"/>
      <c r="E101" s="353"/>
      <c r="F101" s="353"/>
      <c r="G101" s="353"/>
      <c r="H101" s="634"/>
      <c r="I101" s="353"/>
      <c r="J101" s="574"/>
      <c r="K101" s="574"/>
      <c r="L101" s="649">
        <f>496.73984*1.1</f>
        <v>546.41382400000009</v>
      </c>
      <c r="M101" s="650">
        <v>194470.12472747127</v>
      </c>
      <c r="N101" s="651">
        <v>0.60657809226740422</v>
      </c>
      <c r="O101" s="630">
        <v>0.48519756072910458</v>
      </c>
      <c r="P101" s="652">
        <f t="shared" si="25"/>
        <v>4.8448645661358345</v>
      </c>
      <c r="Q101" s="652">
        <f t="shared" si="26"/>
        <v>0.10000000576114192</v>
      </c>
      <c r="R101" s="653">
        <f t="shared" si="27"/>
        <v>48.448642870163276</v>
      </c>
      <c r="S101" s="574"/>
      <c r="T101" s="574"/>
      <c r="U101" s="574"/>
      <c r="V101" s="574"/>
      <c r="W101" s="574"/>
      <c r="X101" s="574"/>
    </row>
    <row r="102" spans="2:24">
      <c r="B102" s="634"/>
      <c r="C102" s="634"/>
      <c r="D102" s="634"/>
      <c r="E102" s="634"/>
      <c r="F102" s="634"/>
      <c r="G102" s="634"/>
      <c r="H102" s="634"/>
      <c r="I102" s="634"/>
      <c r="J102" s="574"/>
      <c r="K102" s="574"/>
      <c r="L102" s="610">
        <v>558.94000000000005</v>
      </c>
      <c r="M102" s="611">
        <v>235119.09750994702</v>
      </c>
      <c r="N102" s="647">
        <v>0.70278950270441798</v>
      </c>
      <c r="O102" s="613">
        <v>0.53319581982023001</v>
      </c>
      <c r="P102" s="614">
        <f t="shared" si="25"/>
        <v>6.0665830228862783</v>
      </c>
      <c r="Q102" s="614">
        <f t="shared" si="26"/>
        <v>0.1252167793253573</v>
      </c>
      <c r="R102" s="610">
        <f t="shared" si="27"/>
        <v>48.448642870163262</v>
      </c>
      <c r="S102" s="574"/>
      <c r="T102" s="574"/>
      <c r="U102" s="574"/>
      <c r="V102" s="574"/>
      <c r="W102" s="574"/>
      <c r="X102" s="574"/>
    </row>
    <row r="103" spans="2:24">
      <c r="B103" s="634"/>
      <c r="C103" s="634"/>
      <c r="D103" s="634"/>
      <c r="E103" s="634"/>
      <c r="F103" s="634"/>
      <c r="G103" s="634"/>
      <c r="H103" s="634"/>
      <c r="I103" s="634"/>
      <c r="J103" s="574"/>
      <c r="K103" s="574"/>
      <c r="L103" s="610">
        <f>L102+10</f>
        <v>568.94000000000005</v>
      </c>
      <c r="M103" s="611">
        <v>267570.32027935085</v>
      </c>
      <c r="N103" s="647">
        <v>0.78020799843294952</v>
      </c>
      <c r="O103" s="613">
        <v>0.56426067671493185</v>
      </c>
      <c r="P103" s="614">
        <f t="shared" si="25"/>
        <v>7.0419153643370533</v>
      </c>
      <c r="Q103" s="614">
        <f t="shared" si="26"/>
        <v>0.14534804170281029</v>
      </c>
      <c r="R103" s="610">
        <f t="shared" si="27"/>
        <v>48.448642870163269</v>
      </c>
      <c r="S103" s="574"/>
      <c r="T103" s="574"/>
      <c r="U103" s="574"/>
      <c r="V103" s="574"/>
      <c r="W103" s="574"/>
      <c r="X103" s="574"/>
    </row>
    <row r="104" spans="2:24">
      <c r="B104" s="634"/>
      <c r="C104" s="634"/>
      <c r="D104" s="634"/>
      <c r="E104" s="634"/>
      <c r="F104" s="634"/>
      <c r="G104" s="634"/>
      <c r="H104" s="634"/>
      <c r="I104" s="634"/>
      <c r="J104" s="574"/>
      <c r="K104" s="574"/>
      <c r="L104" s="610">
        <f>496.73984*1.15</f>
        <v>571.25081599999999</v>
      </c>
      <c r="M104" s="611">
        <v>275069.20075886091</v>
      </c>
      <c r="N104" s="647">
        <v>0.79818506181071536</v>
      </c>
      <c r="O104" s="613">
        <v>0.57109961984956126</v>
      </c>
      <c r="P104" s="614">
        <f t="shared" si="25"/>
        <v>7.2672967223312384</v>
      </c>
      <c r="Q104" s="614">
        <f t="shared" si="26"/>
        <v>0.15000000602301178</v>
      </c>
      <c r="R104" s="610">
        <f t="shared" si="27"/>
        <v>48.448642870163276</v>
      </c>
      <c r="S104" s="574"/>
      <c r="T104" s="574"/>
      <c r="U104" s="574"/>
      <c r="V104" s="574"/>
      <c r="W104" s="574"/>
      <c r="X104" s="574"/>
    </row>
    <row r="105" spans="2:24">
      <c r="B105" s="357"/>
      <c r="C105" s="357"/>
      <c r="D105" s="357"/>
      <c r="E105" s="357"/>
      <c r="F105" s="353"/>
      <c r="G105" s="353"/>
      <c r="H105" s="353"/>
      <c r="I105" s="634"/>
      <c r="J105" s="574"/>
      <c r="K105" s="574"/>
      <c r="L105" s="649">
        <v>584.35</v>
      </c>
      <c r="M105" s="654">
        <v>317577.65456700197</v>
      </c>
      <c r="N105" s="655">
        <v>0.9007622292938755</v>
      </c>
      <c r="O105" s="656">
        <v>0.60777806589952688</v>
      </c>
      <c r="P105" s="652">
        <f t="shared" si="25"/>
        <v>8.5449025025126915</v>
      </c>
      <c r="Q105" s="652">
        <f t="shared" si="26"/>
        <v>0.17637031702646527</v>
      </c>
      <c r="R105" s="649">
        <f t="shared" si="27"/>
        <v>48.448642870163262</v>
      </c>
      <c r="S105" s="574"/>
      <c r="T105" s="574"/>
      <c r="U105" s="574"/>
      <c r="V105" s="574"/>
      <c r="W105" s="574"/>
      <c r="X105" s="574"/>
    </row>
    <row r="106" spans="2:24">
      <c r="B106" s="356"/>
      <c r="C106" s="353"/>
      <c r="D106" s="357"/>
      <c r="E106" s="357"/>
      <c r="F106" s="357"/>
      <c r="G106" s="357"/>
      <c r="H106" s="357"/>
      <c r="I106" s="357"/>
      <c r="J106" s="574"/>
      <c r="K106" s="574"/>
      <c r="L106" s="657"/>
      <c r="M106" s="634"/>
      <c r="N106" s="574"/>
      <c r="O106" s="574"/>
      <c r="P106" s="574"/>
      <c r="Q106" s="574"/>
      <c r="R106" s="574"/>
      <c r="S106" s="574"/>
      <c r="T106" s="574"/>
      <c r="U106" s="574"/>
      <c r="V106" s="574"/>
      <c r="W106" s="574"/>
      <c r="X106" s="574"/>
    </row>
    <row r="107" spans="2:24">
      <c r="B107" s="353"/>
      <c r="C107" s="353"/>
      <c r="D107" s="360"/>
      <c r="E107" s="360"/>
      <c r="F107" s="360"/>
      <c r="G107" s="360"/>
      <c r="H107" s="360"/>
      <c r="I107" s="360"/>
      <c r="J107" s="574"/>
      <c r="K107" s="574"/>
      <c r="L107" s="658"/>
      <c r="M107" s="574"/>
      <c r="N107" s="574"/>
      <c r="O107" s="574"/>
      <c r="P107" s="574"/>
      <c r="Q107" s="574"/>
      <c r="R107" s="574"/>
      <c r="S107" s="574"/>
      <c r="T107" s="574"/>
      <c r="U107" s="574"/>
      <c r="V107" s="574"/>
      <c r="W107" s="574"/>
      <c r="X107" s="574"/>
    </row>
    <row r="108" spans="2:24">
      <c r="B108" s="353"/>
      <c r="C108" s="353"/>
      <c r="D108" s="360"/>
      <c r="E108" s="360"/>
      <c r="F108" s="360"/>
      <c r="G108" s="360"/>
      <c r="H108" s="360"/>
      <c r="I108" s="360"/>
      <c r="J108" s="574"/>
      <c r="K108" s="574"/>
      <c r="L108" s="624" t="s">
        <v>269</v>
      </c>
      <c r="M108" s="625" t="s">
        <v>270</v>
      </c>
      <c r="N108" s="626" t="s">
        <v>271</v>
      </c>
      <c r="O108" s="626" t="s">
        <v>272</v>
      </c>
      <c r="P108" s="626" t="s">
        <v>273</v>
      </c>
      <c r="Q108" s="627" t="s">
        <v>274</v>
      </c>
      <c r="R108" s="574"/>
      <c r="S108" s="574"/>
      <c r="T108" s="574"/>
      <c r="U108" s="574"/>
      <c r="V108" s="574"/>
      <c r="W108" s="574"/>
      <c r="X108" s="574"/>
    </row>
    <row r="109" spans="2:24">
      <c r="B109" s="357"/>
      <c r="C109" s="353"/>
      <c r="D109" s="358"/>
      <c r="E109" s="358"/>
      <c r="F109" s="358"/>
      <c r="G109" s="358"/>
      <c r="H109" s="358"/>
      <c r="I109" s="358"/>
      <c r="J109" s="574"/>
      <c r="K109" s="574"/>
      <c r="L109" s="563" t="s">
        <v>276</v>
      </c>
      <c r="M109" s="659">
        <f>470.509</f>
        <v>470.50900000000001</v>
      </c>
      <c r="N109" s="629">
        <f>E6</f>
        <v>496.73983739837399</v>
      </c>
      <c r="O109" s="630">
        <f>M109/N109</f>
        <v>0.9471940129953027</v>
      </c>
      <c r="P109" s="631">
        <f>O109-1</f>
        <v>-5.2805987004697297E-2</v>
      </c>
      <c r="Q109" s="630">
        <f>N109/M109-1</f>
        <v>5.5749916363712515E-2</v>
      </c>
      <c r="R109" s="574"/>
      <c r="S109" s="574"/>
      <c r="T109" s="574"/>
      <c r="U109" s="574"/>
      <c r="V109" s="574"/>
      <c r="W109" s="574"/>
      <c r="X109" s="574"/>
    </row>
    <row r="110" spans="2:24">
      <c r="B110" s="357"/>
      <c r="C110" s="359"/>
      <c r="D110" s="353"/>
      <c r="E110" s="353"/>
      <c r="F110" s="353"/>
      <c r="G110" s="353"/>
      <c r="H110" s="353"/>
      <c r="I110" s="634"/>
      <c r="J110" s="574"/>
      <c r="K110" s="574"/>
      <c r="L110" s="574"/>
      <c r="M110" s="574"/>
      <c r="N110" s="574"/>
      <c r="O110" s="574"/>
      <c r="P110" s="574"/>
      <c r="Q110" s="574"/>
      <c r="R110" s="574"/>
      <c r="S110" s="574"/>
      <c r="T110" s="574"/>
      <c r="U110" s="574"/>
      <c r="V110" s="574"/>
      <c r="W110" s="574"/>
      <c r="X110" s="574"/>
    </row>
    <row r="111" spans="2:24">
      <c r="B111" s="353"/>
      <c r="C111" s="361"/>
      <c r="D111" s="353"/>
      <c r="E111" s="362"/>
      <c r="F111" s="362"/>
      <c r="G111" s="362"/>
      <c r="H111" s="353"/>
      <c r="I111" s="634"/>
      <c r="J111" s="574"/>
      <c r="K111" s="574"/>
      <c r="L111" s="574"/>
      <c r="M111" s="574"/>
      <c r="N111" s="574"/>
      <c r="O111" s="574"/>
      <c r="P111" s="574"/>
      <c r="Q111" s="574"/>
      <c r="R111" s="574"/>
      <c r="S111" s="574"/>
      <c r="T111" s="574"/>
      <c r="U111" s="574"/>
      <c r="V111" s="574"/>
      <c r="W111" s="574"/>
      <c r="X111" s="574"/>
    </row>
    <row r="112" spans="2:24">
      <c r="B112" s="363"/>
      <c r="C112" s="361"/>
      <c r="D112" s="353"/>
      <c r="E112" s="363"/>
      <c r="F112" s="362"/>
      <c r="G112" s="362"/>
      <c r="H112" s="353"/>
      <c r="I112" s="634"/>
      <c r="J112" s="574"/>
      <c r="K112" s="574"/>
      <c r="L112" s="574"/>
      <c r="M112" s="574"/>
      <c r="N112" s="574"/>
      <c r="O112" s="574"/>
      <c r="P112" s="574"/>
      <c r="Q112" s="574"/>
      <c r="R112" s="574"/>
      <c r="S112" s="574"/>
      <c r="T112" s="574"/>
      <c r="U112" s="574"/>
      <c r="V112" s="574"/>
      <c r="W112" s="574"/>
      <c r="X112" s="574"/>
    </row>
    <row r="113" spans="2:24">
      <c r="B113" s="353"/>
      <c r="C113" s="361"/>
      <c r="D113" s="353"/>
      <c r="E113" s="360"/>
      <c r="F113" s="360"/>
      <c r="G113" s="360"/>
      <c r="H113" s="353"/>
      <c r="I113" s="634"/>
      <c r="J113" s="574"/>
      <c r="K113" s="574"/>
      <c r="L113" s="711" t="s">
        <v>277</v>
      </c>
      <c r="M113" s="711"/>
      <c r="N113" s="574"/>
      <c r="O113" s="574"/>
      <c r="P113" s="574"/>
      <c r="Q113" s="574"/>
      <c r="R113" s="574"/>
      <c r="S113" s="574"/>
      <c r="T113" s="574"/>
      <c r="U113" s="574"/>
      <c r="V113" s="574"/>
      <c r="W113" s="574"/>
      <c r="X113" s="574"/>
    </row>
    <row r="114" spans="2:24">
      <c r="B114" s="353"/>
      <c r="C114" s="361"/>
      <c r="D114" s="353"/>
      <c r="E114" s="360"/>
      <c r="F114" s="360"/>
      <c r="G114" s="360"/>
      <c r="H114" s="353"/>
      <c r="I114" s="634"/>
      <c r="J114" s="574"/>
      <c r="K114" s="574"/>
      <c r="L114" s="574"/>
      <c r="M114" s="574"/>
      <c r="N114" s="578" t="s">
        <v>278</v>
      </c>
      <c r="O114" s="588">
        <f>E9</f>
        <v>260.096</v>
      </c>
      <c r="P114" s="574"/>
      <c r="Q114" s="574"/>
      <c r="R114" s="574"/>
      <c r="S114" s="574"/>
      <c r="T114" s="574"/>
      <c r="U114" s="574"/>
      <c r="V114" s="574"/>
      <c r="W114" s="574"/>
      <c r="X114" s="574"/>
    </row>
    <row r="115" spans="2:24">
      <c r="B115" s="353"/>
      <c r="C115" s="361"/>
      <c r="D115" s="353"/>
      <c r="E115" s="362"/>
      <c r="F115" s="362"/>
      <c r="G115" s="362"/>
      <c r="H115" s="353"/>
      <c r="I115" s="634"/>
      <c r="J115" s="574"/>
      <c r="K115" s="574"/>
      <c r="L115" s="660"/>
      <c r="M115" s="574"/>
      <c r="N115" s="574"/>
      <c r="O115" s="574"/>
      <c r="P115" s="574"/>
      <c r="Q115" s="574"/>
      <c r="R115" s="574"/>
      <c r="S115" s="574"/>
      <c r="T115" s="574"/>
      <c r="U115" s="574"/>
      <c r="V115" s="574"/>
      <c r="W115" s="574"/>
      <c r="X115" s="574"/>
    </row>
    <row r="116" spans="2:24">
      <c r="B116" s="353"/>
      <c r="C116" s="361"/>
      <c r="D116" s="360"/>
      <c r="E116" s="360"/>
      <c r="F116" s="360"/>
      <c r="G116" s="360"/>
      <c r="H116" s="353"/>
      <c r="I116" s="634"/>
      <c r="J116" s="574"/>
      <c r="K116" s="574"/>
      <c r="L116" s="574"/>
      <c r="M116" s="49" t="s">
        <v>248</v>
      </c>
      <c r="N116" s="49" t="s">
        <v>249</v>
      </c>
      <c r="O116" s="49" t="s">
        <v>250</v>
      </c>
      <c r="P116" s="49"/>
      <c r="Q116" s="49"/>
      <c r="R116" s="591"/>
      <c r="S116" s="574"/>
      <c r="T116" s="574"/>
      <c r="U116" s="574"/>
      <c r="V116" s="574"/>
      <c r="W116" s="574"/>
      <c r="X116" s="574"/>
    </row>
    <row r="117" spans="2:24">
      <c r="B117" s="353"/>
      <c r="C117" s="361"/>
      <c r="D117" s="353"/>
      <c r="E117" s="360"/>
      <c r="F117" s="360"/>
      <c r="G117" s="360"/>
      <c r="H117" s="353"/>
      <c r="I117" s="634"/>
      <c r="J117" s="574"/>
      <c r="K117" s="574"/>
      <c r="L117" s="592" t="s">
        <v>279</v>
      </c>
      <c r="M117" s="593">
        <f>D56</f>
        <v>33271.964222096532</v>
      </c>
      <c r="N117" s="661">
        <f>D58</f>
        <v>0.22783596408931084</v>
      </c>
      <c r="O117" s="595">
        <f>D60</f>
        <v>0.20972040188909391</v>
      </c>
      <c r="P117" s="49" t="s">
        <v>253</v>
      </c>
      <c r="Q117" s="49" t="s">
        <v>280</v>
      </c>
      <c r="R117" s="596" t="s">
        <v>281</v>
      </c>
      <c r="S117" s="574"/>
      <c r="T117" s="574"/>
      <c r="U117" s="574"/>
      <c r="V117" s="574"/>
      <c r="W117" s="574"/>
      <c r="X117" s="574"/>
    </row>
    <row r="118" spans="2:24">
      <c r="B118" s="353"/>
      <c r="C118" s="361"/>
      <c r="D118" s="353"/>
      <c r="E118" s="362"/>
      <c r="F118" s="362"/>
      <c r="G118" s="362"/>
      <c r="H118" s="353"/>
      <c r="I118" s="634"/>
      <c r="J118" s="574"/>
      <c r="K118" s="574"/>
      <c r="L118" s="649">
        <f>260.096*(1-0.15)</f>
        <v>221.08160000000001</v>
      </c>
      <c r="M118" s="564">
        <f t="dataTable" ref="M118:O134" dt2D="0" dtr="0" r1="E9" ca="1"/>
        <v>159878.46278355923</v>
      </c>
      <c r="N118" s="656">
        <v>0.52522243063361085</v>
      </c>
      <c r="O118" s="656">
        <v>0.42808186027358075</v>
      </c>
      <c r="P118" s="652">
        <f t="shared" ref="P118:P134" si="28">(M118-$M$117)/$M$117</f>
        <v>3.8052006102297065</v>
      </c>
      <c r="Q118" s="652">
        <f t="shared" ref="Q118:Q134" si="29">(L118-$E$9)/$E$9</f>
        <v>-0.14999999999999997</v>
      </c>
      <c r="R118" s="649">
        <f>P118/Q118</f>
        <v>-25.368004068198047</v>
      </c>
      <c r="S118" s="574"/>
      <c r="T118" s="574"/>
      <c r="U118" s="574"/>
      <c r="V118" s="574"/>
      <c r="W118" s="574"/>
      <c r="X118" s="574"/>
    </row>
    <row r="119" spans="2:24">
      <c r="B119" s="634"/>
      <c r="C119" s="634"/>
      <c r="D119" s="634"/>
      <c r="E119" s="634"/>
      <c r="F119" s="634"/>
      <c r="G119" s="634"/>
      <c r="H119" s="634"/>
      <c r="I119" s="634"/>
      <c r="J119" s="574"/>
      <c r="K119" s="574"/>
      <c r="L119" s="614">
        <f>L118+5</f>
        <v>226.08160000000001</v>
      </c>
      <c r="M119" s="610">
        <v>143652.85139885731</v>
      </c>
      <c r="N119" s="612">
        <v>0.48717353918696182</v>
      </c>
      <c r="O119" s="614">
        <v>0.40149005447941311</v>
      </c>
      <c r="P119" s="614">
        <f t="shared" si="28"/>
        <v>3.3175344395043189</v>
      </c>
      <c r="Q119" s="614">
        <f t="shared" si="29"/>
        <v>-0.13077632874015746</v>
      </c>
      <c r="R119" s="610">
        <f t="shared" ref="R119:R125" si="30">P119/Q119</f>
        <v>-25.36800406819804</v>
      </c>
      <c r="S119" s="574"/>
      <c r="T119" s="574"/>
      <c r="U119" s="574"/>
      <c r="V119" s="574"/>
      <c r="W119" s="574"/>
      <c r="X119" s="574"/>
    </row>
    <row r="120" spans="2:24">
      <c r="B120" s="574"/>
      <c r="C120" s="574"/>
      <c r="D120" s="574"/>
      <c r="E120" s="574"/>
      <c r="F120" s="574"/>
      <c r="G120" s="574"/>
      <c r="H120" s="574"/>
      <c r="I120" s="574"/>
      <c r="J120" s="574"/>
      <c r="K120" s="574"/>
      <c r="L120" s="614">
        <f t="shared" ref="L120:L125" si="31">L119+5</f>
        <v>231.08160000000001</v>
      </c>
      <c r="M120" s="610">
        <v>127427.24001415545</v>
      </c>
      <c r="N120" s="612">
        <v>0.44916568722147465</v>
      </c>
      <c r="O120" s="614">
        <v>0.37487028965034286</v>
      </c>
      <c r="P120" s="614">
        <f t="shared" si="28"/>
        <v>2.8298682687789332</v>
      </c>
      <c r="Q120" s="614">
        <f t="shared" si="29"/>
        <v>-0.11155265748031494</v>
      </c>
      <c r="R120" s="610">
        <f t="shared" si="30"/>
        <v>-25.368004068198051</v>
      </c>
      <c r="S120" s="574"/>
      <c r="T120" s="574"/>
      <c r="U120" s="574"/>
      <c r="V120" s="574"/>
      <c r="W120" s="574"/>
      <c r="X120" s="574"/>
    </row>
    <row r="121" spans="2:24">
      <c r="B121" s="574"/>
      <c r="C121" s="574"/>
      <c r="D121" s="574"/>
      <c r="E121" s="574"/>
      <c r="F121" s="574"/>
      <c r="G121" s="574"/>
      <c r="H121" s="574"/>
      <c r="I121" s="574"/>
      <c r="J121" s="574"/>
      <c r="K121" s="574"/>
      <c r="L121" s="649">
        <f>260.96*(1-0.1)</f>
        <v>234.86399999999998</v>
      </c>
      <c r="M121" s="564">
        <v>115152.88951385627</v>
      </c>
      <c r="N121" s="656">
        <v>0.42042500940023597</v>
      </c>
      <c r="O121" s="656">
        <v>0.35464249486725419</v>
      </c>
      <c r="P121" s="652">
        <f t="shared" si="28"/>
        <v>2.4609585639485956</v>
      </c>
      <c r="Q121" s="652">
        <f t="shared" si="29"/>
        <v>-9.7010334645669397E-2</v>
      </c>
      <c r="R121" s="649">
        <f t="shared" si="30"/>
        <v>-25.368004068198051</v>
      </c>
      <c r="S121" s="574"/>
      <c r="T121" s="574"/>
      <c r="U121" s="574"/>
      <c r="V121" s="574"/>
      <c r="W121" s="574"/>
      <c r="X121" s="574"/>
    </row>
    <row r="122" spans="2:24">
      <c r="B122" s="574"/>
      <c r="C122" s="574"/>
      <c r="D122" s="574"/>
      <c r="E122" s="574"/>
      <c r="F122" s="574"/>
      <c r="G122" s="574"/>
      <c r="H122" s="574"/>
      <c r="I122" s="574"/>
      <c r="J122" s="574"/>
      <c r="K122" s="574"/>
      <c r="L122" s="617">
        <f t="shared" si="31"/>
        <v>239.86399999999998</v>
      </c>
      <c r="M122" s="617">
        <v>98927.278129154351</v>
      </c>
      <c r="N122" s="616">
        <v>0.38242404309593026</v>
      </c>
      <c r="O122" s="613">
        <v>0.32768214724668621</v>
      </c>
      <c r="P122" s="614">
        <f t="shared" si="28"/>
        <v>1.973292393223208</v>
      </c>
      <c r="Q122" s="614">
        <f t="shared" si="29"/>
        <v>-7.7786663385826876E-2</v>
      </c>
      <c r="R122" s="617">
        <f t="shared" si="30"/>
        <v>-25.368004068198044</v>
      </c>
      <c r="S122" s="574"/>
      <c r="T122" s="574"/>
      <c r="U122" s="574"/>
      <c r="V122" s="574"/>
      <c r="W122" s="574"/>
      <c r="X122" s="574"/>
    </row>
    <row r="123" spans="2:24">
      <c r="B123" s="574"/>
      <c r="C123" s="574"/>
      <c r="D123" s="574"/>
      <c r="E123" s="574"/>
      <c r="F123" s="574"/>
      <c r="G123" s="574"/>
      <c r="H123" s="574"/>
      <c r="I123" s="574"/>
      <c r="J123" s="574"/>
      <c r="K123" s="574"/>
      <c r="L123" s="617">
        <f t="shared" si="31"/>
        <v>244.86399999999998</v>
      </c>
      <c r="M123" s="617">
        <v>82701.666744452465</v>
      </c>
      <c r="N123" s="616">
        <v>0.34438334577319241</v>
      </c>
      <c r="O123" s="613">
        <v>0.30034399492435315</v>
      </c>
      <c r="P123" s="614">
        <f t="shared" si="28"/>
        <v>1.4856262224978212</v>
      </c>
      <c r="Q123" s="614">
        <f t="shared" si="29"/>
        <v>-5.8562992125984356E-2</v>
      </c>
      <c r="R123" s="617">
        <f t="shared" si="30"/>
        <v>-25.368004068198044</v>
      </c>
      <c r="S123" s="574"/>
      <c r="T123" s="574"/>
      <c r="U123" s="574"/>
      <c r="V123" s="574"/>
      <c r="W123" s="574"/>
      <c r="X123" s="574"/>
    </row>
    <row r="124" spans="2:24">
      <c r="B124" s="574"/>
      <c r="C124" s="574"/>
      <c r="D124" s="574"/>
      <c r="E124" s="574"/>
      <c r="F124" s="574"/>
      <c r="G124" s="574"/>
      <c r="H124" s="574"/>
      <c r="I124" s="574"/>
      <c r="J124" s="574"/>
      <c r="K124" s="574"/>
      <c r="L124" s="617">
        <f t="shared" si="31"/>
        <v>249.86399999999998</v>
      </c>
      <c r="M124" s="617">
        <v>66476.055359750579</v>
      </c>
      <c r="N124" s="616">
        <v>0.30626566416426737</v>
      </c>
      <c r="O124" s="613">
        <v>0.2715164926844218</v>
      </c>
      <c r="P124" s="614">
        <f t="shared" si="28"/>
        <v>0.99796005177243452</v>
      </c>
      <c r="Q124" s="614">
        <f t="shared" si="29"/>
        <v>-3.9339320866141836E-2</v>
      </c>
      <c r="R124" s="617">
        <f t="shared" si="30"/>
        <v>-25.368004068198051</v>
      </c>
      <c r="S124" s="574"/>
      <c r="T124" s="574"/>
      <c r="U124" s="574"/>
      <c r="V124" s="574"/>
      <c r="W124" s="574"/>
      <c r="X124" s="574"/>
    </row>
    <row r="125" spans="2:24">
      <c r="B125" s="574"/>
      <c r="C125" s="574"/>
      <c r="D125" s="574"/>
      <c r="E125" s="574"/>
      <c r="F125" s="574"/>
      <c r="G125" s="574"/>
      <c r="H125" s="574"/>
      <c r="I125" s="574"/>
      <c r="J125" s="574"/>
      <c r="K125" s="574"/>
      <c r="L125" s="617">
        <f t="shared" si="31"/>
        <v>254.86399999999998</v>
      </c>
      <c r="M125" s="617">
        <v>50250.443975048693</v>
      </c>
      <c r="N125" s="616">
        <v>0.26802844806447235</v>
      </c>
      <c r="O125" s="613">
        <v>0.24113907750928987</v>
      </c>
      <c r="P125" s="614">
        <f t="shared" si="28"/>
        <v>0.51029388104704787</v>
      </c>
      <c r="Q125" s="614">
        <f t="shared" si="29"/>
        <v>-2.0115649606299319E-2</v>
      </c>
      <c r="R125" s="617">
        <f t="shared" si="30"/>
        <v>-25.368004068198061</v>
      </c>
      <c r="S125" s="574"/>
      <c r="T125" s="574"/>
      <c r="U125" s="574"/>
      <c r="V125" s="574"/>
      <c r="W125" s="574"/>
      <c r="X125" s="574"/>
    </row>
    <row r="126" spans="2:24">
      <c r="B126" s="574"/>
      <c r="C126" s="574"/>
      <c r="D126" s="574"/>
      <c r="E126" s="574"/>
      <c r="F126" s="574"/>
      <c r="G126" s="574"/>
      <c r="H126" s="574"/>
      <c r="I126" s="574"/>
      <c r="J126" s="574"/>
      <c r="K126" s="574"/>
      <c r="L126" s="642">
        <f>260.096</f>
        <v>260.096</v>
      </c>
      <c r="M126" s="662">
        <v>33271.964222096532</v>
      </c>
      <c r="N126" s="645">
        <v>0.22783596408931084</v>
      </c>
      <c r="O126" s="645">
        <v>0.20972040188909391</v>
      </c>
      <c r="P126" s="646">
        <f t="shared" si="28"/>
        <v>0</v>
      </c>
      <c r="Q126" s="646">
        <f t="shared" si="29"/>
        <v>0</v>
      </c>
      <c r="R126" s="642" t="e">
        <f>P126/P819</f>
        <v>#DIV/0!</v>
      </c>
      <c r="S126" s="574"/>
      <c r="T126" s="574"/>
      <c r="U126" s="574"/>
      <c r="V126" s="574"/>
      <c r="W126" s="574"/>
      <c r="X126" s="574"/>
    </row>
    <row r="127" spans="2:24">
      <c r="B127" s="574"/>
      <c r="C127" s="574"/>
      <c r="D127" s="574"/>
      <c r="E127" s="574"/>
      <c r="F127" s="574"/>
      <c r="G127" s="574"/>
      <c r="H127" s="574"/>
      <c r="I127" s="574"/>
      <c r="J127" s="574"/>
      <c r="K127" s="574"/>
      <c r="L127" s="617">
        <f>L126+5</f>
        <v>265.096</v>
      </c>
      <c r="M127" s="617">
        <v>17022.032911424772</v>
      </c>
      <c r="N127" s="616">
        <v>0.18913397124094988</v>
      </c>
      <c r="O127" s="613">
        <v>0.17976934516739074</v>
      </c>
      <c r="P127" s="614">
        <f t="shared" si="28"/>
        <v>-0.48839711422507115</v>
      </c>
      <c r="Q127" s="614">
        <f t="shared" si="29"/>
        <v>1.922367125984252E-2</v>
      </c>
      <c r="R127" s="617">
        <f t="shared" ref="R127:R134" si="32">P127/Q127</f>
        <v>-25.40602716429682</v>
      </c>
      <c r="S127" s="574"/>
      <c r="T127" s="574"/>
      <c r="U127" s="574"/>
      <c r="V127" s="574"/>
      <c r="W127" s="574"/>
      <c r="X127" s="574"/>
    </row>
    <row r="128" spans="2:24">
      <c r="B128" s="574"/>
      <c r="C128" s="574"/>
      <c r="D128" s="574"/>
      <c r="E128" s="574"/>
      <c r="F128" s="574"/>
      <c r="G128" s="574"/>
      <c r="H128" s="574"/>
      <c r="I128" s="574"/>
      <c r="J128" s="574"/>
      <c r="K128" s="574"/>
      <c r="L128" s="617">
        <f t="shared" ref="L128:L133" si="33">L127+5</f>
        <v>270.096</v>
      </c>
      <c r="M128" s="617">
        <v>749.21061768553045</v>
      </c>
      <c r="N128" s="616">
        <v>0.15008763760626964</v>
      </c>
      <c r="O128" s="613">
        <v>0.14967367674214449</v>
      </c>
      <c r="P128" s="614">
        <f t="shared" si="28"/>
        <v>-0.9774822245935223</v>
      </c>
      <c r="Q128" s="614">
        <f t="shared" si="29"/>
        <v>3.844734251968504E-2</v>
      </c>
      <c r="R128" s="617">
        <f t="shared" si="32"/>
        <v>-25.423921668787678</v>
      </c>
      <c r="S128" s="574"/>
      <c r="T128" s="574"/>
      <c r="U128" s="574"/>
      <c r="V128" s="574"/>
      <c r="W128" s="574"/>
      <c r="X128" s="574"/>
    </row>
    <row r="129" spans="2:24">
      <c r="B129" s="574"/>
      <c r="C129" s="574"/>
      <c r="D129" s="574"/>
      <c r="E129" s="574"/>
      <c r="F129" s="574"/>
      <c r="G129" s="574"/>
      <c r="H129" s="574"/>
      <c r="I129" s="574"/>
      <c r="J129" s="574"/>
      <c r="K129" s="574"/>
      <c r="L129" s="663">
        <f t="shared" si="33"/>
        <v>275.096</v>
      </c>
      <c r="M129" s="663">
        <v>-15523.611676053712</v>
      </c>
      <c r="N129" s="664">
        <v>0.11067987696141901</v>
      </c>
      <c r="O129" s="665">
        <v>0.11923809380713957</v>
      </c>
      <c r="P129" s="666">
        <f t="shared" si="28"/>
        <v>-1.4665673349619734</v>
      </c>
      <c r="Q129" s="666">
        <f t="shared" si="29"/>
        <v>5.7671013779527561E-2</v>
      </c>
      <c r="R129" s="663">
        <f t="shared" si="32"/>
        <v>-25.429886503617961</v>
      </c>
      <c r="S129" s="574"/>
      <c r="T129" s="574"/>
      <c r="U129" s="574"/>
      <c r="V129" s="574"/>
      <c r="W129" s="574"/>
      <c r="X129" s="574"/>
    </row>
    <row r="130" spans="2:24">
      <c r="B130" s="574"/>
      <c r="C130" s="574"/>
      <c r="D130" s="574"/>
      <c r="E130" s="574"/>
      <c r="F130" s="574"/>
      <c r="G130" s="574"/>
      <c r="H130" s="574"/>
      <c r="I130" s="574"/>
      <c r="J130" s="574"/>
      <c r="K130" s="574"/>
      <c r="L130" s="663">
        <f t="shared" si="33"/>
        <v>280.096</v>
      </c>
      <c r="M130" s="663">
        <v>-31796.43396979299</v>
      </c>
      <c r="N130" s="664">
        <v>7.0822659637468588E-2</v>
      </c>
      <c r="O130" s="665">
        <v>8.8186793813498587E-2</v>
      </c>
      <c r="P130" s="666">
        <f t="shared" si="28"/>
        <v>-1.9556524453304258</v>
      </c>
      <c r="Q130" s="666">
        <f t="shared" si="29"/>
        <v>7.6894685039370081E-2</v>
      </c>
      <c r="R130" s="663">
        <f t="shared" si="32"/>
        <v>-25.432868921033123</v>
      </c>
      <c r="S130" s="574"/>
      <c r="T130" s="574"/>
      <c r="U130" s="574"/>
      <c r="V130" s="574"/>
      <c r="W130" s="574"/>
      <c r="X130" s="574"/>
    </row>
    <row r="131" spans="2:24">
      <c r="B131" s="574"/>
      <c r="C131" s="574"/>
      <c r="D131" s="574"/>
      <c r="E131" s="574"/>
      <c r="F131" s="574"/>
      <c r="G131" s="574"/>
      <c r="H131" s="574"/>
      <c r="I131" s="574"/>
      <c r="J131" s="574"/>
      <c r="K131" s="574"/>
      <c r="L131" s="663">
        <f>L130+5</f>
        <v>285.096</v>
      </c>
      <c r="M131" s="667">
        <v>-48075.954432492887</v>
      </c>
      <c r="N131" s="665">
        <v>3.0393951183635748E-2</v>
      </c>
      <c r="O131" s="665">
        <v>5.6178155035493615E-2</v>
      </c>
      <c r="P131" s="666">
        <f t="shared" si="28"/>
        <v>-2.4449388714046751</v>
      </c>
      <c r="Q131" s="666">
        <f t="shared" si="29"/>
        <v>9.6118356299212601E-2</v>
      </c>
      <c r="R131" s="667">
        <f t="shared" si="32"/>
        <v>-25.436752827874816</v>
      </c>
      <c r="S131" s="574"/>
      <c r="T131" s="574"/>
      <c r="U131" s="574"/>
      <c r="V131" s="574"/>
      <c r="W131" s="574"/>
      <c r="X131" s="574"/>
    </row>
    <row r="132" spans="2:24">
      <c r="B132" s="574"/>
      <c r="C132" s="574"/>
      <c r="D132" s="574"/>
      <c r="E132" s="574"/>
      <c r="F132" s="574"/>
      <c r="G132" s="574"/>
      <c r="H132" s="574"/>
      <c r="I132" s="574"/>
      <c r="J132" s="574"/>
      <c r="K132" s="574"/>
      <c r="L132" s="663">
        <f t="shared" si="33"/>
        <v>290.096</v>
      </c>
      <c r="M132" s="663">
        <v>-64396.876401546993</v>
      </c>
      <c r="N132" s="664">
        <v>-1.0831316051162942E-2</v>
      </c>
      <c r="O132" s="665">
        <v>2.2715403138303891E-2</v>
      </c>
      <c r="P132" s="666">
        <f t="shared" si="28"/>
        <v>-2.9354696335835748</v>
      </c>
      <c r="Q132" s="666">
        <f t="shared" si="29"/>
        <v>0.11534202755905512</v>
      </c>
      <c r="R132" s="663">
        <f t="shared" si="32"/>
        <v>-25.450130327218449</v>
      </c>
      <c r="S132" s="574"/>
      <c r="T132" s="574"/>
      <c r="U132" s="574"/>
      <c r="V132" s="574"/>
      <c r="W132" s="574"/>
      <c r="X132" s="574"/>
    </row>
    <row r="133" spans="2:24">
      <c r="B133" s="574"/>
      <c r="C133" s="574"/>
      <c r="D133" s="574"/>
      <c r="E133" s="574"/>
      <c r="F133" s="574"/>
      <c r="G133" s="574"/>
      <c r="H133" s="574"/>
      <c r="I133" s="574"/>
      <c r="J133" s="574"/>
      <c r="K133" s="574"/>
      <c r="L133" s="663">
        <f t="shared" si="33"/>
        <v>295.096</v>
      </c>
      <c r="M133" s="663">
        <v>-80717.798370601085</v>
      </c>
      <c r="N133" s="664">
        <v>-5.289459292839771E-2</v>
      </c>
      <c r="O133" s="665">
        <v>-1.2654336356201834E-2</v>
      </c>
      <c r="P133" s="666">
        <f t="shared" si="28"/>
        <v>-3.4260003957624745</v>
      </c>
      <c r="Q133" s="666">
        <f t="shared" si="29"/>
        <v>0.13456569881889763</v>
      </c>
      <c r="R133" s="663">
        <f t="shared" si="32"/>
        <v>-25.459685683892474</v>
      </c>
      <c r="S133" s="574"/>
      <c r="T133" s="574"/>
      <c r="U133" s="574"/>
      <c r="V133" s="574"/>
      <c r="W133" s="574"/>
      <c r="X133" s="574"/>
    </row>
    <row r="134" spans="2:24">
      <c r="B134" s="574"/>
      <c r="C134" s="574"/>
      <c r="D134" s="574"/>
      <c r="E134" s="574"/>
      <c r="F134" s="574"/>
      <c r="G134" s="574"/>
      <c r="H134" s="574"/>
      <c r="I134" s="574"/>
      <c r="J134" s="574"/>
      <c r="K134" s="574"/>
      <c r="L134" s="668">
        <f>260.096*1.15</f>
        <v>299.11039999999997</v>
      </c>
      <c r="M134" s="668">
        <v>-93821.540201115175</v>
      </c>
      <c r="N134" s="669">
        <v>-8.7394645555619488E-2</v>
      </c>
      <c r="O134" s="669">
        <v>-3.89381589362916E-2</v>
      </c>
      <c r="P134" s="670">
        <f t="shared" si="28"/>
        <v>-3.819837734100668</v>
      </c>
      <c r="Q134" s="670">
        <f t="shared" si="29"/>
        <v>0.14999999999999986</v>
      </c>
      <c r="R134" s="668">
        <f t="shared" si="32"/>
        <v>-25.465584894004479</v>
      </c>
      <c r="S134" s="574"/>
      <c r="T134" s="574"/>
      <c r="U134" s="574"/>
      <c r="V134" s="574"/>
      <c r="W134" s="574"/>
      <c r="X134" s="574"/>
    </row>
    <row r="135" spans="2:24">
      <c r="B135" s="574"/>
      <c r="C135" s="574"/>
      <c r="D135" s="574"/>
      <c r="E135" s="574"/>
      <c r="F135" s="574"/>
      <c r="G135" s="574"/>
      <c r="H135" s="574"/>
      <c r="I135" s="574"/>
      <c r="J135" s="574"/>
      <c r="K135" s="574"/>
      <c r="L135" s="574"/>
      <c r="M135" s="574"/>
      <c r="N135" s="574"/>
      <c r="O135" s="574"/>
      <c r="P135" s="574"/>
      <c r="Q135" s="574"/>
      <c r="R135" s="574"/>
      <c r="S135" s="574"/>
      <c r="T135" s="574"/>
      <c r="U135" s="574"/>
      <c r="V135" s="574"/>
      <c r="W135" s="574"/>
      <c r="X135" s="574"/>
    </row>
    <row r="136" spans="2:24">
      <c r="B136" s="574"/>
      <c r="C136" s="574"/>
      <c r="D136" s="574"/>
      <c r="E136" s="574"/>
      <c r="F136" s="574"/>
      <c r="G136" s="574"/>
      <c r="H136" s="574"/>
      <c r="I136" s="574"/>
      <c r="J136" s="574"/>
      <c r="K136" s="574"/>
      <c r="L136" s="574"/>
      <c r="M136" s="574"/>
      <c r="N136" s="574"/>
      <c r="O136" s="634"/>
      <c r="P136" s="634"/>
      <c r="Q136" s="634"/>
      <c r="R136" s="574"/>
      <c r="S136" s="574"/>
      <c r="T136" s="574"/>
      <c r="U136" s="574"/>
      <c r="V136" s="574"/>
      <c r="W136" s="574"/>
      <c r="X136" s="574"/>
    </row>
    <row r="137" spans="2:24">
      <c r="B137" s="574"/>
      <c r="C137" s="574"/>
      <c r="D137" s="574"/>
      <c r="E137" s="574"/>
      <c r="F137" s="574"/>
      <c r="G137" s="574"/>
      <c r="H137" s="574"/>
      <c r="I137" s="574"/>
      <c r="J137" s="574"/>
      <c r="K137" s="574"/>
      <c r="L137" s="624" t="s">
        <v>562</v>
      </c>
      <c r="M137" s="671">
        <v>270.32600000000002</v>
      </c>
      <c r="N137" s="580" t="s">
        <v>282</v>
      </c>
      <c r="O137" s="672"/>
      <c r="P137" s="634"/>
      <c r="Q137" s="672"/>
      <c r="R137" s="574"/>
      <c r="S137" s="574"/>
      <c r="T137" s="574"/>
      <c r="U137" s="574"/>
      <c r="V137" s="574"/>
      <c r="W137" s="574"/>
      <c r="X137" s="574"/>
    </row>
    <row r="138" spans="2:24">
      <c r="B138" s="574"/>
      <c r="C138" s="574"/>
      <c r="D138" s="574"/>
      <c r="E138" s="574"/>
      <c r="F138" s="574"/>
      <c r="G138" s="574"/>
      <c r="H138" s="574"/>
      <c r="I138" s="574"/>
      <c r="J138" s="574"/>
      <c r="K138" s="574"/>
      <c r="L138" s="624" t="s">
        <v>283</v>
      </c>
      <c r="M138" s="673">
        <f>M137/E9-1</f>
        <v>3.9331631397637956E-2</v>
      </c>
      <c r="N138" s="674"/>
      <c r="O138" s="675"/>
      <c r="P138" s="676"/>
      <c r="Q138" s="672"/>
      <c r="R138" s="574"/>
      <c r="S138" s="574"/>
      <c r="T138" s="574"/>
      <c r="U138" s="574"/>
      <c r="V138" s="574"/>
      <c r="W138" s="574"/>
      <c r="X138" s="574"/>
    </row>
    <row r="139" spans="2:24">
      <c r="B139" s="574"/>
      <c r="C139" s="574"/>
      <c r="D139" s="574"/>
      <c r="E139" s="574"/>
      <c r="F139" s="574"/>
      <c r="G139" s="574"/>
      <c r="H139" s="574"/>
      <c r="I139" s="574"/>
      <c r="J139" s="574"/>
      <c r="K139" s="574"/>
      <c r="L139" s="574"/>
      <c r="M139" s="574"/>
      <c r="N139" s="574"/>
      <c r="O139" s="634"/>
      <c r="P139" s="634"/>
      <c r="Q139" s="634"/>
      <c r="R139" s="574"/>
      <c r="S139" s="574"/>
      <c r="T139" s="574"/>
      <c r="U139" s="574"/>
      <c r="V139" s="574"/>
      <c r="W139" s="574"/>
      <c r="X139" s="574"/>
    </row>
    <row r="140" spans="2:24">
      <c r="B140" s="574"/>
      <c r="C140" s="574"/>
      <c r="D140" s="574"/>
      <c r="E140" s="574"/>
      <c r="F140" s="574"/>
      <c r="G140" s="574"/>
      <c r="H140" s="574"/>
      <c r="I140" s="574"/>
      <c r="J140" s="574"/>
      <c r="K140" s="574"/>
      <c r="L140" s="574"/>
      <c r="M140" s="574"/>
      <c r="N140" s="574"/>
      <c r="O140" s="634"/>
      <c r="P140" s="634"/>
      <c r="Q140" s="634"/>
      <c r="R140" s="574"/>
      <c r="S140" s="574"/>
      <c r="T140" s="574"/>
      <c r="U140" s="574"/>
      <c r="V140" s="574"/>
      <c r="W140" s="574"/>
      <c r="X140" s="574"/>
    </row>
    <row r="141" spans="2:24">
      <c r="B141" s="574"/>
      <c r="C141" s="574"/>
      <c r="D141" s="574"/>
      <c r="E141" s="574"/>
      <c r="F141" s="574"/>
      <c r="G141" s="574"/>
      <c r="H141" s="574"/>
      <c r="I141" s="574"/>
      <c r="J141" s="574"/>
      <c r="K141" s="574"/>
      <c r="L141" s="711" t="s">
        <v>284</v>
      </c>
      <c r="M141" s="711"/>
      <c r="N141" s="574"/>
      <c r="O141" s="574"/>
      <c r="P141" s="574"/>
      <c r="Q141" s="574"/>
      <c r="R141" s="574"/>
      <c r="S141" s="574"/>
      <c r="T141" s="574"/>
      <c r="U141" s="574"/>
      <c r="V141" s="574"/>
      <c r="W141" s="574"/>
      <c r="X141" s="574"/>
    </row>
    <row r="142" spans="2:24">
      <c r="B142" s="574"/>
      <c r="C142" s="574"/>
      <c r="D142" s="574"/>
      <c r="E142" s="574"/>
      <c r="F142" s="574"/>
      <c r="G142" s="574"/>
      <c r="H142" s="574"/>
      <c r="I142" s="574"/>
      <c r="J142" s="574"/>
      <c r="K142" s="574"/>
      <c r="L142" s="574"/>
      <c r="M142" s="574"/>
      <c r="N142" s="578" t="s">
        <v>563</v>
      </c>
      <c r="O142" s="269">
        <f>D54</f>
        <v>0.14828183988547849</v>
      </c>
      <c r="P142" s="574"/>
      <c r="Q142" s="574"/>
      <c r="R142" s="574"/>
      <c r="S142" s="574"/>
      <c r="T142" s="574"/>
      <c r="U142" s="574"/>
      <c r="V142" s="574"/>
      <c r="W142" s="574"/>
      <c r="X142" s="574"/>
    </row>
    <row r="143" spans="2:24">
      <c r="B143" s="574"/>
      <c r="C143" s="574"/>
      <c r="D143" s="574"/>
      <c r="E143" s="574"/>
      <c r="F143" s="574"/>
      <c r="G143" s="574"/>
      <c r="H143" s="574"/>
      <c r="I143" s="574"/>
      <c r="J143" s="574"/>
      <c r="K143" s="574"/>
      <c r="L143" s="574"/>
      <c r="M143" s="574"/>
      <c r="N143" s="574"/>
      <c r="O143" s="574"/>
      <c r="P143" s="574"/>
      <c r="Q143" s="574"/>
      <c r="R143" s="574"/>
      <c r="S143" s="574"/>
      <c r="T143" s="574"/>
      <c r="U143" s="574"/>
      <c r="V143" s="574"/>
      <c r="W143" s="574"/>
      <c r="X143" s="574"/>
    </row>
    <row r="144" spans="2:24">
      <c r="B144" s="574"/>
      <c r="C144" s="574"/>
      <c r="D144" s="574"/>
      <c r="E144" s="574"/>
      <c r="F144" s="574"/>
      <c r="G144" s="574"/>
      <c r="H144" s="574"/>
      <c r="I144" s="574"/>
      <c r="J144" s="574"/>
      <c r="K144" s="574"/>
      <c r="L144" s="574"/>
      <c r="M144" s="49" t="s">
        <v>248</v>
      </c>
      <c r="N144" s="49" t="s">
        <v>249</v>
      </c>
      <c r="O144" s="49" t="s">
        <v>250</v>
      </c>
      <c r="P144" s="49"/>
      <c r="Q144" s="49"/>
      <c r="R144" s="591"/>
      <c r="S144" s="574"/>
      <c r="T144" s="574"/>
      <c r="U144" s="574"/>
      <c r="V144" s="574"/>
      <c r="W144" s="574"/>
      <c r="X144" s="574"/>
    </row>
    <row r="145" spans="2:24">
      <c r="B145" s="574"/>
      <c r="C145" s="574"/>
      <c r="D145" s="574"/>
      <c r="E145" s="574"/>
      <c r="F145" s="574"/>
      <c r="G145" s="574"/>
      <c r="H145" s="574"/>
      <c r="I145" s="574"/>
      <c r="J145" s="574"/>
      <c r="K145" s="574"/>
      <c r="L145" s="592" t="s">
        <v>285</v>
      </c>
      <c r="M145" s="593">
        <f>D56</f>
        <v>33271.964222096532</v>
      </c>
      <c r="N145" s="594">
        <f>D58</f>
        <v>0.22783596408931084</v>
      </c>
      <c r="O145" s="595">
        <f>D60</f>
        <v>0.20972040188909391</v>
      </c>
      <c r="P145" s="49" t="s">
        <v>253</v>
      </c>
      <c r="Q145" s="49" t="s">
        <v>286</v>
      </c>
      <c r="R145" s="596" t="s">
        <v>287</v>
      </c>
      <c r="S145" s="574"/>
      <c r="T145" s="574"/>
      <c r="U145" s="574"/>
      <c r="V145" s="574"/>
      <c r="W145" s="574"/>
      <c r="X145" s="574"/>
    </row>
    <row r="146" spans="2:24">
      <c r="B146" s="574"/>
      <c r="C146" s="574"/>
      <c r="D146" s="574"/>
      <c r="E146" s="574"/>
      <c r="F146" s="574"/>
      <c r="G146" s="574"/>
      <c r="H146" s="574"/>
      <c r="I146" s="574"/>
      <c r="J146" s="574"/>
      <c r="K146" s="574"/>
      <c r="L146" s="652">
        <f>12.604%</f>
        <v>0.12603999999999999</v>
      </c>
      <c r="M146" s="564">
        <f t="dataTable" ref="M146:O168" dt2D="0" dtr="0" r1="D54" ca="1"/>
        <v>45131.414707113945</v>
      </c>
      <c r="N146" s="656">
        <v>0.22783596408931084</v>
      </c>
      <c r="O146" s="656">
        <v>0.20452951962256694</v>
      </c>
      <c r="P146" s="652">
        <f t="shared" ref="P146:P162" si="34">(M146-M145)/M145</f>
        <v>0.35643974626365249</v>
      </c>
      <c r="Q146" s="652">
        <f>(L146-D54)/D54</f>
        <v>-0.14999705899695065</v>
      </c>
      <c r="R146" s="649">
        <f>P146/Q146</f>
        <v>-2.3763115666881087</v>
      </c>
      <c r="S146" s="574"/>
      <c r="T146" s="574"/>
      <c r="U146" s="574"/>
      <c r="V146" s="574"/>
      <c r="W146" s="574"/>
      <c r="X146" s="574"/>
    </row>
    <row r="147" spans="2:24">
      <c r="B147" s="574"/>
      <c r="C147" s="574"/>
      <c r="D147" s="574"/>
      <c r="E147" s="574"/>
      <c r="F147" s="574"/>
      <c r="G147" s="574"/>
      <c r="H147" s="574"/>
      <c r="I147" s="574"/>
      <c r="J147" s="574"/>
      <c r="K147" s="574"/>
      <c r="L147" s="614">
        <f>L146+0.2%</f>
        <v>0.12803999999999999</v>
      </c>
      <c r="M147" s="611">
        <v>44010.06696287595</v>
      </c>
      <c r="N147" s="612">
        <v>0.22783596408931084</v>
      </c>
      <c r="O147" s="614">
        <v>0.20499869834605855</v>
      </c>
      <c r="P147" s="614">
        <f t="shared" si="34"/>
        <v>-2.4846279504312552E-2</v>
      </c>
      <c r="Q147" s="614">
        <f>(L147-$D$54)/$D$54</f>
        <v>-0.13650923067256079</v>
      </c>
      <c r="R147" s="610">
        <f>P147/Q147</f>
        <v>0.18201171731683349</v>
      </c>
      <c r="S147" s="574"/>
      <c r="T147" s="574"/>
      <c r="U147" s="574"/>
      <c r="V147" s="574"/>
      <c r="W147" s="574"/>
      <c r="X147" s="574"/>
    </row>
    <row r="148" spans="2:24">
      <c r="B148" s="574"/>
      <c r="C148" s="574"/>
      <c r="D148" s="574"/>
      <c r="E148" s="574"/>
      <c r="F148" s="574"/>
      <c r="G148" s="574"/>
      <c r="H148" s="574"/>
      <c r="I148" s="574"/>
      <c r="J148" s="574"/>
      <c r="K148" s="574"/>
      <c r="L148" s="614">
        <f>L147+0.2%</f>
        <v>0.13003999999999999</v>
      </c>
      <c r="M148" s="611">
        <v>42899.964502690142</v>
      </c>
      <c r="N148" s="612">
        <v>0.22783596408931084</v>
      </c>
      <c r="O148" s="614">
        <v>0.20546739445425866</v>
      </c>
      <c r="P148" s="614">
        <f t="shared" si="34"/>
        <v>-2.5223830291424432E-2</v>
      </c>
      <c r="Q148" s="614">
        <f t="shared" ref="Q148:Q168" si="35">(L148-$D$54)/$D$54</f>
        <v>-0.1230214023481709</v>
      </c>
      <c r="R148" s="610">
        <f t="shared" ref="R148:R153" si="36">P148/Q148</f>
        <v>0.20503611412294606</v>
      </c>
      <c r="S148" s="574"/>
      <c r="T148" s="574"/>
      <c r="U148" s="574"/>
      <c r="V148" s="574"/>
      <c r="W148" s="574"/>
      <c r="X148" s="574"/>
    </row>
    <row r="149" spans="2:24">
      <c r="B149" s="574"/>
      <c r="C149" s="574"/>
      <c r="D149" s="574"/>
      <c r="E149" s="574"/>
      <c r="F149" s="574"/>
      <c r="G149" s="574"/>
      <c r="H149" s="574"/>
      <c r="I149" s="574"/>
      <c r="J149" s="574"/>
      <c r="K149" s="574"/>
      <c r="L149" s="614">
        <f>L148+0.2%</f>
        <v>0.13203999999999999</v>
      </c>
      <c r="M149" s="620">
        <v>41800.975919385601</v>
      </c>
      <c r="N149" s="613">
        <v>0.22783596408931084</v>
      </c>
      <c r="O149" s="613">
        <v>0.20593560998048721</v>
      </c>
      <c r="P149" s="614">
        <f t="shared" si="34"/>
        <v>-2.5617470691278225E-2</v>
      </c>
      <c r="Q149" s="614">
        <f t="shared" si="35"/>
        <v>-0.10953357402378103</v>
      </c>
      <c r="R149" s="610">
        <f t="shared" si="36"/>
        <v>0.23387779427079017</v>
      </c>
      <c r="S149" s="574"/>
      <c r="T149" s="574"/>
      <c r="U149" s="574"/>
      <c r="V149" s="574"/>
      <c r="W149" s="574"/>
      <c r="X149" s="574"/>
    </row>
    <row r="150" spans="2:24">
      <c r="B150" s="574"/>
      <c r="C150" s="574"/>
      <c r="D150" s="574"/>
      <c r="E150" s="574"/>
      <c r="F150" s="574"/>
      <c r="G150" s="574"/>
      <c r="H150" s="574"/>
      <c r="I150" s="574"/>
      <c r="J150" s="574"/>
      <c r="K150" s="574"/>
      <c r="L150" s="652">
        <f>13.3454%</f>
        <v>0.13345399999999999</v>
      </c>
      <c r="M150" s="654">
        <v>41030.62671979802</v>
      </c>
      <c r="N150" s="677">
        <v>0.22783596408931084</v>
      </c>
      <c r="O150" s="656">
        <v>0.20626634946305922</v>
      </c>
      <c r="P150" s="652">
        <f t="shared" si="34"/>
        <v>-1.8428976420866872E-2</v>
      </c>
      <c r="Q150" s="652">
        <f t="shared" si="35"/>
        <v>-9.99976793984374E-2</v>
      </c>
      <c r="R150" s="649">
        <f t="shared" si="36"/>
        <v>0.18429404093906254</v>
      </c>
      <c r="S150" s="574"/>
      <c r="T150" s="574"/>
      <c r="U150" s="574"/>
      <c r="V150" s="574"/>
      <c r="W150" s="574"/>
      <c r="X150" s="574"/>
    </row>
    <row r="151" spans="2:24">
      <c r="B151" s="574"/>
      <c r="C151" s="574"/>
      <c r="D151" s="574"/>
      <c r="E151" s="574"/>
      <c r="F151" s="574"/>
      <c r="G151" s="574"/>
      <c r="H151" s="574"/>
      <c r="I151" s="574"/>
      <c r="J151" s="574"/>
      <c r="K151" s="574"/>
      <c r="L151" s="614">
        <f>L150+0.2%</f>
        <v>0.13545399999999999</v>
      </c>
      <c r="M151" s="615">
        <v>39950.310952770102</v>
      </c>
      <c r="N151" s="616">
        <v>0.22783596408931084</v>
      </c>
      <c r="O151" s="613">
        <v>0.20673374929609745</v>
      </c>
      <c r="P151" s="614">
        <f t="shared" si="34"/>
        <v>-2.6329497095072301E-2</v>
      </c>
      <c r="Q151" s="614">
        <f t="shared" si="35"/>
        <v>-8.6509851074047517E-2</v>
      </c>
      <c r="R151" s="617">
        <f t="shared" si="36"/>
        <v>0.30435258838367146</v>
      </c>
      <c r="S151" s="574"/>
      <c r="T151" s="574"/>
      <c r="U151" s="574"/>
      <c r="V151" s="574"/>
      <c r="W151" s="574"/>
      <c r="X151" s="574"/>
    </row>
    <row r="152" spans="2:24">
      <c r="B152" s="574"/>
      <c r="C152" s="574"/>
      <c r="D152" s="574"/>
      <c r="E152" s="574"/>
      <c r="F152" s="574"/>
      <c r="G152" s="574"/>
      <c r="H152" s="574"/>
      <c r="I152" s="574"/>
      <c r="J152" s="574"/>
      <c r="K152" s="574"/>
      <c r="L152" s="614">
        <f t="shared" ref="L152:L156" si="37">L151+0.2%</f>
        <v>0.13745399999999999</v>
      </c>
      <c r="M152" s="615">
        <v>38880.762139115366</v>
      </c>
      <c r="N152" s="616">
        <v>0.22783596408931084</v>
      </c>
      <c r="O152" s="613">
        <v>0.20720067398549369</v>
      </c>
      <c r="P152" s="614">
        <f t="shared" si="34"/>
        <v>-2.6771977192347095E-2</v>
      </c>
      <c r="Q152" s="614">
        <f t="shared" si="35"/>
        <v>-7.3022022749657634E-2</v>
      </c>
      <c r="R152" s="617">
        <f>P152/Q152</f>
        <v>0.36662880846412349</v>
      </c>
      <c r="S152" s="574"/>
      <c r="T152" s="574"/>
      <c r="U152" s="574"/>
      <c r="V152" s="574"/>
      <c r="W152" s="574"/>
      <c r="X152" s="574"/>
    </row>
    <row r="153" spans="2:24">
      <c r="B153" s="574"/>
      <c r="C153" s="574"/>
      <c r="D153" s="574"/>
      <c r="E153" s="574"/>
      <c r="F153" s="574"/>
      <c r="G153" s="574"/>
      <c r="H153" s="574"/>
      <c r="I153" s="574"/>
      <c r="J153" s="574"/>
      <c r="K153" s="574"/>
      <c r="L153" s="614">
        <f t="shared" si="37"/>
        <v>0.13945399999999999</v>
      </c>
      <c r="M153" s="615">
        <v>37821.855292915949</v>
      </c>
      <c r="N153" s="616">
        <v>0.22783596408931084</v>
      </c>
      <c r="O153" s="613">
        <v>0.20766712551620725</v>
      </c>
      <c r="P153" s="614">
        <f t="shared" si="34"/>
        <v>-2.7234724525477375E-2</v>
      </c>
      <c r="Q153" s="614">
        <f t="shared" si="35"/>
        <v>-5.9534194425267757E-2</v>
      </c>
      <c r="R153" s="617">
        <f t="shared" si="36"/>
        <v>0.45746356003295979</v>
      </c>
      <c r="S153" s="574"/>
      <c r="T153" s="574"/>
      <c r="U153" s="574"/>
      <c r="V153" s="574"/>
      <c r="W153" s="574"/>
      <c r="X153" s="574"/>
    </row>
    <row r="154" spans="2:24">
      <c r="B154" s="574"/>
      <c r="C154" s="574"/>
      <c r="D154" s="574"/>
      <c r="E154" s="574"/>
      <c r="F154" s="574"/>
      <c r="G154" s="574"/>
      <c r="H154" s="574"/>
      <c r="I154" s="574"/>
      <c r="J154" s="574"/>
      <c r="K154" s="574"/>
      <c r="L154" s="614">
        <f t="shared" si="37"/>
        <v>0.141454</v>
      </c>
      <c r="M154" s="620">
        <v>36773.467098952504</v>
      </c>
      <c r="N154" s="613">
        <v>0.22783596408931084</v>
      </c>
      <c r="O154" s="613">
        <v>0.20813310586039524</v>
      </c>
      <c r="P154" s="614">
        <f t="shared" si="34"/>
        <v>-2.7719110705809517E-2</v>
      </c>
      <c r="Q154" s="614">
        <f t="shared" si="35"/>
        <v>-4.6046366100877881E-2</v>
      </c>
      <c r="R154" s="610" t="e">
        <f>P154/P846</f>
        <v>#DIV/0!</v>
      </c>
      <c r="S154" s="574"/>
      <c r="T154" s="574"/>
      <c r="U154" s="574"/>
      <c r="V154" s="574"/>
      <c r="W154" s="574"/>
      <c r="X154" s="574"/>
    </row>
    <row r="155" spans="2:24">
      <c r="B155" s="574"/>
      <c r="C155" s="574"/>
      <c r="D155" s="574"/>
      <c r="E155" s="574"/>
      <c r="F155" s="574"/>
      <c r="G155" s="574"/>
      <c r="H155" s="574"/>
      <c r="I155" s="574"/>
      <c r="J155" s="574"/>
      <c r="K155" s="574"/>
      <c r="L155" s="614">
        <f t="shared" si="37"/>
        <v>0.143454</v>
      </c>
      <c r="M155" s="611">
        <v>35735.475887413384</v>
      </c>
      <c r="N155" s="612">
        <v>0.22783596408931084</v>
      </c>
      <c r="O155" s="613">
        <v>0.20859861697751425</v>
      </c>
      <c r="P155" s="614">
        <f t="shared" si="34"/>
        <v>-2.8226634403169647E-2</v>
      </c>
      <c r="Q155" s="614">
        <f t="shared" si="35"/>
        <v>-3.2558537776487997E-2</v>
      </c>
      <c r="R155" s="610">
        <f t="shared" ref="R155:R168" si="38">P155/Q155</f>
        <v>0.86695030952997487</v>
      </c>
      <c r="S155" s="574"/>
      <c r="T155" s="574"/>
      <c r="U155" s="574"/>
      <c r="V155" s="574"/>
      <c r="W155" s="574"/>
      <c r="X155" s="574"/>
    </row>
    <row r="156" spans="2:24">
      <c r="B156" s="574"/>
      <c r="C156" s="574"/>
      <c r="D156" s="574"/>
      <c r="E156" s="574"/>
      <c r="F156" s="574"/>
      <c r="G156" s="574"/>
      <c r="H156" s="574"/>
      <c r="I156" s="574"/>
      <c r="J156" s="574"/>
      <c r="K156" s="574"/>
      <c r="L156" s="614">
        <f t="shared" si="37"/>
        <v>0.145454</v>
      </c>
      <c r="M156" s="615">
        <v>34707.761609030844</v>
      </c>
      <c r="N156" s="616">
        <v>0.22783596408931084</v>
      </c>
      <c r="O156" s="613">
        <v>0.20906366081442029</v>
      </c>
      <c r="P156" s="678">
        <f t="shared" si="34"/>
        <v>-2.8758936403153312E-2</v>
      </c>
      <c r="Q156" s="614">
        <f t="shared" si="35"/>
        <v>-1.9070709452098121E-2</v>
      </c>
      <c r="R156" s="617">
        <f>P156/Q156</f>
        <v>1.508016074356862</v>
      </c>
      <c r="S156" s="574"/>
      <c r="T156" s="574"/>
      <c r="U156" s="574"/>
      <c r="V156" s="574"/>
      <c r="W156" s="574"/>
      <c r="X156" s="574"/>
    </row>
    <row r="157" spans="2:24">
      <c r="B157" s="574"/>
      <c r="C157" s="574"/>
      <c r="D157" s="574"/>
      <c r="E157" s="574"/>
      <c r="F157" s="574"/>
      <c r="G157" s="574"/>
      <c r="H157" s="574"/>
      <c r="I157" s="574"/>
      <c r="J157" s="574"/>
      <c r="K157" s="574"/>
      <c r="L157" s="646">
        <v>0.14828184</v>
      </c>
      <c r="M157" s="643">
        <v>33271.964164356439</v>
      </c>
      <c r="N157" s="679">
        <v>0.22783596408931084</v>
      </c>
      <c r="O157" s="645">
        <v>0.20972040191567176</v>
      </c>
      <c r="P157" s="646">
        <f>(M157-M156)/M156</f>
        <v>-4.1368194839185912E-2</v>
      </c>
      <c r="Q157" s="646">
        <f t="shared" si="35"/>
        <v>7.7232318859798906E-10</v>
      </c>
      <c r="R157" s="680">
        <f>P157/Q157</f>
        <v>-53563320.964481562</v>
      </c>
      <c r="S157" s="574"/>
      <c r="T157" s="574"/>
      <c r="U157" s="574"/>
      <c r="V157" s="574"/>
      <c r="W157" s="574"/>
      <c r="X157" s="574"/>
    </row>
    <row r="158" spans="2:24">
      <c r="B158" s="574"/>
      <c r="C158" s="574"/>
      <c r="D158" s="574"/>
      <c r="E158" s="574"/>
      <c r="F158" s="574"/>
      <c r="G158" s="574"/>
      <c r="H158" s="574"/>
      <c r="I158" s="574"/>
      <c r="J158" s="574"/>
      <c r="K158" s="574"/>
      <c r="L158" s="614">
        <f>L157+0.2%</f>
        <v>0.15028184</v>
      </c>
      <c r="M158" s="615">
        <v>32268.572546542113</v>
      </c>
      <c r="N158" s="616">
        <v>0.22783596408931084</v>
      </c>
      <c r="O158" s="613">
        <v>0.21018432572190715</v>
      </c>
      <c r="P158" s="614">
        <f t="shared" si="34"/>
        <v>-3.0157270332998219E-2</v>
      </c>
      <c r="Q158" s="614">
        <f t="shared" si="35"/>
        <v>1.3487829096713068E-2</v>
      </c>
      <c r="R158" s="617">
        <f t="shared" si="38"/>
        <v>-2.2358876374217576</v>
      </c>
      <c r="S158" s="574"/>
      <c r="T158" s="574"/>
      <c r="U158" s="574"/>
      <c r="V158" s="574"/>
      <c r="W158" s="574"/>
      <c r="X158" s="574"/>
    </row>
    <row r="159" spans="2:24">
      <c r="B159" s="574"/>
      <c r="C159" s="574"/>
      <c r="D159" s="574"/>
      <c r="E159" s="574"/>
      <c r="F159" s="574"/>
      <c r="G159" s="574"/>
      <c r="H159" s="574"/>
      <c r="I159" s="574"/>
      <c r="J159" s="574"/>
      <c r="K159" s="574"/>
      <c r="L159" s="614">
        <f t="shared" ref="L159:L163" si="39">L158+0.2%</f>
        <v>0.15228184</v>
      </c>
      <c r="M159" s="611">
        <v>31275.059904087233</v>
      </c>
      <c r="N159" s="612">
        <v>0.22783596408931084</v>
      </c>
      <c r="O159" s="613">
        <v>0.21064778880075474</v>
      </c>
      <c r="P159" s="614">
        <f t="shared" si="34"/>
        <v>-3.0788862476699305E-2</v>
      </c>
      <c r="Q159" s="614">
        <f t="shared" si="35"/>
        <v>2.6975657421102948E-2</v>
      </c>
      <c r="R159" s="610">
        <f t="shared" si="38"/>
        <v>-1.1413572613289975</v>
      </c>
      <c r="S159" s="574"/>
      <c r="T159" s="574"/>
      <c r="U159" s="574"/>
      <c r="V159" s="574"/>
      <c r="W159" s="574"/>
      <c r="X159" s="574"/>
    </row>
    <row r="160" spans="2:24">
      <c r="B160" s="574"/>
      <c r="C160" s="574"/>
      <c r="D160" s="574"/>
      <c r="E160" s="574"/>
      <c r="F160" s="574"/>
      <c r="G160" s="574"/>
      <c r="H160" s="574"/>
      <c r="I160" s="574"/>
      <c r="J160" s="574"/>
      <c r="K160" s="574"/>
      <c r="L160" s="614">
        <f t="shared" si="39"/>
        <v>0.15428184</v>
      </c>
      <c r="M160" s="615">
        <v>30291.31305414511</v>
      </c>
      <c r="N160" s="616">
        <v>0.22783596408931084</v>
      </c>
      <c r="O160" s="613">
        <v>0.21111079304463298</v>
      </c>
      <c r="P160" s="614">
        <f t="shared" si="34"/>
        <v>-3.1454675161583318E-2</v>
      </c>
      <c r="Q160" s="614">
        <f t="shared" si="35"/>
        <v>4.0463485745492828E-2</v>
      </c>
      <c r="R160" s="617">
        <f t="shared" si="38"/>
        <v>-0.77735950282254196</v>
      </c>
      <c r="S160" s="574"/>
      <c r="T160" s="574"/>
      <c r="U160" s="574"/>
      <c r="V160" s="574"/>
      <c r="W160" s="574"/>
      <c r="X160" s="574"/>
    </row>
    <row r="161" spans="2:24">
      <c r="B161" s="574"/>
      <c r="C161" s="574"/>
      <c r="D161" s="574"/>
      <c r="E161" s="574"/>
      <c r="F161" s="574"/>
      <c r="G161" s="574"/>
      <c r="H161" s="574"/>
      <c r="I161" s="574"/>
      <c r="J161" s="574"/>
      <c r="K161" s="574"/>
      <c r="L161" s="614">
        <f t="shared" si="39"/>
        <v>0.15628184000000001</v>
      </c>
      <c r="M161" s="615">
        <v>29317.220306889591</v>
      </c>
      <c r="N161" s="616">
        <v>0.22783596408931084</v>
      </c>
      <c r="O161" s="613">
        <v>0.21157334033388908</v>
      </c>
      <c r="P161" s="614">
        <f t="shared" si="34"/>
        <v>-3.2157494972712093E-2</v>
      </c>
      <c r="Q161" s="614">
        <f t="shared" si="35"/>
        <v>5.3951314069882704E-2</v>
      </c>
      <c r="R161" s="617">
        <f t="shared" si="38"/>
        <v>-0.59604655655020278</v>
      </c>
      <c r="S161" s="574"/>
      <c r="T161" s="574"/>
      <c r="U161" s="574"/>
      <c r="V161" s="574"/>
      <c r="W161" s="574"/>
      <c r="X161" s="574"/>
    </row>
    <row r="162" spans="2:24">
      <c r="B162" s="574"/>
      <c r="C162" s="574"/>
      <c r="D162" s="574"/>
      <c r="E162" s="574"/>
      <c r="F162" s="574"/>
      <c r="G162" s="574"/>
      <c r="H162" s="574"/>
      <c r="I162" s="574"/>
      <c r="J162" s="574"/>
      <c r="K162" s="574"/>
      <c r="L162" s="614">
        <f t="shared" si="39"/>
        <v>0.15828184000000001</v>
      </c>
      <c r="M162" s="611">
        <v>28352.671443211992</v>
      </c>
      <c r="N162" s="612">
        <v>0.22783596408931084</v>
      </c>
      <c r="O162" s="613">
        <v>0.21203543253689383</v>
      </c>
      <c r="P162" s="614">
        <f t="shared" si="34"/>
        <v>-3.2900420080103181E-2</v>
      </c>
      <c r="Q162" s="614">
        <f t="shared" si="35"/>
        <v>6.743914239427258E-2</v>
      </c>
      <c r="R162" s="610">
        <f t="shared" si="38"/>
        <v>-0.4878534766613124</v>
      </c>
      <c r="S162" s="574"/>
      <c r="T162" s="574"/>
      <c r="U162" s="574"/>
      <c r="V162" s="574"/>
      <c r="W162" s="574"/>
      <c r="X162" s="574"/>
    </row>
    <row r="163" spans="2:24">
      <c r="B163" s="574"/>
      <c r="C163" s="574"/>
      <c r="D163" s="574"/>
      <c r="E163" s="574"/>
      <c r="F163" s="574"/>
      <c r="G163" s="574"/>
      <c r="H163" s="574"/>
      <c r="I163" s="574"/>
      <c r="J163" s="574"/>
      <c r="K163" s="574"/>
      <c r="L163" s="614">
        <f t="shared" si="39"/>
        <v>0.16028184000000001</v>
      </c>
      <c r="M163" s="611">
        <v>27397.557692786766</v>
      </c>
      <c r="N163" s="612">
        <v>0.22783596408931084</v>
      </c>
      <c r="O163" s="614">
        <v>0.21249707151013442</v>
      </c>
      <c r="P163" s="614">
        <f t="shared" ref="P163:P168" si="40">(M163-M162)/M162</f>
        <v>-3.3686905036029419E-2</v>
      </c>
      <c r="Q163" s="614">
        <f t="shared" si="35"/>
        <v>8.0926970718662464E-2</v>
      </c>
      <c r="R163" s="610">
        <f t="shared" si="38"/>
        <v>-0.4162630175932302</v>
      </c>
      <c r="S163" s="574"/>
      <c r="T163" s="574"/>
      <c r="U163" s="574"/>
      <c r="V163" s="574"/>
      <c r="W163" s="574"/>
      <c r="X163" s="574"/>
    </row>
    <row r="164" spans="2:24">
      <c r="B164" s="574"/>
      <c r="C164" s="574"/>
      <c r="D164" s="574"/>
      <c r="E164" s="574"/>
      <c r="F164" s="574"/>
      <c r="G164" s="574"/>
      <c r="H164" s="574"/>
      <c r="I164" s="574"/>
      <c r="J164" s="574"/>
      <c r="K164" s="574"/>
      <c r="L164" s="652">
        <f>16.311%</f>
        <v>0.16311</v>
      </c>
      <c r="M164" s="654">
        <v>26062.846549681446</v>
      </c>
      <c r="N164" s="677">
        <v>0.22783596408931084</v>
      </c>
      <c r="O164" s="652">
        <v>0.21314909593454812</v>
      </c>
      <c r="P164" s="652">
        <f t="shared" si="40"/>
        <v>-4.8716427868193628E-2</v>
      </c>
      <c r="Q164" s="652">
        <f t="shared" si="35"/>
        <v>9.9999838995615667E-2</v>
      </c>
      <c r="R164" s="649">
        <f t="shared" si="38"/>
        <v>-0.48716506303904672</v>
      </c>
      <c r="S164" s="574"/>
      <c r="T164" s="574"/>
      <c r="U164" s="574"/>
      <c r="V164" s="574"/>
      <c r="W164" s="574"/>
      <c r="X164" s="574"/>
    </row>
    <row r="165" spans="2:24">
      <c r="B165" s="574"/>
      <c r="C165" s="574"/>
      <c r="D165" s="574"/>
      <c r="E165" s="574"/>
      <c r="F165" s="574"/>
      <c r="G165" s="574"/>
      <c r="H165" s="574"/>
      <c r="I165" s="574"/>
      <c r="J165" s="574"/>
      <c r="K165" s="574"/>
      <c r="L165" s="614">
        <f>L164+0.2%</f>
        <v>0.16511000000000001</v>
      </c>
      <c r="M165" s="611">
        <v>25130.070290785821</v>
      </c>
      <c r="N165" s="612">
        <v>0.22783596408931084</v>
      </c>
      <c r="O165" s="614">
        <v>0.21360964835405061</v>
      </c>
      <c r="P165" s="614">
        <f t="shared" si="40"/>
        <v>-3.5789500472158738E-2</v>
      </c>
      <c r="Q165" s="614">
        <f t="shared" si="35"/>
        <v>0.11348766732000554</v>
      </c>
      <c r="R165" s="610">
        <f t="shared" si="38"/>
        <v>-0.31536026175638721</v>
      </c>
      <c r="S165" s="574"/>
      <c r="T165" s="574"/>
      <c r="U165" s="574"/>
      <c r="V165" s="574"/>
      <c r="W165" s="574"/>
      <c r="X165" s="574"/>
    </row>
    <row r="166" spans="2:24">
      <c r="B166" s="574"/>
      <c r="C166" s="574"/>
      <c r="D166" s="574"/>
      <c r="E166" s="574"/>
      <c r="F166" s="574"/>
      <c r="G166" s="574"/>
      <c r="H166" s="574"/>
      <c r="I166" s="574"/>
      <c r="J166" s="574"/>
      <c r="K166" s="574"/>
      <c r="L166" s="614">
        <f t="shared" ref="L166:L167" si="41">L165+0.2%</f>
        <v>0.16711000000000001</v>
      </c>
      <c r="M166" s="611">
        <v>24206.368420798404</v>
      </c>
      <c r="N166" s="612">
        <v>0.22783596408931084</v>
      </c>
      <c r="O166" s="614">
        <v>0.21406975379370841</v>
      </c>
      <c r="P166" s="614">
        <f t="shared" si="40"/>
        <v>-3.6756835906109703E-2</v>
      </c>
      <c r="Q166" s="614">
        <f t="shared" si="35"/>
        <v>0.12697549564439542</v>
      </c>
      <c r="R166" s="610">
        <f t="shared" si="38"/>
        <v>-0.28947975922102348</v>
      </c>
      <c r="S166" s="574"/>
      <c r="T166" s="574"/>
      <c r="U166" s="574"/>
      <c r="V166" s="574"/>
      <c r="W166" s="574"/>
      <c r="X166" s="574"/>
    </row>
    <row r="167" spans="2:24">
      <c r="B167" s="574"/>
      <c r="C167" s="574"/>
      <c r="D167" s="574"/>
      <c r="E167" s="574"/>
      <c r="F167" s="574"/>
      <c r="G167" s="574"/>
      <c r="H167" s="574"/>
      <c r="I167" s="574"/>
      <c r="J167" s="574"/>
      <c r="K167" s="574"/>
      <c r="L167" s="614">
        <f t="shared" si="41"/>
        <v>0.16911000000000001</v>
      </c>
      <c r="M167" s="611">
        <v>23291.638311551767</v>
      </c>
      <c r="N167" s="612">
        <v>0.22783596408931084</v>
      </c>
      <c r="O167" s="614">
        <v>0.21452941405865777</v>
      </c>
      <c r="P167" s="614">
        <f t="shared" si="40"/>
        <v>-3.7788820418873312E-2</v>
      </c>
      <c r="Q167" s="614">
        <f t="shared" si="35"/>
        <v>0.1404633239687853</v>
      </c>
      <c r="R167" s="610">
        <f t="shared" si="38"/>
        <v>-0.26902980330488974</v>
      </c>
      <c r="S167" s="574"/>
      <c r="T167" s="574"/>
      <c r="U167" s="574"/>
      <c r="V167" s="574"/>
      <c r="W167" s="574"/>
      <c r="X167" s="574"/>
    </row>
    <row r="168" spans="2:24">
      <c r="B168" s="574"/>
      <c r="C168" s="574"/>
      <c r="D168" s="574"/>
      <c r="E168" s="574"/>
      <c r="F168" s="574"/>
      <c r="G168" s="574"/>
      <c r="H168" s="574"/>
      <c r="I168" s="574"/>
      <c r="J168" s="574"/>
      <c r="K168" s="574"/>
      <c r="L168" s="652">
        <f>17.05241%</f>
        <v>0.17052409999999998</v>
      </c>
      <c r="M168" s="654">
        <v>22650.237497802998</v>
      </c>
      <c r="N168" s="677">
        <v>0.22783596408931084</v>
      </c>
      <c r="O168" s="652">
        <v>0.21485414917004264</v>
      </c>
      <c r="P168" s="652">
        <f t="shared" si="40"/>
        <v>-2.7537814436636627E-2</v>
      </c>
      <c r="Q168" s="652">
        <f t="shared" si="35"/>
        <v>0.14999989298554497</v>
      </c>
      <c r="R168" s="649">
        <f t="shared" si="38"/>
        <v>-0.18358556055296893</v>
      </c>
      <c r="S168" s="574"/>
      <c r="T168" s="574"/>
      <c r="U168" s="574"/>
      <c r="V168" s="574"/>
      <c r="W168" s="574"/>
      <c r="X168" s="574"/>
    </row>
    <row r="169" spans="2:24">
      <c r="B169" s="574"/>
      <c r="C169" s="574"/>
      <c r="D169" s="574"/>
      <c r="E169" s="574"/>
      <c r="F169" s="574"/>
      <c r="G169" s="574"/>
      <c r="H169" s="574"/>
      <c r="I169" s="574"/>
      <c r="J169" s="574"/>
      <c r="K169" s="574"/>
      <c r="L169" s="574"/>
      <c r="M169" s="574"/>
      <c r="N169" s="574"/>
      <c r="O169" s="574"/>
      <c r="P169" s="574"/>
      <c r="Q169" s="574"/>
      <c r="R169" s="574"/>
      <c r="S169" s="574"/>
      <c r="T169" s="574"/>
      <c r="U169" s="574"/>
      <c r="V169" s="574"/>
      <c r="W169" s="574"/>
      <c r="X169" s="574"/>
    </row>
    <row r="170" spans="2:24">
      <c r="B170" s="574"/>
      <c r="C170" s="574"/>
      <c r="D170" s="574"/>
      <c r="E170" s="574"/>
      <c r="F170" s="574"/>
      <c r="G170" s="574"/>
      <c r="H170" s="574"/>
      <c r="I170" s="574"/>
      <c r="J170" s="574"/>
      <c r="K170" s="574"/>
      <c r="L170" s="574"/>
      <c r="M170" s="574"/>
      <c r="N170" s="574"/>
      <c r="O170" s="574"/>
      <c r="P170" s="574"/>
      <c r="Q170" s="574"/>
      <c r="R170" s="574"/>
      <c r="S170" s="574"/>
      <c r="T170" s="574"/>
      <c r="U170" s="574"/>
      <c r="V170" s="574"/>
      <c r="W170" s="574"/>
      <c r="X170" s="574"/>
    </row>
    <row r="171" spans="2:24">
      <c r="B171" s="574"/>
      <c r="C171" s="574"/>
      <c r="D171" s="574"/>
      <c r="E171" s="574"/>
      <c r="F171" s="574"/>
      <c r="G171" s="574"/>
      <c r="H171" s="574"/>
      <c r="I171" s="574"/>
      <c r="J171" s="574"/>
      <c r="K171" s="574"/>
      <c r="L171" s="624" t="s">
        <v>288</v>
      </c>
      <c r="M171" s="652">
        <f>D58</f>
        <v>0.22783596408931084</v>
      </c>
      <c r="N171" s="574"/>
      <c r="O171" s="574"/>
      <c r="P171" s="574"/>
      <c r="Q171" s="574"/>
      <c r="R171" s="574"/>
      <c r="S171" s="574"/>
      <c r="T171" s="574"/>
      <c r="U171" s="574"/>
      <c r="V171" s="574"/>
      <c r="W171" s="574"/>
      <c r="X171" s="574"/>
    </row>
    <row r="172" spans="2:24">
      <c r="B172" s="574"/>
      <c r="C172" s="574"/>
      <c r="D172" s="574"/>
      <c r="E172" s="574"/>
      <c r="F172" s="574"/>
      <c r="G172" s="574"/>
      <c r="H172" s="574"/>
      <c r="I172" s="574"/>
      <c r="J172" s="574"/>
      <c r="K172" s="574"/>
      <c r="L172" s="624" t="s">
        <v>289</v>
      </c>
      <c r="M172" s="594">
        <f>M171/D54-1</f>
        <v>0.53650618487923962</v>
      </c>
      <c r="N172" s="574"/>
      <c r="O172" s="574"/>
      <c r="P172" s="574"/>
      <c r="Q172" s="574"/>
      <c r="R172" s="574"/>
      <c r="S172" s="574"/>
      <c r="T172" s="574"/>
      <c r="U172" s="574"/>
      <c r="V172" s="574"/>
      <c r="W172" s="574"/>
      <c r="X172" s="574"/>
    </row>
    <row r="173" spans="2:24">
      <c r="B173" s="574"/>
      <c r="C173" s="574"/>
      <c r="D173" s="574"/>
      <c r="E173" s="574"/>
      <c r="F173" s="574"/>
      <c r="G173" s="574"/>
      <c r="H173" s="574"/>
      <c r="I173" s="574"/>
      <c r="J173" s="574"/>
      <c r="K173" s="574"/>
      <c r="L173" s="574"/>
      <c r="M173" s="574"/>
      <c r="N173" s="574"/>
      <c r="O173" s="574"/>
      <c r="P173" s="574"/>
      <c r="Q173" s="574"/>
      <c r="R173" s="574"/>
      <c r="S173" s="574"/>
      <c r="T173" s="574"/>
      <c r="U173" s="574"/>
      <c r="V173" s="574"/>
      <c r="W173" s="574"/>
      <c r="X173" s="574"/>
    </row>
    <row r="174" spans="2:24">
      <c r="B174" s="574"/>
      <c r="C174" s="574"/>
      <c r="D174" s="574"/>
      <c r="E174" s="574"/>
      <c r="F174" s="574"/>
      <c r="G174" s="574"/>
      <c r="H174" s="574"/>
      <c r="I174" s="574"/>
      <c r="J174" s="574"/>
      <c r="K174" s="574"/>
      <c r="L174" s="574"/>
      <c r="M174" s="574"/>
      <c r="N174" s="574"/>
      <c r="O174" s="574"/>
      <c r="P174" s="574"/>
      <c r="Q174" s="574"/>
      <c r="R174" s="574"/>
      <c r="S174" s="574"/>
      <c r="T174" s="574"/>
      <c r="U174" s="574"/>
      <c r="V174" s="574"/>
      <c r="W174" s="574"/>
      <c r="X174" s="574"/>
    </row>
    <row r="175" spans="2:24">
      <c r="B175" s="574"/>
      <c r="C175" s="574"/>
      <c r="D175" s="574"/>
      <c r="E175" s="574"/>
      <c r="F175" s="574"/>
      <c r="G175" s="574"/>
      <c r="H175" s="574"/>
      <c r="I175" s="574"/>
      <c r="J175" s="574"/>
      <c r="K175" s="574"/>
      <c r="L175" s="574"/>
      <c r="M175" s="574"/>
      <c r="N175" s="574"/>
      <c r="O175" s="574"/>
      <c r="P175" s="574"/>
      <c r="Q175" s="574"/>
      <c r="R175" s="574"/>
      <c r="S175" s="574"/>
      <c r="T175" s="574"/>
      <c r="U175" s="574"/>
      <c r="V175" s="574"/>
      <c r="W175" s="574"/>
      <c r="X175" s="574"/>
    </row>
    <row r="176" spans="2:24">
      <c r="B176" s="574"/>
      <c r="C176" s="574"/>
      <c r="D176" s="574"/>
      <c r="E176" s="574"/>
      <c r="F176" s="574"/>
      <c r="G176" s="574"/>
      <c r="H176" s="574"/>
      <c r="I176" s="574"/>
      <c r="J176" s="574"/>
      <c r="K176" s="574"/>
      <c r="L176" s="574"/>
      <c r="M176" s="574"/>
      <c r="N176" s="574"/>
      <c r="O176" s="574"/>
      <c r="P176" s="574"/>
      <c r="Q176" s="574"/>
      <c r="R176" s="574"/>
      <c r="S176" s="574"/>
      <c r="T176" s="574"/>
      <c r="U176" s="574"/>
      <c r="V176" s="574"/>
      <c r="W176" s="574"/>
      <c r="X176" s="574"/>
    </row>
    <row r="177" spans="2:24">
      <c r="B177" s="574"/>
      <c r="C177" s="574"/>
      <c r="D177" s="574"/>
      <c r="E177" s="574"/>
      <c r="F177" s="574"/>
      <c r="G177" s="574"/>
      <c r="H177" s="574"/>
      <c r="I177" s="574"/>
      <c r="J177" s="574"/>
      <c r="K177" s="574"/>
      <c r="L177" s="580" t="s">
        <v>494</v>
      </c>
      <c r="M177" s="574"/>
      <c r="N177" s="574"/>
      <c r="O177" s="574"/>
      <c r="P177" s="574"/>
      <c r="Q177" s="574"/>
      <c r="R177" s="574"/>
      <c r="S177" s="574"/>
      <c r="T177" s="574"/>
      <c r="U177" s="574"/>
      <c r="V177" s="574"/>
      <c r="W177" s="574"/>
      <c r="X177" s="574"/>
    </row>
    <row r="178" spans="2:24">
      <c r="B178" s="574"/>
      <c r="C178" s="574"/>
      <c r="D178" s="574"/>
      <c r="E178" s="574"/>
      <c r="F178" s="574"/>
      <c r="G178" s="574"/>
      <c r="H178" s="574"/>
      <c r="I178" s="574"/>
      <c r="J178" s="574"/>
      <c r="K178" s="574"/>
      <c r="L178" s="574"/>
      <c r="M178" s="574"/>
      <c r="N178" s="681" t="s">
        <v>290</v>
      </c>
      <c r="O178" s="682"/>
      <c r="P178" s="682"/>
      <c r="Q178" s="682"/>
      <c r="R178" s="682"/>
      <c r="S178" s="682"/>
      <c r="T178" s="682"/>
      <c r="U178" s="682"/>
      <c r="V178" s="683"/>
      <c r="W178" s="574"/>
      <c r="X178" s="574"/>
    </row>
    <row r="179" spans="2:24">
      <c r="B179" s="574"/>
      <c r="C179" s="574"/>
      <c r="D179" s="574"/>
      <c r="E179" s="574"/>
      <c r="F179" s="574"/>
      <c r="G179" s="574"/>
      <c r="H179" s="574"/>
      <c r="I179" s="574"/>
      <c r="J179" s="574"/>
      <c r="K179" s="574"/>
      <c r="L179" s="574"/>
      <c r="M179" s="593">
        <f>D56</f>
        <v>33271.964222096532</v>
      </c>
      <c r="N179" s="684">
        <f>O179-5</f>
        <v>250.096</v>
      </c>
      <c r="O179" s="684">
        <f>P179-5</f>
        <v>255.096</v>
      </c>
      <c r="P179" s="685">
        <v>260.096</v>
      </c>
      <c r="Q179" s="684">
        <f t="shared" ref="Q179:V179" si="42">P179+5</f>
        <v>265.096</v>
      </c>
      <c r="R179" s="684">
        <f t="shared" si="42"/>
        <v>270.096</v>
      </c>
      <c r="S179" s="684">
        <f t="shared" si="42"/>
        <v>275.096</v>
      </c>
      <c r="T179" s="684">
        <f t="shared" si="42"/>
        <v>280.096</v>
      </c>
      <c r="U179" s="684">
        <f t="shared" si="42"/>
        <v>285.096</v>
      </c>
      <c r="V179" s="684">
        <f t="shared" si="42"/>
        <v>290.096</v>
      </c>
      <c r="W179" s="574"/>
      <c r="X179" s="574"/>
    </row>
    <row r="180" spans="2:24">
      <c r="B180" s="574"/>
      <c r="C180" s="574"/>
      <c r="D180" s="574"/>
      <c r="E180" s="574"/>
      <c r="F180" s="574"/>
      <c r="G180" s="574"/>
      <c r="H180" s="574"/>
      <c r="I180" s="574"/>
      <c r="J180" s="574"/>
      <c r="K180" s="574"/>
      <c r="L180" s="713" t="s">
        <v>495</v>
      </c>
      <c r="M180" s="686">
        <f t="shared" ref="M180:M186" si="43">M181-1.5</f>
        <v>484.73983700000002</v>
      </c>
      <c r="N180" s="615">
        <f t="dataTable" ref="N180:V195" dt2D="1" dtr="1" r1="E9" r2="E6" ca="1"/>
        <v>26781.718375443597</v>
      </c>
      <c r="O180" s="615">
        <v>10512.902697395388</v>
      </c>
      <c r="P180" s="687">
        <v>-5759.9195963438542</v>
      </c>
      <c r="Q180" s="687">
        <v>-22032.74189008314</v>
      </c>
      <c r="R180" s="687">
        <v>-38305.564183822404</v>
      </c>
      <c r="S180" s="687">
        <v>-54604.324520480557</v>
      </c>
      <c r="T180" s="687">
        <v>-70925.246489534664</v>
      </c>
      <c r="U180" s="687">
        <v>-87246.168458588771</v>
      </c>
      <c r="V180" s="687">
        <v>-103567.09042764289</v>
      </c>
      <c r="W180" s="574"/>
      <c r="X180" s="574"/>
    </row>
    <row r="181" spans="2:24">
      <c r="B181" s="574"/>
      <c r="C181" s="574"/>
      <c r="D181" s="574"/>
      <c r="E181" s="574"/>
      <c r="F181" s="574"/>
      <c r="G181" s="574"/>
      <c r="H181" s="574"/>
      <c r="I181" s="574"/>
      <c r="J181" s="574"/>
      <c r="K181" s="574"/>
      <c r="L181" s="713"/>
      <c r="M181" s="686">
        <f t="shared" si="43"/>
        <v>486.23983700000002</v>
      </c>
      <c r="N181" s="615">
        <v>31649.401790854143</v>
      </c>
      <c r="O181" s="615">
        <v>15394.749385517149</v>
      </c>
      <c r="P181" s="687">
        <v>-878.07290822209325</v>
      </c>
      <c r="Q181" s="687">
        <v>-17150.895201961372</v>
      </c>
      <c r="R181" s="687">
        <v>-33423.717495700628</v>
      </c>
      <c r="S181" s="687">
        <v>-49708.047929764332</v>
      </c>
      <c r="T181" s="687">
        <v>-66028.969898818454</v>
      </c>
      <c r="U181" s="687">
        <v>-82349.891867872546</v>
      </c>
      <c r="V181" s="687">
        <v>-98670.813836926623</v>
      </c>
      <c r="W181" s="574"/>
      <c r="X181" s="574"/>
    </row>
    <row r="182" spans="2:24">
      <c r="B182" s="574"/>
      <c r="C182" s="574"/>
      <c r="D182" s="574"/>
      <c r="E182" s="574"/>
      <c r="F182" s="574"/>
      <c r="G182" s="574"/>
      <c r="H182" s="574"/>
      <c r="I182" s="574"/>
      <c r="J182" s="574"/>
      <c r="K182" s="574"/>
      <c r="L182" s="713"/>
      <c r="M182" s="688">
        <f t="shared" si="43"/>
        <v>487.73983700000002</v>
      </c>
      <c r="N182" s="615">
        <v>36517.085206264717</v>
      </c>
      <c r="O182" s="615">
        <v>20276.596073638939</v>
      </c>
      <c r="P182" s="615">
        <v>4003.7737798996532</v>
      </c>
      <c r="Q182" s="687">
        <v>-12269.048513839582</v>
      </c>
      <c r="R182" s="687">
        <v>-28541.870807578838</v>
      </c>
      <c r="S182" s="687">
        <v>-44814.693101318102</v>
      </c>
      <c r="T182" s="687">
        <v>-61132.693308102222</v>
      </c>
      <c r="U182" s="687">
        <v>-77453.615277156321</v>
      </c>
      <c r="V182" s="687">
        <v>-93774.537246210413</v>
      </c>
      <c r="W182" s="574"/>
      <c r="X182" s="574"/>
    </row>
    <row r="183" spans="2:24">
      <c r="B183" s="574"/>
      <c r="C183" s="574"/>
      <c r="D183" s="574"/>
      <c r="E183" s="574"/>
      <c r="F183" s="574"/>
      <c r="G183" s="574"/>
      <c r="H183" s="574"/>
      <c r="I183" s="574"/>
      <c r="J183" s="574"/>
      <c r="K183" s="574"/>
      <c r="L183" s="713"/>
      <c r="M183" s="688">
        <f t="shared" si="43"/>
        <v>489.23983700000002</v>
      </c>
      <c r="N183" s="615">
        <v>41384.768621675306</v>
      </c>
      <c r="O183" s="615">
        <v>25158.442761760714</v>
      </c>
      <c r="P183" s="615">
        <v>8885.6204680214578</v>
      </c>
      <c r="Q183" s="687">
        <v>-7387.2018257178206</v>
      </c>
      <c r="R183" s="687">
        <v>-23660.024119457077</v>
      </c>
      <c r="S183" s="687">
        <v>-39932.846413196312</v>
      </c>
      <c r="T183" s="687">
        <v>-56236.41671738599</v>
      </c>
      <c r="U183" s="687">
        <v>-72557.338686440082</v>
      </c>
      <c r="V183" s="687">
        <v>-88878.260655494174</v>
      </c>
      <c r="W183" s="574"/>
      <c r="X183" s="574"/>
    </row>
    <row r="184" spans="2:24">
      <c r="B184" s="574"/>
      <c r="C184" s="574"/>
      <c r="D184" s="574"/>
      <c r="E184" s="574"/>
      <c r="F184" s="574"/>
      <c r="G184" s="574"/>
      <c r="H184" s="574"/>
      <c r="I184" s="574"/>
      <c r="J184" s="574"/>
      <c r="K184" s="574"/>
      <c r="L184" s="713"/>
      <c r="M184" s="688">
        <f t="shared" si="43"/>
        <v>490.73983700000002</v>
      </c>
      <c r="N184" s="615">
        <v>46252.452037085866</v>
      </c>
      <c r="O184" s="615">
        <v>30026.84065238398</v>
      </c>
      <c r="P184" s="615">
        <v>13767.467156143233</v>
      </c>
      <c r="Q184" s="687">
        <v>-2505.3551375960378</v>
      </c>
      <c r="R184" s="687">
        <v>-18778.177431335287</v>
      </c>
      <c r="S184" s="687">
        <v>-35050.999725074544</v>
      </c>
      <c r="T184" s="687">
        <v>-51340.140126669765</v>
      </c>
      <c r="U184" s="687">
        <v>-67661.062095723857</v>
      </c>
      <c r="V184" s="687">
        <v>-83981.984064777949</v>
      </c>
      <c r="W184" s="574"/>
      <c r="X184" s="574"/>
    </row>
    <row r="185" spans="2:24">
      <c r="B185" s="574"/>
      <c r="C185" s="574"/>
      <c r="D185" s="574"/>
      <c r="E185" s="574"/>
      <c r="F185" s="574"/>
      <c r="G185" s="574"/>
      <c r="H185" s="574"/>
      <c r="I185" s="574"/>
      <c r="J185" s="574"/>
      <c r="K185" s="574"/>
      <c r="L185" s="713"/>
      <c r="M185" s="688">
        <f t="shared" si="43"/>
        <v>492.23983700000002</v>
      </c>
      <c r="N185" s="615">
        <v>51120.135452496383</v>
      </c>
      <c r="O185" s="615">
        <v>34894.52406779454</v>
      </c>
      <c r="P185" s="615">
        <v>18649.313844265009</v>
      </c>
      <c r="Q185" s="611">
        <v>2376.4915505257377</v>
      </c>
      <c r="R185" s="687">
        <v>-13896.330743213504</v>
      </c>
      <c r="S185" s="687">
        <v>-30169.153036952746</v>
      </c>
      <c r="T185" s="687">
        <v>-46443.863535953526</v>
      </c>
      <c r="U185" s="687">
        <v>-62764.785505007618</v>
      </c>
      <c r="V185" s="687">
        <v>-79085.707474061724</v>
      </c>
      <c r="W185" s="574"/>
      <c r="X185" s="574"/>
    </row>
    <row r="186" spans="2:24">
      <c r="B186" s="574"/>
      <c r="C186" s="574"/>
      <c r="D186" s="574"/>
      <c r="E186" s="574"/>
      <c r="F186" s="574"/>
      <c r="G186" s="574"/>
      <c r="H186" s="574"/>
      <c r="I186" s="574"/>
      <c r="J186" s="574"/>
      <c r="K186" s="574"/>
      <c r="L186" s="713"/>
      <c r="M186" s="686">
        <f t="shared" si="43"/>
        <v>493.73983700000002</v>
      </c>
      <c r="N186" s="615">
        <v>55987.818867907001</v>
      </c>
      <c r="O186" s="615">
        <v>39762.2074832051</v>
      </c>
      <c r="P186" s="615">
        <v>23531.16053238677</v>
      </c>
      <c r="Q186" s="615">
        <v>7258.3382386475132</v>
      </c>
      <c r="R186" s="687">
        <v>-9014.4840550917361</v>
      </c>
      <c r="S186" s="687">
        <v>-25287.306348830985</v>
      </c>
      <c r="T186" s="687">
        <v>-41560.128642570242</v>
      </c>
      <c r="U186" s="687">
        <v>-57868.508914291393</v>
      </c>
      <c r="V186" s="687">
        <v>-74189.430883345485</v>
      </c>
      <c r="W186" s="574"/>
      <c r="X186" s="574"/>
    </row>
    <row r="187" spans="2:24">
      <c r="B187" s="574"/>
      <c r="C187" s="574"/>
      <c r="D187" s="574"/>
      <c r="E187" s="574"/>
      <c r="F187" s="574"/>
      <c r="G187" s="574"/>
      <c r="H187" s="574"/>
      <c r="I187" s="574"/>
      <c r="J187" s="574"/>
      <c r="K187" s="574"/>
      <c r="L187" s="713"/>
      <c r="M187" s="686">
        <f>M188-1.5</f>
        <v>495.23983700000002</v>
      </c>
      <c r="N187" s="615">
        <v>60855.502283317532</v>
      </c>
      <c r="O187" s="615">
        <v>44629.890898615646</v>
      </c>
      <c r="P187" s="615">
        <v>28404.279513913789</v>
      </c>
      <c r="Q187" s="615">
        <v>12140.184926769274</v>
      </c>
      <c r="R187" s="687">
        <v>-4132.6373669699533</v>
      </c>
      <c r="S187" s="687">
        <v>-20405.45966070921</v>
      </c>
      <c r="T187" s="687">
        <v>-36678.281954448481</v>
      </c>
      <c r="U187" s="687">
        <v>-52972.232323575168</v>
      </c>
      <c r="V187" s="687">
        <v>-69293.154292629275</v>
      </c>
      <c r="W187" s="574"/>
      <c r="X187" s="574"/>
    </row>
    <row r="188" spans="2:24">
      <c r="B188" s="574"/>
      <c r="C188" s="574"/>
      <c r="D188" s="574"/>
      <c r="E188" s="574"/>
      <c r="F188" s="574"/>
      <c r="G188" s="574"/>
      <c r="H188" s="574"/>
      <c r="I188" s="574"/>
      <c r="J188" s="574"/>
      <c r="K188" s="574"/>
      <c r="L188" s="713"/>
      <c r="M188" s="689">
        <v>496.73983700000002</v>
      </c>
      <c r="N188" s="615">
        <v>65723.185698728135</v>
      </c>
      <c r="O188" s="615">
        <v>49497.574314026235</v>
      </c>
      <c r="P188" s="685">
        <v>33271.962929324334</v>
      </c>
      <c r="Q188" s="615">
        <v>17022.03161489105</v>
      </c>
      <c r="R188" s="611">
        <v>749.20932115183678</v>
      </c>
      <c r="S188" s="687">
        <v>-15523.612972587427</v>
      </c>
      <c r="T188" s="687">
        <v>-31796.435266326691</v>
      </c>
      <c r="U188" s="687">
        <v>-48075.955732858944</v>
      </c>
      <c r="V188" s="687">
        <v>-64396.877701913028</v>
      </c>
      <c r="W188" s="574"/>
      <c r="X188" s="574"/>
    </row>
    <row r="189" spans="2:24">
      <c r="B189" s="574"/>
      <c r="C189" s="574"/>
      <c r="D189" s="574"/>
      <c r="E189" s="574"/>
      <c r="F189" s="574"/>
      <c r="G189" s="574"/>
      <c r="H189" s="574"/>
      <c r="I189" s="574"/>
      <c r="J189" s="574"/>
      <c r="K189" s="574"/>
      <c r="L189" s="713"/>
      <c r="M189" s="690">
        <f>M188+1.5</f>
        <v>498.23983700000002</v>
      </c>
      <c r="N189" s="615">
        <v>70590.869114138681</v>
      </c>
      <c r="O189" s="615">
        <v>54365.257729436795</v>
      </c>
      <c r="P189" s="615">
        <v>38139.646344734909</v>
      </c>
      <c r="Q189" s="615">
        <v>21903.878303012869</v>
      </c>
      <c r="R189" s="615">
        <v>5631.0560092736414</v>
      </c>
      <c r="S189" s="687">
        <v>-10641.766284465644</v>
      </c>
      <c r="T189" s="687">
        <v>-26914.588578204915</v>
      </c>
      <c r="U189" s="687">
        <v>-43187.410871944172</v>
      </c>
      <c r="V189" s="687">
        <v>-59500.601111196789</v>
      </c>
      <c r="W189" s="574"/>
      <c r="X189" s="574"/>
    </row>
    <row r="190" spans="2:24">
      <c r="B190" s="574"/>
      <c r="C190" s="574"/>
      <c r="D190" s="574"/>
      <c r="E190" s="574"/>
      <c r="F190" s="574"/>
      <c r="G190" s="574"/>
      <c r="H190" s="574"/>
      <c r="I190" s="574"/>
      <c r="J190" s="574"/>
      <c r="K190" s="574"/>
      <c r="L190" s="713"/>
      <c r="M190" s="690">
        <f t="shared" ref="M190:M195" si="44">M189+1.5</f>
        <v>499.73983700000002</v>
      </c>
      <c r="N190" s="615">
        <v>75458.552529549255</v>
      </c>
      <c r="O190" s="615">
        <v>59232.941144847398</v>
      </c>
      <c r="P190" s="615">
        <v>43007.329760145469</v>
      </c>
      <c r="Q190" s="615">
        <v>26781.718375443583</v>
      </c>
      <c r="R190" s="615">
        <v>10512.902697395388</v>
      </c>
      <c r="S190" s="687">
        <v>-5759.9195963438833</v>
      </c>
      <c r="T190" s="687">
        <v>-22032.74189008314</v>
      </c>
      <c r="U190" s="687">
        <v>-38305.564183822411</v>
      </c>
      <c r="V190" s="687">
        <v>-54604.324520480572</v>
      </c>
      <c r="W190" s="574"/>
      <c r="X190" s="574"/>
    </row>
    <row r="191" spans="2:24">
      <c r="B191" s="574"/>
      <c r="C191" s="574"/>
      <c r="D191" s="574"/>
      <c r="E191" s="574"/>
      <c r="F191" s="574"/>
      <c r="G191" s="574"/>
      <c r="H191" s="574"/>
      <c r="I191" s="574"/>
      <c r="J191" s="574"/>
      <c r="K191" s="574"/>
      <c r="L191" s="713"/>
      <c r="M191" s="690">
        <f t="shared" si="44"/>
        <v>501.23983700000002</v>
      </c>
      <c r="N191" s="615">
        <v>80326.23594495983</v>
      </c>
      <c r="O191" s="615">
        <v>64100.624560257915</v>
      </c>
      <c r="P191" s="615">
        <v>47875.013175556014</v>
      </c>
      <c r="Q191" s="615">
        <v>31649.401790854143</v>
      </c>
      <c r="R191" s="615">
        <v>15394.749385517149</v>
      </c>
      <c r="S191" s="687">
        <v>-878.07290822209325</v>
      </c>
      <c r="T191" s="687">
        <v>-17150.895201961372</v>
      </c>
      <c r="U191" s="687">
        <v>-33423.717495700628</v>
      </c>
      <c r="V191" s="687">
        <v>-49708.047929764332</v>
      </c>
      <c r="W191" s="574"/>
      <c r="X191" s="574"/>
    </row>
    <row r="192" spans="2:24">
      <c r="B192" s="574"/>
      <c r="C192" s="574"/>
      <c r="D192" s="574"/>
      <c r="E192" s="574"/>
      <c r="F192" s="574"/>
      <c r="G192" s="574"/>
      <c r="H192" s="574"/>
      <c r="I192" s="574"/>
      <c r="J192" s="574"/>
      <c r="K192" s="574"/>
      <c r="L192" s="713"/>
      <c r="M192" s="690">
        <f t="shared" si="44"/>
        <v>502.73983700000002</v>
      </c>
      <c r="N192" s="615">
        <v>85193.919360370375</v>
      </c>
      <c r="O192" s="615">
        <v>68968.307975668518</v>
      </c>
      <c r="P192" s="615">
        <v>52742.696590966603</v>
      </c>
      <c r="Q192" s="615">
        <v>36517.085206264717</v>
      </c>
      <c r="R192" s="615">
        <v>20276.596073638924</v>
      </c>
      <c r="S192" s="615">
        <v>4003.7737798996532</v>
      </c>
      <c r="T192" s="687">
        <v>-12269.048513839603</v>
      </c>
      <c r="U192" s="687">
        <v>-28541.87080757886</v>
      </c>
      <c r="V192" s="687">
        <v>-44814.693101318102</v>
      </c>
      <c r="W192" s="574"/>
      <c r="X192" s="574"/>
    </row>
    <row r="193" spans="2:24">
      <c r="B193" s="574"/>
      <c r="C193" s="574"/>
      <c r="D193" s="574"/>
      <c r="E193" s="574"/>
      <c r="F193" s="574"/>
      <c r="G193" s="574"/>
      <c r="H193" s="574"/>
      <c r="I193" s="574"/>
      <c r="J193" s="574"/>
      <c r="K193" s="574"/>
      <c r="L193" s="713"/>
      <c r="M193" s="690">
        <f t="shared" si="44"/>
        <v>504.23983700000002</v>
      </c>
      <c r="N193" s="615">
        <v>90061.60277578095</v>
      </c>
      <c r="O193" s="615">
        <v>73835.991391079093</v>
      </c>
      <c r="P193" s="615">
        <v>57610.380006377134</v>
      </c>
      <c r="Q193" s="615">
        <v>41384.768621675277</v>
      </c>
      <c r="R193" s="615">
        <v>25158.442761760714</v>
      </c>
      <c r="S193" s="615">
        <v>8885.6204680214432</v>
      </c>
      <c r="T193" s="687">
        <v>-7387.2018257178206</v>
      </c>
      <c r="U193" s="687">
        <v>-23660.024119457092</v>
      </c>
      <c r="V193" s="687">
        <v>-39932.846413196312</v>
      </c>
      <c r="W193" s="574"/>
      <c r="X193" s="574"/>
    </row>
    <row r="194" spans="2:24">
      <c r="B194" s="574"/>
      <c r="C194" s="574"/>
      <c r="D194" s="574"/>
      <c r="E194" s="574"/>
      <c r="F194" s="574"/>
      <c r="G194" s="574"/>
      <c r="H194" s="574"/>
      <c r="I194" s="574"/>
      <c r="J194" s="574"/>
      <c r="K194" s="574"/>
      <c r="L194" s="713"/>
      <c r="M194" s="691">
        <f t="shared" si="44"/>
        <v>505.73983700000002</v>
      </c>
      <c r="N194" s="615">
        <v>94929.286191191495</v>
      </c>
      <c r="O194" s="615">
        <v>78703.674806489609</v>
      </c>
      <c r="P194" s="615">
        <v>62478.063421787694</v>
      </c>
      <c r="Q194" s="615">
        <v>46252.452037085837</v>
      </c>
      <c r="R194" s="615">
        <v>30026.840652383966</v>
      </c>
      <c r="S194" s="615">
        <v>13767.467156143233</v>
      </c>
      <c r="T194" s="687">
        <v>-2505.3551375960524</v>
      </c>
      <c r="U194" s="687">
        <v>-18778.177431335309</v>
      </c>
      <c r="V194" s="687">
        <v>-35050.999725074551</v>
      </c>
      <c r="W194" s="574"/>
      <c r="X194" s="574"/>
    </row>
    <row r="195" spans="2:24">
      <c r="B195" s="574"/>
      <c r="C195" s="574"/>
      <c r="D195" s="574"/>
      <c r="E195" s="574"/>
      <c r="F195" s="574"/>
      <c r="G195" s="574"/>
      <c r="H195" s="574"/>
      <c r="I195" s="574"/>
      <c r="J195" s="574"/>
      <c r="K195" s="574"/>
      <c r="L195" s="713"/>
      <c r="M195" s="692">
        <f t="shared" si="44"/>
        <v>507.23983700000002</v>
      </c>
      <c r="N195" s="615">
        <v>99796.969606602128</v>
      </c>
      <c r="O195" s="615">
        <v>83571.358221900242</v>
      </c>
      <c r="P195" s="615">
        <v>67345.746837198298</v>
      </c>
      <c r="Q195" s="615">
        <v>51120.135452496412</v>
      </c>
      <c r="R195" s="615">
        <v>34894.524067794526</v>
      </c>
      <c r="S195" s="615">
        <v>18649.313844265009</v>
      </c>
      <c r="T195" s="611">
        <v>2376.4915505257377</v>
      </c>
      <c r="U195" s="687">
        <v>-13896.330743213504</v>
      </c>
      <c r="V195" s="687">
        <v>-30169.153036952746</v>
      </c>
      <c r="W195" s="574"/>
      <c r="X195" s="574"/>
    </row>
    <row r="196" spans="2:24">
      <c r="B196" s="574"/>
      <c r="C196" s="574"/>
      <c r="D196" s="574"/>
      <c r="E196" s="574"/>
      <c r="F196" s="574"/>
      <c r="G196" s="574"/>
      <c r="H196" s="574"/>
      <c r="I196" s="574"/>
      <c r="J196" s="574"/>
      <c r="K196" s="574"/>
      <c r="L196" s="574"/>
      <c r="M196" s="574"/>
      <c r="N196" s="574"/>
      <c r="O196" s="574"/>
      <c r="P196" s="574"/>
      <c r="Q196" s="574"/>
      <c r="R196" s="574"/>
      <c r="S196" s="574"/>
      <c r="T196" s="574"/>
      <c r="U196" s="574"/>
      <c r="V196" s="574"/>
      <c r="W196" s="574"/>
      <c r="X196" s="574"/>
    </row>
    <row r="197" spans="2:24">
      <c r="B197" s="574"/>
      <c r="C197" s="574"/>
      <c r="D197" s="574"/>
      <c r="E197" s="574"/>
      <c r="F197" s="574"/>
      <c r="G197" s="574"/>
      <c r="H197" s="574"/>
      <c r="I197" s="574"/>
      <c r="J197" s="574"/>
      <c r="K197" s="574"/>
      <c r="L197" s="574"/>
      <c r="M197" s="574"/>
      <c r="N197" s="574"/>
      <c r="O197" s="574"/>
      <c r="P197" s="574"/>
      <c r="Q197" s="574"/>
      <c r="R197" s="574"/>
      <c r="S197" s="574"/>
      <c r="T197" s="574"/>
      <c r="U197" s="574"/>
      <c r="V197" s="574"/>
      <c r="W197" s="574"/>
      <c r="X197" s="574"/>
    </row>
    <row r="198" spans="2:24">
      <c r="B198" s="574"/>
      <c r="C198" s="574"/>
      <c r="D198" s="574"/>
      <c r="E198" s="574"/>
      <c r="F198" s="574"/>
      <c r="G198" s="574"/>
      <c r="H198" s="574"/>
      <c r="I198" s="574"/>
      <c r="J198" s="574"/>
      <c r="K198" s="574"/>
      <c r="L198" s="574"/>
      <c r="M198" s="574"/>
      <c r="N198" s="574"/>
      <c r="O198" s="574"/>
      <c r="P198" s="574"/>
      <c r="Q198" s="574"/>
      <c r="R198" s="574"/>
      <c r="S198" s="574"/>
      <c r="T198" s="574"/>
      <c r="U198" s="574"/>
      <c r="V198" s="574"/>
      <c r="W198" s="574"/>
      <c r="X198" s="574"/>
    </row>
    <row r="199" spans="2:24">
      <c r="B199" s="574"/>
      <c r="C199" s="574"/>
      <c r="D199" s="574"/>
      <c r="E199" s="574"/>
      <c r="F199" s="574"/>
      <c r="G199" s="574"/>
      <c r="H199" s="574"/>
      <c r="I199" s="574"/>
      <c r="J199" s="574"/>
      <c r="K199" s="574"/>
      <c r="L199" s="574"/>
      <c r="M199" s="574"/>
      <c r="N199" s="574"/>
      <c r="O199" s="574"/>
      <c r="P199" s="574"/>
      <c r="Q199" s="574"/>
      <c r="R199" s="574"/>
      <c r="S199" s="574"/>
      <c r="T199" s="574"/>
      <c r="U199" s="574"/>
      <c r="V199" s="574"/>
      <c r="W199" s="574"/>
      <c r="X199" s="574"/>
    </row>
  </sheetData>
  <scenarios current="0" show="0">
    <scenario name="ff" locked="1" count="3" user="Microsoft Office User" comment="Created by Microsoft Office User on 12/05/2021_x000a_Modified by Microsoft Office User on 12/05/2021">
      <inputCells r="E6" val="422,22"/>
      <inputCells r="E9" val="220" numFmtId="175"/>
      <inputCells r="D54" val="0,22"/>
    </scenario>
  </scenarios>
  <mergeCells count="7">
    <mergeCell ref="B1:I1"/>
    <mergeCell ref="E2:I2"/>
    <mergeCell ref="L180:L195"/>
    <mergeCell ref="L59:M59"/>
    <mergeCell ref="L84:M84"/>
    <mergeCell ref="L113:M113"/>
    <mergeCell ref="L141:M141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3EA5-CC7F-764E-91B2-23B5F44CDC75}">
  <dimension ref="A1:D21"/>
  <sheetViews>
    <sheetView zoomScale="141" zoomScaleNormal="141" workbookViewId="0">
      <selection activeCell="F10" sqref="F10"/>
    </sheetView>
  </sheetViews>
  <sheetFormatPr baseColWidth="10" defaultColWidth="11" defaultRowHeight="16"/>
  <cols>
    <col min="1" max="1" width="25.33203125" customWidth="1"/>
    <col min="2" max="2" width="15.1640625" customWidth="1"/>
    <col min="3" max="3" width="14.5" customWidth="1"/>
    <col min="4" max="4" width="13.83203125" customWidth="1"/>
  </cols>
  <sheetData>
    <row r="1" spans="1:4">
      <c r="A1" s="337" t="s">
        <v>502</v>
      </c>
    </row>
    <row r="2" spans="1:4">
      <c r="B2" s="352">
        <v>44470</v>
      </c>
      <c r="C2" s="352">
        <v>44531</v>
      </c>
      <c r="D2" s="338">
        <v>45292</v>
      </c>
    </row>
    <row r="3" spans="1:4">
      <c r="A3" s="339" t="s">
        <v>503</v>
      </c>
      <c r="B3" s="343">
        <f>'Project cash flow'!D44+'Project cash flow'!D17</f>
        <v>30417.106250000001</v>
      </c>
      <c r="C3" s="367">
        <f>'Project cash flow'!D41</f>
        <v>40699.389169999995</v>
      </c>
      <c r="D3" s="142">
        <f>'Project cash flow'!G44</f>
        <v>5439</v>
      </c>
    </row>
    <row r="4" spans="1:4">
      <c r="A4" s="339" t="s">
        <v>504</v>
      </c>
      <c r="B4" s="342">
        <f>B11</f>
        <v>8.1334054960000013E-2</v>
      </c>
      <c r="C4" s="368">
        <f>B11</f>
        <v>8.1334054960000013E-2</v>
      </c>
      <c r="D4" s="342">
        <f>B11</f>
        <v>8.1334054960000013E-2</v>
      </c>
    </row>
    <row r="5" spans="1:4">
      <c r="A5" s="340" t="s">
        <v>505</v>
      </c>
      <c r="B5" s="344">
        <f>B3*(1+B4)</f>
        <v>32891.052841461664</v>
      </c>
      <c r="C5" s="369">
        <f>C3*(1+C4)</f>
        <v>44009.635525591206</v>
      </c>
      <c r="D5" s="369">
        <f>D3*(1+D4)</f>
        <v>5881.3759249274408</v>
      </c>
    </row>
    <row r="6" spans="1:4">
      <c r="A6" s="340" t="s">
        <v>506</v>
      </c>
      <c r="B6" s="344">
        <f>B5</f>
        <v>32891.052841461664</v>
      </c>
      <c r="C6" s="369">
        <f>C5+B6</f>
        <v>76900.688367052877</v>
      </c>
      <c r="D6" s="344">
        <f>D5+C6</f>
        <v>82782.064291980321</v>
      </c>
    </row>
    <row r="9" spans="1:4">
      <c r="A9" s="339" t="s">
        <v>507</v>
      </c>
      <c r="B9" s="370">
        <f>(B3+C3+D3)*60%</f>
        <v>45933.297251999997</v>
      </c>
      <c r="D9" s="354"/>
    </row>
    <row r="10" spans="1:4">
      <c r="A10" s="339" t="s">
        <v>508</v>
      </c>
      <c r="B10" s="341">
        <v>50000</v>
      </c>
    </row>
    <row r="11" spans="1:4">
      <c r="A11" s="340" t="s">
        <v>504</v>
      </c>
      <c r="B11" s="371">
        <f>1-B9/B10</f>
        <v>8.1334054960000013E-2</v>
      </c>
    </row>
    <row r="12" spans="1:4">
      <c r="A12" s="340" t="s">
        <v>515</v>
      </c>
      <c r="B12" s="372">
        <f>B10/D6</f>
        <v>0.60399556869764903</v>
      </c>
      <c r="C12" s="354"/>
      <c r="D12" s="354"/>
    </row>
    <row r="13" spans="1:4">
      <c r="A13" s="340" t="s">
        <v>509</v>
      </c>
      <c r="B13" s="372">
        <f>100%-B12</f>
        <v>0.39600443130235097</v>
      </c>
    </row>
    <row r="14" spans="1:4">
      <c r="B14" s="125"/>
    </row>
    <row r="15" spans="1:4">
      <c r="B15" s="125"/>
    </row>
    <row r="16" spans="1:4">
      <c r="A16" s="337" t="s">
        <v>510</v>
      </c>
      <c r="B16" s="352">
        <v>44470</v>
      </c>
      <c r="C16" s="375">
        <v>44531</v>
      </c>
      <c r="D16" s="375">
        <v>45292</v>
      </c>
    </row>
    <row r="17" spans="1:4">
      <c r="A17" s="339" t="s">
        <v>511</v>
      </c>
      <c r="B17" s="364"/>
      <c r="C17" s="373"/>
      <c r="D17" s="296"/>
    </row>
    <row r="18" spans="1:4">
      <c r="A18" s="339" t="s">
        <v>512</v>
      </c>
      <c r="B18" s="345">
        <f>B5*B13</f>
        <v>13025.0026754186</v>
      </c>
      <c r="C18" s="374">
        <f>C5*$B$13</f>
        <v>17428.010688135488</v>
      </c>
      <c r="D18" s="374">
        <f>D5*$B$13</f>
        <v>2329.0509284262298</v>
      </c>
    </row>
    <row r="19" spans="1:4">
      <c r="A19" s="339" t="s">
        <v>513</v>
      </c>
      <c r="B19" s="345">
        <v>50000</v>
      </c>
      <c r="C19" s="365"/>
      <c r="D19" s="74"/>
    </row>
    <row r="20" spans="1:4">
      <c r="A20" s="340" t="s">
        <v>40</v>
      </c>
      <c r="B20" s="346">
        <f>SUM(B18:B19)</f>
        <v>63025.002675418596</v>
      </c>
      <c r="C20" s="366">
        <f>SUM(C18:C19)</f>
        <v>17428.010688135488</v>
      </c>
      <c r="D20" s="374">
        <f>D18</f>
        <v>2329.0509284262298</v>
      </c>
    </row>
    <row r="21" spans="1:4">
      <c r="A21" s="340" t="s">
        <v>514</v>
      </c>
      <c r="B21" s="346">
        <f>B20</f>
        <v>63025.002675418596</v>
      </c>
      <c r="C21" s="366">
        <f>B21+C20</f>
        <v>80453.013363554084</v>
      </c>
      <c r="D21" s="355">
        <f>C21+D20</f>
        <v>82782.064291980321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79C7-7904-4C8E-AB8C-1EF2706B0C90}">
  <dimension ref="B2:U84"/>
  <sheetViews>
    <sheetView topLeftCell="E1" zoomScale="75" zoomScaleNormal="136" workbookViewId="0">
      <selection activeCell="H10" sqref="H10"/>
    </sheetView>
  </sheetViews>
  <sheetFormatPr baseColWidth="10" defaultColWidth="11" defaultRowHeight="16"/>
  <cols>
    <col min="2" max="2" width="35.83203125" customWidth="1"/>
    <col min="3" max="5" width="10.83203125" style="134"/>
    <col min="6" max="6" width="12.1640625" style="134" bestFit="1" customWidth="1"/>
    <col min="7" max="7" width="10.83203125" style="134"/>
    <col min="8" max="8" width="56.1640625" customWidth="1"/>
    <col min="9" max="9" width="17.1640625" customWidth="1"/>
    <col min="10" max="10" width="16.33203125" customWidth="1"/>
    <col min="12" max="12" width="13.83203125" customWidth="1"/>
    <col min="16" max="16" width="36.6640625" customWidth="1"/>
  </cols>
  <sheetData>
    <row r="2" spans="2:21">
      <c r="B2" s="131"/>
      <c r="C2" s="133"/>
      <c r="D2" s="133"/>
      <c r="E2" s="133"/>
      <c r="F2" s="133"/>
      <c r="G2" s="133"/>
      <c r="H2" s="139" t="s">
        <v>303</v>
      </c>
      <c r="I2" s="167">
        <v>0</v>
      </c>
      <c r="J2" s="167">
        <v>1</v>
      </c>
      <c r="K2" s="167">
        <v>2</v>
      </c>
      <c r="L2" s="168">
        <v>3</v>
      </c>
      <c r="M2" s="168">
        <v>4</v>
      </c>
      <c r="N2" s="168">
        <v>5</v>
      </c>
    </row>
    <row r="3" spans="2:21">
      <c r="B3" s="131"/>
      <c r="C3" s="133"/>
      <c r="D3" s="133"/>
      <c r="E3" s="133"/>
      <c r="F3" s="133"/>
      <c r="G3" s="133"/>
      <c r="H3" s="154" t="s">
        <v>351</v>
      </c>
      <c r="I3" s="156"/>
      <c r="J3" s="155" t="s">
        <v>303</v>
      </c>
      <c r="K3" s="155" t="s">
        <v>303</v>
      </c>
      <c r="L3" s="157"/>
      <c r="M3" s="157"/>
      <c r="N3" s="157"/>
    </row>
    <row r="4" spans="2:21">
      <c r="B4" s="132"/>
      <c r="C4" s="133"/>
      <c r="D4" s="133"/>
      <c r="E4" s="133"/>
      <c r="F4" s="133"/>
      <c r="G4" s="133"/>
      <c r="H4" s="140" t="s">
        <v>352</v>
      </c>
      <c r="I4" s="169">
        <f>'Project cash flow'!D44</f>
        <v>13629</v>
      </c>
      <c r="J4" s="170">
        <f>I4</f>
        <v>13629</v>
      </c>
      <c r="K4" s="170">
        <f>J4</f>
        <v>13629</v>
      </c>
      <c r="L4" s="171">
        <f>'Project cash flow'!D44+'Project cash flow'!G44</f>
        <v>19068</v>
      </c>
      <c r="M4" s="171">
        <f>L4</f>
        <v>19068</v>
      </c>
      <c r="N4" s="171">
        <f>M4</f>
        <v>19068</v>
      </c>
      <c r="P4" s="109"/>
      <c r="Q4" s="109"/>
      <c r="R4" s="109"/>
      <c r="S4" s="109"/>
      <c r="T4" s="109"/>
      <c r="U4" s="109"/>
    </row>
    <row r="5" spans="2:21" ht="15" customHeight="1">
      <c r="B5" s="131"/>
      <c r="C5" s="133"/>
      <c r="D5" s="133"/>
      <c r="E5" s="133"/>
      <c r="F5" s="133"/>
      <c r="G5" s="133"/>
      <c r="H5" s="140" t="s">
        <v>353</v>
      </c>
      <c r="I5" s="172">
        <v>0</v>
      </c>
      <c r="J5" s="173">
        <f>Depreciation!G3</f>
        <v>2384.6666666666665</v>
      </c>
      <c r="K5" s="169">
        <f>J5+Depreciation!H3</f>
        <v>4769.333333333333</v>
      </c>
      <c r="L5" s="169">
        <f>K5+Depreciation!I3</f>
        <v>8521.1666666666661</v>
      </c>
      <c r="M5" s="169">
        <f>L5+Depreciation!J3</f>
        <v>10523.333333333332</v>
      </c>
      <c r="N5" s="169">
        <f>M5+Depreciation!K3</f>
        <v>12525.499999999998</v>
      </c>
      <c r="P5" s="200"/>
      <c r="Q5" s="201"/>
      <c r="R5" s="202"/>
      <c r="S5" s="202"/>
      <c r="T5" s="202"/>
      <c r="U5" s="202"/>
    </row>
    <row r="6" spans="2:21" ht="15" customHeight="1">
      <c r="B6" s="131"/>
      <c r="C6" s="133"/>
      <c r="D6" s="133"/>
      <c r="E6" s="133"/>
      <c r="F6" s="133"/>
      <c r="G6" s="133"/>
      <c r="H6" s="154" t="s">
        <v>354</v>
      </c>
      <c r="I6" s="174">
        <f t="shared" ref="I6:N6" si="0">I4-I5</f>
        <v>13629</v>
      </c>
      <c r="J6" s="174">
        <f>J4-J5</f>
        <v>11244.333333333334</v>
      </c>
      <c r="K6" s="174">
        <f>K4-K5</f>
        <v>8859.6666666666679</v>
      </c>
      <c r="L6" s="174">
        <f t="shared" si="0"/>
        <v>10546.833333333334</v>
      </c>
      <c r="M6" s="174">
        <f t="shared" si="0"/>
        <v>8544.6666666666679</v>
      </c>
      <c r="N6" s="174">
        <f t="shared" si="0"/>
        <v>6542.5000000000018</v>
      </c>
      <c r="P6" s="203"/>
      <c r="Q6" s="204"/>
      <c r="R6" s="205"/>
      <c r="S6" s="206"/>
      <c r="T6" s="207"/>
      <c r="U6" s="206"/>
    </row>
    <row r="7" spans="2:21" ht="15" customHeight="1">
      <c r="B7" s="131"/>
      <c r="C7" s="133"/>
      <c r="D7" s="133"/>
      <c r="E7" s="133"/>
      <c r="F7" s="133"/>
      <c r="G7" s="133"/>
      <c r="H7" s="154" t="s">
        <v>355</v>
      </c>
      <c r="I7" s="167"/>
      <c r="J7" s="167"/>
      <c r="K7" s="167"/>
      <c r="L7" s="175"/>
      <c r="M7" s="175"/>
      <c r="N7" s="175"/>
      <c r="P7" s="203"/>
      <c r="Q7" s="208"/>
      <c r="R7" s="209"/>
      <c r="S7" s="206"/>
      <c r="T7" s="207"/>
      <c r="U7" s="206"/>
    </row>
    <row r="8" spans="2:21" ht="15" customHeight="1">
      <c r="B8" s="131"/>
      <c r="C8" s="133"/>
      <c r="D8" s="133"/>
      <c r="E8" s="133"/>
      <c r="F8" s="133"/>
      <c r="G8" s="133"/>
      <c r="H8" s="140" t="s">
        <v>356</v>
      </c>
      <c r="I8" s="169">
        <f>'Investment in WC budget'!D12</f>
        <v>45256.703999999998</v>
      </c>
      <c r="J8" s="169">
        <f>'Investment in WC budget'!E12</f>
        <v>53969.919999999998</v>
      </c>
      <c r="K8" s="169">
        <f>'Investment in WC budget'!F12</f>
        <v>72501.759999999995</v>
      </c>
      <c r="L8" s="169">
        <f>'Investment in WC budget'!G12</f>
        <v>89993.216</v>
      </c>
      <c r="M8" s="169">
        <f>'Investment in WC budget'!H12</f>
        <v>104558.592</v>
      </c>
      <c r="N8" s="169">
        <f>'Investment in WC budget'!I12</f>
        <v>120965.05607296</v>
      </c>
      <c r="P8" s="109"/>
      <c r="Q8" s="109"/>
      <c r="R8" s="109"/>
      <c r="S8" s="109"/>
      <c r="T8" s="109"/>
      <c r="U8" s="109"/>
    </row>
    <row r="9" spans="2:21" ht="15" customHeight="1">
      <c r="B9" s="131"/>
      <c r="C9" s="133"/>
      <c r="D9" s="133"/>
      <c r="E9" s="133"/>
      <c r="F9" s="138"/>
      <c r="G9" s="133"/>
      <c r="H9" s="140" t="s">
        <v>203</v>
      </c>
      <c r="I9" s="169"/>
      <c r="J9" s="169">
        <f>'Project cash flow'!E29+'Project cash flow'!E31+J27</f>
        <v>12529.246026097566</v>
      </c>
      <c r="K9" s="169">
        <f>'Project cash flow'!F29+'Project cash flow'!F31</f>
        <v>13743.135501355015</v>
      </c>
      <c r="L9" s="169">
        <f>'Project cash flow'!G29+'Project cash flow'!G31</f>
        <v>18462.163956639568</v>
      </c>
      <c r="M9" s="169">
        <f>+'Project cash flow'!H29+'Project cash flow'!H31</f>
        <v>22916.264498644985</v>
      </c>
      <c r="N9" s="169">
        <f>'Project cash flow'!I29+'Project cash flow'!I31</f>
        <v>28413.518699186992</v>
      </c>
    </row>
    <row r="10" spans="2:21" ht="15" customHeight="1">
      <c r="B10" s="131"/>
      <c r="C10" s="133"/>
      <c r="D10" s="133"/>
      <c r="E10" s="133"/>
      <c r="F10" s="133"/>
      <c r="G10" s="133"/>
      <c r="H10" s="140" t="s">
        <v>357</v>
      </c>
      <c r="I10" s="169">
        <f>'Project cash flow'!D30+'Project cash flow'!D31</f>
        <v>14545.551919999998</v>
      </c>
      <c r="J10" s="169">
        <f>'Project cash flow'!E30+'Project cash flow'!E31</f>
        <v>0</v>
      </c>
      <c r="K10" s="169">
        <f>'Project cash flow'!F30+'Project cash flow'!F31</f>
        <v>0</v>
      </c>
      <c r="L10" s="169">
        <v>0</v>
      </c>
      <c r="M10" s="169">
        <f>'Project cash flow'!H30+'Project cash flow'!H31</f>
        <v>0</v>
      </c>
      <c r="N10" s="169">
        <f>'Project cash flow'!I30+'Project cash flow'!I31</f>
        <v>0</v>
      </c>
    </row>
    <row r="11" spans="2:21" ht="15" customHeight="1">
      <c r="B11" s="131"/>
      <c r="C11" s="133"/>
      <c r="D11" s="133"/>
      <c r="E11" s="133"/>
      <c r="F11" s="133"/>
      <c r="G11" s="133"/>
      <c r="H11" s="74" t="s">
        <v>358</v>
      </c>
      <c r="I11" s="169">
        <f>I15+I23-I4-(I8-I26)-('Income Statement (Predicted)'!J7-'Investment in WC budget'!D18)-('Income Statement (Predicted)'!J10-'Investment in WC budget'!D17)-'Income Statement (Predicted)'!J8-'Income Statement (Predicted)'!J15-I10</f>
        <v>41448.06743000001</v>
      </c>
      <c r="J11" s="170">
        <f>I11+'Income Statement (Predicted)'!K2-('Costs without VAT'!C31+'Costs without VAT'!C32+'Costs without VAT'!C34)/360*300-'Income Statement (Predicted)'!K3/360*300-I26-'Costs without VAT'!C33-'Income Statement (Predicted)'!K11-'Income Statement (Predicted)'!K15-I25-J9+I10+24526.8</f>
        <v>18261.525453587386</v>
      </c>
      <c r="K11" s="170">
        <f>+J11+J9+'Income Statement (Predicted)'!L2-('Costs without VAT'!D31+'Costs without VAT'!D32+'Costs without VAT'!D34)/360*300-'Income Statement (Predicted)'!L3/360*300-J26-'Costs without VAT'!D33-'Income Statement (Predicted)'!L11-'Income Statement (Predicted)'!L15-J25-K9+J10+6599.39</f>
        <v>1385.6948331470567</v>
      </c>
      <c r="L11" s="170">
        <f>K11+K9+'Income Statement (Predicted)'!M2-('Costs without VAT'!E31+'Costs without VAT'!E32+'Costs without VAT'!E34)/360*300-'Income Statement (Predicted)'!M3/360*300-K26-'Costs without VAT'!E33-'Income Statement (Predicted)'!M11-'Income Statement (Predicted)'!M15-K25-L9+K10+20580.19</f>
        <v>31591.618111216132</v>
      </c>
      <c r="M11" s="170">
        <f>L11+L9+'Income Statement (Predicted)'!N2-('Costs without VAT'!F31+'Costs without VAT'!F32+'Costs without VAT'!F34)/360*300-'Income Statement (Predicted)'!N3/360*300-L26-'Costs without VAT'!F33-'Income Statement (Predicted)'!N11-'Income Statement (Predicted)'!N15-L25-M9+L10+18726.73</f>
        <v>103399.44318272696</v>
      </c>
      <c r="N11" s="170">
        <f>M11+M9+'Income Statement (Predicted)'!O2-('Costs without VAT'!G31+'Costs without VAT'!G32+'Costs without VAT'!G34)/360*300-'Income Statement (Predicted)'!O3/360*300-M26-'Costs without VAT'!G33-'Income Statement (Predicted)'!O11-'Income Statement (Predicted)'!O15-M25-N9+M10-25837.64+7.13</f>
        <v>232047.25505449477</v>
      </c>
    </row>
    <row r="12" spans="2:21" ht="15" customHeight="1">
      <c r="B12" s="131"/>
      <c r="C12" s="133"/>
      <c r="D12" s="133"/>
      <c r="E12" s="133"/>
      <c r="F12" s="133"/>
      <c r="G12" s="133"/>
      <c r="H12" s="154" t="s">
        <v>359</v>
      </c>
      <c r="I12" s="176">
        <f>SUM(I8:I11)</f>
        <v>101250.32335000001</v>
      </c>
      <c r="J12" s="176">
        <f>SUM(J8:J11)</f>
        <v>84760.691479684945</v>
      </c>
      <c r="K12" s="176">
        <f>SUM(K8:K11)</f>
        <v>87630.590334502078</v>
      </c>
      <c r="L12" s="176">
        <f t="shared" ref="L12:M12" si="1">SUM(L8:L11)</f>
        <v>140046.99806785572</v>
      </c>
      <c r="M12" s="176">
        <f t="shared" si="1"/>
        <v>230874.29968137195</v>
      </c>
      <c r="N12" s="176">
        <f>SUM(N8:N11)</f>
        <v>381425.82982664177</v>
      </c>
      <c r="P12" s="436"/>
    </row>
    <row r="13" spans="2:21" ht="15" customHeight="1">
      <c r="B13" s="131"/>
      <c r="C13" s="133"/>
      <c r="D13" s="133"/>
      <c r="E13" s="133"/>
      <c r="F13" s="133"/>
      <c r="G13" s="133"/>
      <c r="H13" s="158" t="s">
        <v>360</v>
      </c>
      <c r="I13" s="177">
        <f t="shared" ref="I13:N13" si="2">I6+I12</f>
        <v>114879.32335000001</v>
      </c>
      <c r="J13" s="177">
        <f t="shared" si="2"/>
        <v>96005.024813018274</v>
      </c>
      <c r="K13" s="177">
        <f>K6+K12</f>
        <v>96490.257001168749</v>
      </c>
      <c r="L13" s="178">
        <f t="shared" si="2"/>
        <v>150593.83140118906</v>
      </c>
      <c r="M13" s="177">
        <f t="shared" si="2"/>
        <v>239418.96634803861</v>
      </c>
      <c r="N13" s="177">
        <f t="shared" si="2"/>
        <v>387968.32982664177</v>
      </c>
      <c r="P13" s="437"/>
    </row>
    <row r="14" spans="2:21" ht="15" customHeight="1">
      <c r="B14" s="131"/>
      <c r="C14" s="133"/>
      <c r="D14" s="133"/>
      <c r="E14" s="133"/>
      <c r="F14" s="138"/>
      <c r="G14" s="133"/>
      <c r="H14" s="154" t="s">
        <v>361</v>
      </c>
      <c r="I14" s="167"/>
      <c r="J14" s="179"/>
      <c r="K14" s="179"/>
      <c r="L14" s="180"/>
      <c r="M14" s="175"/>
      <c r="N14" s="175"/>
      <c r="P14" s="27"/>
      <c r="Q14" s="116"/>
    </row>
    <row r="15" spans="2:21" ht="15" customHeight="1">
      <c r="B15" s="131"/>
      <c r="C15" s="133"/>
      <c r="D15" s="133"/>
      <c r="E15" s="133"/>
      <c r="F15" s="138"/>
      <c r="G15" s="133"/>
      <c r="H15" s="140" t="s">
        <v>362</v>
      </c>
      <c r="I15" s="169">
        <f>64000</f>
        <v>64000</v>
      </c>
      <c r="J15" s="169">
        <f>I15</f>
        <v>64000</v>
      </c>
      <c r="K15" s="169">
        <f>J15</f>
        <v>64000</v>
      </c>
      <c r="L15" s="169">
        <f>K15</f>
        <v>64000</v>
      </c>
      <c r="M15" s="169">
        <f>L15</f>
        <v>64000</v>
      </c>
      <c r="N15" s="169">
        <f>M15</f>
        <v>64000</v>
      </c>
      <c r="P15" s="27"/>
    </row>
    <row r="16" spans="2:21" ht="15" customHeight="1">
      <c r="B16" s="131"/>
      <c r="C16" s="133"/>
      <c r="D16" s="133"/>
      <c r="E16" s="133"/>
      <c r="F16" s="138"/>
      <c r="G16" s="133"/>
      <c r="H16" s="140" t="s">
        <v>363</v>
      </c>
      <c r="I16" s="181"/>
      <c r="J16" s="181"/>
      <c r="K16" s="170">
        <f>J16+J19</f>
        <v>-55845.653203648355</v>
      </c>
      <c r="L16" s="170">
        <f>K16+K19</f>
        <v>-54205.713853639114</v>
      </c>
      <c r="M16" s="170">
        <f>L16+L19-M18</f>
        <v>-36120.996152006439</v>
      </c>
      <c r="N16" s="170">
        <f>M16+M19-N18-N17</f>
        <v>6412.3763127778839</v>
      </c>
      <c r="P16" s="27"/>
    </row>
    <row r="17" spans="2:16" ht="15" customHeight="1">
      <c r="B17" s="131"/>
      <c r="C17" s="133"/>
      <c r="D17" s="133"/>
      <c r="E17" s="133"/>
      <c r="F17" s="138"/>
      <c r="G17" s="133"/>
      <c r="H17" s="140" t="s">
        <v>364</v>
      </c>
      <c r="I17" s="181"/>
      <c r="J17" s="181"/>
      <c r="K17" s="170"/>
      <c r="L17" s="170"/>
      <c r="M17" s="170"/>
      <c r="N17" s="170">
        <f>N19*15%</f>
        <v>19643.667714268107</v>
      </c>
      <c r="O17" s="116"/>
      <c r="P17" s="439"/>
    </row>
    <row r="18" spans="2:16" ht="15" customHeight="1">
      <c r="B18" s="131"/>
      <c r="C18" s="133"/>
      <c r="D18" s="133"/>
      <c r="E18" s="133"/>
      <c r="F18" s="138"/>
      <c r="G18" s="133"/>
      <c r="H18" s="140" t="s">
        <v>365</v>
      </c>
      <c r="I18" s="181"/>
      <c r="J18" s="181"/>
      <c r="K18" s="170"/>
      <c r="L18" s="170"/>
      <c r="M18" s="170">
        <f>M19*0.05</f>
        <v>3436.2464708570901</v>
      </c>
      <c r="N18" s="170">
        <f>N19*0.05</f>
        <v>6547.8892380893703</v>
      </c>
      <c r="P18" s="27"/>
    </row>
    <row r="19" spans="2:16" ht="15" customHeight="1">
      <c r="B19" s="131"/>
      <c r="C19" s="133"/>
      <c r="D19" s="133"/>
      <c r="E19" s="133"/>
      <c r="F19" s="133"/>
      <c r="G19" s="133"/>
      <c r="H19" s="140" t="s">
        <v>366</v>
      </c>
      <c r="I19" s="169">
        <f>-'Income Statement (Predicted)'!J7-'Income Statement (Predicted)'!J10-'Income Statement (Predicted)'!J8-'Income Statement (Predicted)'!J15</f>
        <v>-18223.543399999999</v>
      </c>
      <c r="J19" s="173">
        <f>'Income Statement (Predicted)'!K21</f>
        <v>-55845.653203648355</v>
      </c>
      <c r="K19" s="169">
        <f>'Income Statement (Predicted)'!L21</f>
        <v>1639.9393500092392</v>
      </c>
      <c r="L19" s="173">
        <f>'Income Statement (Predicted)'!M21</f>
        <v>21520.964172489766</v>
      </c>
      <c r="M19" s="173">
        <f>'Income Statement (Predicted)'!N21</f>
        <v>68724.929417141801</v>
      </c>
      <c r="N19" s="173">
        <f>'Income Statement (Predicted)'!O21</f>
        <v>130957.78476178739</v>
      </c>
      <c r="P19" s="27"/>
    </row>
    <row r="20" spans="2:16" ht="15" customHeight="1">
      <c r="B20" s="131"/>
      <c r="C20" s="133"/>
      <c r="D20" s="133"/>
      <c r="E20" s="133"/>
      <c r="F20" s="133"/>
      <c r="G20" s="133"/>
      <c r="H20" s="158" t="s">
        <v>367</v>
      </c>
      <c r="I20" s="182">
        <f t="shared" ref="I20:N20" si="3">SUM(I15:I19)</f>
        <v>45776.456600000005</v>
      </c>
      <c r="J20" s="182">
        <f t="shared" si="3"/>
        <v>8154.346796351645</v>
      </c>
      <c r="K20" s="182">
        <f t="shared" si="3"/>
        <v>9794.2861463608842</v>
      </c>
      <c r="L20" s="182">
        <f t="shared" si="3"/>
        <v>31315.250318850653</v>
      </c>
      <c r="M20" s="182">
        <f t="shared" si="3"/>
        <v>100040.17973599245</v>
      </c>
      <c r="N20" s="182">
        <f t="shared" si="3"/>
        <v>227561.71802692272</v>
      </c>
      <c r="P20" s="438"/>
    </row>
    <row r="21" spans="2:16" ht="15" customHeight="1">
      <c r="B21" s="131"/>
      <c r="C21" s="133"/>
      <c r="D21" s="133"/>
      <c r="E21" s="133"/>
      <c r="F21" s="133"/>
      <c r="G21" s="133"/>
      <c r="H21" s="154" t="s">
        <v>368</v>
      </c>
      <c r="I21" s="167"/>
      <c r="J21" s="179"/>
      <c r="K21" s="179"/>
      <c r="L21" s="175"/>
      <c r="M21" s="175"/>
      <c r="N21" s="175"/>
      <c r="P21" s="27"/>
    </row>
    <row r="22" spans="2:16" ht="15" customHeight="1">
      <c r="B22" s="131"/>
      <c r="C22" s="133"/>
      <c r="D22" s="133"/>
      <c r="E22" s="133"/>
      <c r="F22" s="133"/>
      <c r="G22" s="133"/>
      <c r="H22" s="154" t="s">
        <v>369</v>
      </c>
      <c r="I22" s="250"/>
      <c r="J22" s="253"/>
      <c r="K22" s="253"/>
      <c r="L22" s="254"/>
      <c r="M22" s="254"/>
      <c r="N22" s="254"/>
      <c r="P22" s="27"/>
    </row>
    <row r="23" spans="2:16" ht="15" customHeight="1">
      <c r="B23" s="131"/>
      <c r="C23" s="133"/>
      <c r="D23" s="133"/>
      <c r="E23" s="133"/>
      <c r="F23" s="133"/>
      <c r="G23" s="133"/>
      <c r="H23" s="249" t="s">
        <v>370</v>
      </c>
      <c r="I23" s="252">
        <f>'Financing options'!D16</f>
        <v>50000</v>
      </c>
      <c r="J23" s="252">
        <f>'Financing options'!M26</f>
        <v>47500.009999999995</v>
      </c>
      <c r="K23" s="252">
        <f>'Financing options'!M37</f>
        <v>37500.049999999974</v>
      </c>
      <c r="L23" s="252">
        <f>'Financing options'!M46</f>
        <v>27500.089999999953</v>
      </c>
      <c r="M23" s="252">
        <f>'Financing options'!M55</f>
        <v>17500.129999999932</v>
      </c>
      <c r="N23" s="252">
        <f>'Financing options'!M64</f>
        <v>7500.169999999931</v>
      </c>
      <c r="P23" s="27"/>
    </row>
    <row r="24" spans="2:16" ht="15" customHeight="1">
      <c r="B24" s="131"/>
      <c r="C24" s="133"/>
      <c r="D24" s="133"/>
      <c r="E24" s="133"/>
      <c r="F24" s="133"/>
      <c r="G24" s="133"/>
      <c r="H24" s="154" t="s">
        <v>371</v>
      </c>
      <c r="I24" s="251">
        <f>SUM(I21:I23)</f>
        <v>50000</v>
      </c>
      <c r="J24" s="251">
        <f t="shared" ref="J24:L24" si="4">SUM(J21:J23)</f>
        <v>47500.009999999995</v>
      </c>
      <c r="K24" s="251">
        <f t="shared" si="4"/>
        <v>37500.049999999974</v>
      </c>
      <c r="L24" s="251">
        <f t="shared" si="4"/>
        <v>27500.089999999953</v>
      </c>
      <c r="M24" s="251">
        <f>SUM(M21:M23)</f>
        <v>17500.129999999932</v>
      </c>
      <c r="N24" s="251">
        <f>SUM(N21:N23)</f>
        <v>7500.169999999931</v>
      </c>
      <c r="P24" s="439"/>
    </row>
    <row r="25" spans="2:16" ht="15" customHeight="1">
      <c r="B25" s="131"/>
      <c r="C25" s="133"/>
      <c r="D25" s="133"/>
      <c r="E25" s="133"/>
      <c r="F25" s="133"/>
      <c r="G25" s="133"/>
      <c r="H25" s="140" t="s">
        <v>372</v>
      </c>
      <c r="I25" s="169"/>
      <c r="J25" s="169"/>
      <c r="K25" s="179"/>
      <c r="L25" s="175"/>
      <c r="M25" s="175"/>
      <c r="N25" s="175"/>
      <c r="P25" s="27"/>
    </row>
    <row r="26" spans="2:16" ht="15" customHeight="1">
      <c r="B26" s="131"/>
      <c r="C26" s="133"/>
      <c r="D26" s="133"/>
      <c r="E26" s="133"/>
      <c r="F26" s="133"/>
      <c r="G26" s="133"/>
      <c r="H26" s="140" t="s">
        <v>373</v>
      </c>
      <c r="I26" s="169">
        <f>'Investment in WC budget'!D16</f>
        <v>15085.567999999999</v>
      </c>
      <c r="J26" s="169">
        <f>'Investment in WC budget'!E16</f>
        <v>33338.933333333334</v>
      </c>
      <c r="K26" s="169">
        <f>'Investment in WC budget'!F16</f>
        <v>37567.14</v>
      </c>
      <c r="L26" s="169">
        <f>'Investment in WC budget'!G16</f>
        <v>71343.254000000001</v>
      </c>
      <c r="M26" s="169">
        <f>'Investment in WC budget'!H16</f>
        <v>83721.955916666644</v>
      </c>
      <c r="N26" s="169">
        <f>'Investment in WC budget'!I16</f>
        <v>93218.691904506661</v>
      </c>
      <c r="P26" s="27"/>
    </row>
    <row r="27" spans="2:16" ht="15" customHeight="1">
      <c r="B27" s="131"/>
      <c r="C27" s="133"/>
      <c r="D27" s="133"/>
      <c r="E27" s="133"/>
      <c r="F27" s="133"/>
      <c r="G27" s="133"/>
      <c r="H27" s="140" t="s">
        <v>374</v>
      </c>
      <c r="I27" s="169">
        <v>0</v>
      </c>
      <c r="J27" s="183">
        <f>VAT!C39</f>
        <v>1004.8817984552879</v>
      </c>
      <c r="K27" s="183">
        <f>VAT!D39</f>
        <v>5113.226192967476</v>
      </c>
      <c r="L27" s="183">
        <f>VAT!E39</f>
        <v>8210.3580689634127</v>
      </c>
      <c r="M27" s="183">
        <f>VAT!F39</f>
        <v>11473.121318268981</v>
      </c>
      <c r="N27" s="183">
        <f>VAT!G39</f>
        <v>14936.560720979729</v>
      </c>
      <c r="P27" s="27"/>
    </row>
    <row r="28" spans="2:16" ht="15" customHeight="1">
      <c r="B28" s="131"/>
      <c r="C28" s="133"/>
      <c r="D28" s="133"/>
      <c r="E28" s="133"/>
      <c r="F28" s="133"/>
      <c r="G28" s="133"/>
      <c r="H28" s="140" t="s">
        <v>375</v>
      </c>
      <c r="I28" s="169">
        <f>'Investment in WC budget'!D18+'Investment in WC budget'!D17</f>
        <v>4017.2987499999999</v>
      </c>
      <c r="J28" s="170">
        <f>'Investment in WC budget'!E17+'Investment in WC budget'!E18</f>
        <v>6006.8525</v>
      </c>
      <c r="K28" s="170">
        <f>'Investment in WC budget'!F17+'Investment in WC budget'!F18+'Investment in WC budget'!F19</f>
        <v>6515.5524214744892</v>
      </c>
      <c r="L28" s="170">
        <f>'Investment in WC budget'!G17+'Investment in WC budget'!G18+'Investment in WC budget'!G19</f>
        <v>12224.883560863933</v>
      </c>
      <c r="M28" s="170">
        <f>'Investment in WC budget'!H17+'Investment in WC budget'!H18+'Investment in WC budget'!H19</f>
        <v>26683.582821374497</v>
      </c>
      <c r="N28" s="170">
        <f>'Investment in WC budget'!I17+'Investment in WC budget'!I18+'Investment in WC budget'!I19</f>
        <v>44751.185985949029</v>
      </c>
      <c r="P28" s="27"/>
    </row>
    <row r="29" spans="2:16" ht="15" customHeight="1">
      <c r="B29" s="131"/>
      <c r="C29" s="133"/>
      <c r="D29" s="133"/>
      <c r="E29" s="133"/>
      <c r="F29" s="133"/>
      <c r="G29" s="133"/>
      <c r="H29" s="154" t="s">
        <v>376</v>
      </c>
      <c r="I29" s="169">
        <f>SUM(I26:I28)</f>
        <v>19102.866750000001</v>
      </c>
      <c r="J29" s="169">
        <f t="shared" ref="J29:N29" si="5">SUM(J25:J28)</f>
        <v>40350.667631788623</v>
      </c>
      <c r="K29" s="169">
        <f t="shared" si="5"/>
        <v>49195.918614441965</v>
      </c>
      <c r="L29" s="169">
        <f t="shared" si="5"/>
        <v>91778.495629827346</v>
      </c>
      <c r="M29" s="169">
        <f t="shared" si="5"/>
        <v>121878.66005631012</v>
      </c>
      <c r="N29" s="169">
        <f t="shared" si="5"/>
        <v>152906.43861143541</v>
      </c>
      <c r="P29" s="27"/>
    </row>
    <row r="30" spans="2:16" ht="15" customHeight="1">
      <c r="B30" s="131"/>
      <c r="C30" s="133"/>
      <c r="D30" s="133"/>
      <c r="E30" s="133"/>
      <c r="F30" s="133"/>
      <c r="G30" s="133"/>
      <c r="H30" s="158" t="s">
        <v>377</v>
      </c>
      <c r="I30" s="182">
        <f t="shared" ref="I30:N30" si="6">I29+I24</f>
        <v>69102.866750000001</v>
      </c>
      <c r="J30" s="182">
        <f t="shared" si="6"/>
        <v>87850.677631788625</v>
      </c>
      <c r="K30" s="182">
        <f t="shared" si="6"/>
        <v>86695.968614441939</v>
      </c>
      <c r="L30" s="182">
        <f t="shared" si="6"/>
        <v>119278.5856298273</v>
      </c>
      <c r="M30" s="182">
        <f t="shared" si="6"/>
        <v>139378.79005631007</v>
      </c>
      <c r="N30" s="182">
        <f t="shared" si="6"/>
        <v>160406.60861143534</v>
      </c>
      <c r="P30" s="440"/>
    </row>
    <row r="31" spans="2:16" ht="15" customHeight="1">
      <c r="B31" s="131"/>
      <c r="C31" s="133"/>
      <c r="D31" s="133"/>
      <c r="E31" s="133"/>
      <c r="F31" s="133"/>
      <c r="G31" s="133"/>
      <c r="H31" s="154" t="s">
        <v>378</v>
      </c>
      <c r="I31" s="184">
        <f t="shared" ref="I31:N31" si="7">I30+I20</f>
        <v>114879.32335000001</v>
      </c>
      <c r="J31" s="184">
        <f t="shared" si="7"/>
        <v>96005.02442814027</v>
      </c>
      <c r="K31" s="184">
        <f t="shared" si="7"/>
        <v>96490.254760802825</v>
      </c>
      <c r="L31" s="185">
        <f t="shared" si="7"/>
        <v>150593.83594867797</v>
      </c>
      <c r="M31" s="184">
        <f t="shared" si="7"/>
        <v>239418.96979230252</v>
      </c>
      <c r="N31" s="184">
        <f t="shared" si="7"/>
        <v>387968.32663835806</v>
      </c>
    </row>
    <row r="32" spans="2:16" ht="15" customHeight="1">
      <c r="B32" s="131"/>
      <c r="C32" s="133"/>
      <c r="D32" s="133"/>
      <c r="E32" s="133"/>
      <c r="F32" s="133"/>
      <c r="G32" s="133"/>
      <c r="H32" s="140" t="s">
        <v>379</v>
      </c>
      <c r="I32" s="169">
        <f t="shared" ref="I32:N32" si="8">I13-I31</f>
        <v>0</v>
      </c>
      <c r="J32" s="169">
        <f t="shared" si="8"/>
        <v>3.8487800338771194E-4</v>
      </c>
      <c r="K32" s="169">
        <f t="shared" si="8"/>
        <v>2.2403659240808338E-3</v>
      </c>
      <c r="L32" s="169">
        <f t="shared" si="8"/>
        <v>-4.5474889047909528E-3</v>
      </c>
      <c r="M32" s="169">
        <f t="shared" si="8"/>
        <v>-3.4442639152985066E-3</v>
      </c>
      <c r="N32" s="169">
        <f t="shared" si="8"/>
        <v>3.1882837065495551E-3</v>
      </c>
    </row>
    <row r="33" spans="2:11" ht="15" customHeight="1">
      <c r="B33" s="131"/>
      <c r="C33" s="133"/>
      <c r="D33" s="133"/>
      <c r="E33" s="133"/>
      <c r="F33" s="133"/>
      <c r="G33" s="133"/>
      <c r="H33" s="131"/>
      <c r="I33" s="131"/>
      <c r="J33" s="131"/>
      <c r="K33" s="131"/>
    </row>
    <row r="34" spans="2:11" ht="15" customHeight="1">
      <c r="B34" s="131"/>
      <c r="C34" s="133"/>
      <c r="D34" s="133"/>
      <c r="E34" s="133"/>
      <c r="F34" s="133"/>
      <c r="G34" s="133"/>
      <c r="H34" s="131"/>
      <c r="I34" s="131"/>
      <c r="J34" s="131"/>
      <c r="K34" s="131"/>
    </row>
    <row r="35" spans="2:11" ht="15" customHeight="1">
      <c r="B35" s="131"/>
      <c r="C35" s="133"/>
      <c r="D35" s="133"/>
      <c r="E35" s="133"/>
      <c r="F35" s="133"/>
      <c r="G35" s="133"/>
      <c r="H35" s="131"/>
      <c r="I35" s="131"/>
      <c r="J35" s="131"/>
      <c r="K35" s="131"/>
    </row>
    <row r="36" spans="2:11" ht="15" customHeight="1">
      <c r="B36" s="131"/>
      <c r="C36" s="133"/>
      <c r="D36" s="133"/>
      <c r="E36" s="133"/>
      <c r="F36" s="133"/>
      <c r="G36" s="133"/>
      <c r="H36" s="131"/>
      <c r="I36" s="131"/>
      <c r="J36" s="131"/>
      <c r="K36" s="131"/>
    </row>
    <row r="37" spans="2:11" ht="15" customHeight="1">
      <c r="B37" s="132"/>
      <c r="C37" s="133"/>
      <c r="D37" s="133"/>
      <c r="E37" s="133"/>
      <c r="F37" s="133"/>
      <c r="G37" s="133"/>
      <c r="H37" s="131"/>
      <c r="I37" s="131"/>
      <c r="J37" s="131"/>
      <c r="K37" s="131"/>
    </row>
    <row r="38" spans="2:11" ht="15" customHeight="1">
      <c r="B38" s="131"/>
      <c r="C38" s="133"/>
      <c r="D38" s="133"/>
      <c r="E38" s="133"/>
      <c r="F38" s="133"/>
      <c r="G38" s="133"/>
      <c r="H38" s="131"/>
      <c r="I38" s="131"/>
      <c r="J38" s="131"/>
      <c r="K38" s="131"/>
    </row>
    <row r="39" spans="2:11" ht="15" customHeight="1">
      <c r="B39" s="132"/>
      <c r="C39" s="133"/>
      <c r="D39" s="133"/>
      <c r="E39" s="133"/>
      <c r="F39" s="133"/>
      <c r="G39" s="133"/>
      <c r="H39" s="10"/>
      <c r="I39" s="131"/>
      <c r="J39" s="131"/>
      <c r="K39" s="131"/>
    </row>
    <row r="40" spans="2:11" ht="15" customHeight="1">
      <c r="B40" s="131"/>
      <c r="C40" s="133"/>
      <c r="D40" s="133"/>
      <c r="E40" s="133"/>
      <c r="F40" s="133"/>
      <c r="G40" s="133"/>
      <c r="H40" s="131"/>
      <c r="I40" s="131"/>
      <c r="J40" s="131"/>
      <c r="K40" s="131"/>
    </row>
    <row r="41" spans="2:11" ht="15" customHeight="1">
      <c r="B41" s="131"/>
      <c r="C41" s="133"/>
      <c r="D41" s="133"/>
      <c r="E41" s="133"/>
      <c r="F41" s="133"/>
      <c r="G41" s="133"/>
      <c r="H41" s="131"/>
      <c r="I41" s="131"/>
      <c r="J41" s="131"/>
      <c r="K41" s="131"/>
    </row>
    <row r="42" spans="2:11" ht="15" customHeight="1">
      <c r="B42" s="131"/>
      <c r="C42" s="133"/>
      <c r="D42" s="133"/>
      <c r="E42" s="133"/>
      <c r="F42" s="133"/>
      <c r="G42" s="133"/>
      <c r="H42" s="131"/>
      <c r="I42" s="131"/>
      <c r="J42" s="131"/>
      <c r="K42" s="131"/>
    </row>
    <row r="43" spans="2:11" ht="15" customHeight="1">
      <c r="B43" s="131"/>
      <c r="C43" s="133"/>
      <c r="D43" s="133"/>
      <c r="E43" s="133"/>
      <c r="F43" s="133"/>
      <c r="G43" s="133"/>
      <c r="H43" s="131"/>
      <c r="I43" s="131"/>
      <c r="J43" s="131"/>
      <c r="K43" s="131"/>
    </row>
    <row r="44" spans="2:11" ht="15" customHeight="1">
      <c r="B44" s="131"/>
      <c r="C44" s="133"/>
      <c r="D44" s="133"/>
      <c r="E44" s="133"/>
      <c r="F44" s="133"/>
      <c r="G44" s="133"/>
      <c r="H44" s="131"/>
      <c r="I44" s="131"/>
      <c r="J44" s="131"/>
      <c r="K44" s="131"/>
    </row>
    <row r="45" spans="2:11" ht="15" customHeight="1">
      <c r="B45" s="131"/>
      <c r="C45" s="133"/>
      <c r="D45" s="133"/>
      <c r="E45" s="133"/>
      <c r="F45" s="133"/>
      <c r="G45" s="133"/>
      <c r="H45" s="131"/>
      <c r="I45" s="131"/>
      <c r="J45" s="131"/>
      <c r="K45" s="131"/>
    </row>
    <row r="46" spans="2:11" ht="15" customHeight="1">
      <c r="B46" s="131"/>
      <c r="C46" s="133"/>
      <c r="D46" s="133"/>
      <c r="E46" s="133"/>
      <c r="F46" s="133"/>
      <c r="G46" s="133"/>
      <c r="H46" s="131"/>
      <c r="I46" s="131"/>
      <c r="J46" s="131"/>
      <c r="K46" s="131"/>
    </row>
    <row r="47" spans="2:11" ht="15" customHeight="1">
      <c r="B47" s="131"/>
      <c r="C47" s="133"/>
      <c r="D47" s="133"/>
      <c r="E47" s="133"/>
      <c r="F47" s="133"/>
      <c r="G47" s="133"/>
      <c r="H47" s="131"/>
      <c r="I47" s="131"/>
      <c r="J47" s="131"/>
      <c r="K47" s="131"/>
    </row>
    <row r="48" spans="2:11" ht="15" customHeight="1">
      <c r="B48" s="131"/>
      <c r="C48" s="133"/>
      <c r="D48" s="133"/>
      <c r="E48" s="133"/>
      <c r="F48" s="133"/>
      <c r="G48" s="133"/>
      <c r="H48" s="131"/>
      <c r="I48" s="131"/>
      <c r="J48" s="131"/>
      <c r="K48" s="131"/>
    </row>
    <row r="49" spans="2:11" ht="15" customHeight="1">
      <c r="B49" s="131"/>
      <c r="C49" s="133"/>
      <c r="D49" s="133"/>
      <c r="E49" s="133"/>
      <c r="F49" s="133"/>
      <c r="G49" s="133"/>
      <c r="H49" s="131"/>
      <c r="I49" s="131"/>
      <c r="J49" s="131"/>
      <c r="K49" s="131"/>
    </row>
    <row r="50" spans="2:11" ht="15" customHeight="1">
      <c r="B50" s="131"/>
      <c r="C50" s="133"/>
      <c r="D50" s="133"/>
      <c r="E50" s="133"/>
      <c r="F50" s="133"/>
      <c r="G50" s="133"/>
      <c r="H50" s="131"/>
      <c r="I50" s="131"/>
      <c r="J50" s="131"/>
      <c r="K50" s="131"/>
    </row>
    <row r="51" spans="2:11" ht="15" customHeight="1">
      <c r="B51" s="131"/>
      <c r="C51" s="133"/>
      <c r="D51" s="133"/>
      <c r="E51" s="133"/>
      <c r="F51" s="133"/>
      <c r="G51" s="133"/>
      <c r="H51" s="131"/>
      <c r="I51" s="131"/>
      <c r="J51" s="131"/>
      <c r="K51" s="131"/>
    </row>
    <row r="52" spans="2:11" ht="15" customHeight="1">
      <c r="B52" s="131"/>
      <c r="C52" s="133"/>
      <c r="D52" s="133"/>
      <c r="E52" s="133"/>
      <c r="F52" s="133"/>
      <c r="G52" s="133"/>
      <c r="H52" s="131"/>
      <c r="I52" s="131"/>
      <c r="J52" s="131"/>
      <c r="K52" s="131"/>
    </row>
    <row r="53" spans="2:11" ht="15" customHeight="1">
      <c r="B53" s="131"/>
      <c r="C53" s="133"/>
      <c r="D53" s="133"/>
      <c r="E53" s="133"/>
      <c r="F53" s="133"/>
      <c r="G53" s="133"/>
      <c r="H53" s="131"/>
      <c r="I53" s="131"/>
      <c r="J53" s="131"/>
      <c r="K53" s="131"/>
    </row>
    <row r="54" spans="2:11" ht="15" customHeight="1">
      <c r="B54" s="131"/>
      <c r="C54" s="133"/>
      <c r="D54" s="133"/>
      <c r="E54" s="133"/>
      <c r="F54" s="133"/>
      <c r="G54" s="133"/>
      <c r="H54" s="131"/>
      <c r="I54" s="131"/>
      <c r="J54" s="131"/>
      <c r="K54" s="131"/>
    </row>
    <row r="55" spans="2:11" ht="15" customHeight="1">
      <c r="B55" s="132"/>
      <c r="C55" s="133"/>
      <c r="D55" s="133"/>
      <c r="E55" s="133"/>
      <c r="F55" s="133"/>
      <c r="G55" s="133"/>
      <c r="H55" s="131"/>
      <c r="I55" s="131"/>
      <c r="J55" s="131"/>
      <c r="K55" s="131"/>
    </row>
    <row r="56" spans="2:11" ht="15" customHeight="1">
      <c r="B56" s="131"/>
      <c r="C56" s="133"/>
      <c r="D56" s="133"/>
      <c r="E56" s="133"/>
      <c r="F56" s="133"/>
      <c r="G56" s="133"/>
      <c r="H56" s="131"/>
      <c r="I56" s="131"/>
      <c r="J56" s="131"/>
      <c r="K56" s="131"/>
    </row>
    <row r="57" spans="2:11" ht="15" customHeight="1">
      <c r="B57" s="132"/>
      <c r="C57" s="133"/>
      <c r="D57" s="133"/>
      <c r="E57" s="133"/>
      <c r="F57" s="133"/>
      <c r="G57" s="133"/>
      <c r="H57" s="131"/>
      <c r="I57" s="131"/>
      <c r="J57" s="131"/>
      <c r="K57" s="131"/>
    </row>
    <row r="58" spans="2:11" ht="15" customHeight="1">
      <c r="B58" s="131"/>
      <c r="C58" s="133"/>
      <c r="D58" s="133"/>
      <c r="E58" s="133"/>
      <c r="F58" s="133"/>
      <c r="G58" s="133"/>
      <c r="H58" s="131"/>
      <c r="I58" s="131"/>
      <c r="J58" s="131"/>
      <c r="K58" s="131"/>
    </row>
    <row r="59" spans="2:11" ht="15" customHeight="1">
      <c r="B59" s="131"/>
      <c r="C59" s="133"/>
      <c r="D59" s="133"/>
      <c r="E59" s="133"/>
      <c r="F59" s="133"/>
      <c r="G59" s="133"/>
      <c r="H59" s="131"/>
      <c r="I59" s="131"/>
      <c r="J59" s="131"/>
      <c r="K59" s="131"/>
    </row>
    <row r="60" spans="2:11" ht="15" customHeight="1">
      <c r="B60" s="131"/>
      <c r="C60" s="133"/>
      <c r="D60" s="133"/>
      <c r="E60" s="133"/>
      <c r="F60" s="133"/>
      <c r="G60" s="133"/>
      <c r="H60" s="131"/>
      <c r="I60" s="131"/>
      <c r="J60" s="131"/>
      <c r="K60" s="131"/>
    </row>
    <row r="61" spans="2:11" ht="15" customHeight="1">
      <c r="B61" s="131"/>
      <c r="C61" s="133"/>
      <c r="D61" s="133"/>
      <c r="E61" s="133"/>
      <c r="F61" s="133"/>
      <c r="G61" s="133"/>
      <c r="H61" s="131"/>
      <c r="I61" s="131"/>
      <c r="J61" s="131"/>
      <c r="K61" s="131"/>
    </row>
    <row r="62" spans="2:11" ht="15" customHeight="1">
      <c r="B62" s="131"/>
      <c r="C62" s="133"/>
      <c r="D62" s="133"/>
      <c r="E62" s="133"/>
      <c r="F62" s="133"/>
      <c r="G62" s="133"/>
      <c r="H62" s="131"/>
      <c r="I62" s="131"/>
      <c r="J62" s="131"/>
      <c r="K62" s="131"/>
    </row>
    <row r="63" spans="2:11" ht="15" customHeight="1">
      <c r="B63" s="131"/>
      <c r="C63" s="133"/>
      <c r="D63" s="133"/>
      <c r="E63" s="133"/>
      <c r="F63" s="133"/>
      <c r="G63" s="133"/>
      <c r="H63" s="131"/>
      <c r="I63" s="131"/>
      <c r="J63" s="131"/>
      <c r="K63" s="131"/>
    </row>
    <row r="64" spans="2:11" ht="15" customHeight="1">
      <c r="B64" s="131"/>
      <c r="C64" s="133"/>
      <c r="D64" s="133"/>
      <c r="E64" s="133"/>
      <c r="F64" s="133"/>
      <c r="G64" s="133"/>
      <c r="H64" s="131"/>
      <c r="I64" s="131"/>
      <c r="J64" s="131"/>
      <c r="K64" s="131"/>
    </row>
    <row r="65" spans="2:11" ht="15" customHeight="1">
      <c r="B65" s="131"/>
      <c r="C65" s="133"/>
      <c r="D65" s="133"/>
      <c r="E65" s="133"/>
      <c r="F65" s="133"/>
      <c r="G65" s="133"/>
      <c r="H65" s="131"/>
      <c r="I65" s="131"/>
      <c r="J65" s="131"/>
      <c r="K65" s="131"/>
    </row>
    <row r="66" spans="2:11" ht="15" customHeight="1">
      <c r="B66" s="131"/>
      <c r="C66" s="133"/>
      <c r="D66" s="133"/>
      <c r="E66" s="133"/>
      <c r="F66" s="133"/>
      <c r="G66" s="133"/>
      <c r="H66" s="131"/>
      <c r="I66" s="131"/>
      <c r="J66" s="131"/>
      <c r="K66" s="131"/>
    </row>
    <row r="67" spans="2:11" ht="15" customHeight="1">
      <c r="B67" s="131"/>
      <c r="C67" s="133"/>
      <c r="D67" s="133"/>
      <c r="E67" s="133"/>
      <c r="F67" s="133"/>
      <c r="G67" s="133"/>
      <c r="H67" s="131"/>
      <c r="I67" s="131"/>
      <c r="J67" s="131"/>
      <c r="K67" s="131"/>
    </row>
    <row r="68" spans="2:11" ht="15" customHeight="1">
      <c r="B68" s="131"/>
      <c r="C68" s="133"/>
      <c r="D68" s="133"/>
      <c r="E68" s="133"/>
      <c r="F68" s="133"/>
      <c r="G68" s="133"/>
      <c r="H68" s="131"/>
      <c r="I68" s="131"/>
      <c r="J68" s="131"/>
      <c r="K68" s="131"/>
    </row>
    <row r="69" spans="2:11" ht="15" customHeight="1">
      <c r="B69" s="131"/>
      <c r="C69" s="133"/>
      <c r="D69" s="133"/>
      <c r="E69" s="133"/>
      <c r="F69" s="133"/>
      <c r="G69" s="133"/>
      <c r="H69" s="131"/>
      <c r="I69" s="131"/>
      <c r="J69" s="131"/>
      <c r="K69" s="131"/>
    </row>
    <row r="70" spans="2:11" ht="15" customHeight="1">
      <c r="B70" s="131"/>
      <c r="C70" s="133"/>
      <c r="D70" s="133"/>
      <c r="E70" s="133"/>
      <c r="F70" s="133"/>
      <c r="G70" s="133"/>
      <c r="H70" s="131"/>
      <c r="I70" s="131"/>
      <c r="J70" s="131"/>
      <c r="K70" s="131"/>
    </row>
    <row r="71" spans="2:11" ht="15" customHeight="1">
      <c r="B71" s="131"/>
      <c r="C71" s="133"/>
      <c r="D71" s="133"/>
      <c r="E71" s="133"/>
      <c r="F71" s="133"/>
      <c r="G71" s="133"/>
      <c r="H71" s="131"/>
      <c r="I71" s="131"/>
      <c r="J71" s="131"/>
      <c r="K71" s="131"/>
    </row>
    <row r="72" spans="2:11" ht="15" customHeight="1">
      <c r="B72" s="131"/>
      <c r="C72" s="133"/>
      <c r="D72" s="133"/>
      <c r="E72" s="133"/>
      <c r="F72" s="133"/>
      <c r="G72" s="133"/>
      <c r="H72" s="131"/>
      <c r="I72" s="131"/>
      <c r="J72" s="131"/>
      <c r="K72" s="131"/>
    </row>
    <row r="73" spans="2:11" ht="15" customHeight="1">
      <c r="B73" s="131"/>
      <c r="C73" s="133"/>
      <c r="D73" s="133"/>
      <c r="E73" s="133"/>
      <c r="F73" s="133"/>
      <c r="G73" s="133"/>
      <c r="H73" s="131"/>
      <c r="I73" s="131"/>
      <c r="J73" s="131"/>
      <c r="K73" s="131"/>
    </row>
    <row r="74" spans="2:11" ht="15" customHeight="1">
      <c r="B74" s="131"/>
      <c r="C74" s="133"/>
      <c r="D74" s="133"/>
      <c r="E74" s="133"/>
      <c r="F74" s="133"/>
      <c r="G74" s="133"/>
      <c r="H74" s="131"/>
      <c r="I74" s="131"/>
      <c r="J74" s="131"/>
      <c r="K74" s="131"/>
    </row>
    <row r="75" spans="2:11" ht="15" customHeight="1">
      <c r="B75" s="131"/>
      <c r="C75" s="133"/>
      <c r="D75" s="133"/>
      <c r="E75" s="133"/>
      <c r="F75" s="133"/>
      <c r="G75" s="133"/>
      <c r="H75" s="131"/>
      <c r="I75" s="131"/>
      <c r="J75" s="131"/>
      <c r="K75" s="131"/>
    </row>
    <row r="76" spans="2:11" ht="15" customHeight="1">
      <c r="B76" s="131"/>
      <c r="C76" s="133"/>
      <c r="D76" s="133"/>
      <c r="E76" s="133"/>
      <c r="F76" s="133"/>
      <c r="G76" s="133"/>
      <c r="H76" s="131"/>
      <c r="I76" s="131"/>
      <c r="J76" s="131"/>
      <c r="K76" s="131"/>
    </row>
    <row r="77" spans="2:11" ht="15" customHeight="1">
      <c r="B77" s="132"/>
      <c r="C77" s="133"/>
      <c r="D77" s="133"/>
      <c r="E77" s="133"/>
      <c r="F77" s="133"/>
      <c r="G77" s="133"/>
      <c r="H77" s="131"/>
      <c r="I77" s="131"/>
      <c r="J77" s="131"/>
      <c r="K77" s="131"/>
    </row>
    <row r="78" spans="2:11" ht="15" customHeight="1">
      <c r="B78" s="132"/>
      <c r="C78" s="133"/>
      <c r="D78" s="133"/>
      <c r="E78" s="133"/>
      <c r="F78" s="133"/>
      <c r="G78" s="133"/>
      <c r="H78" s="131"/>
      <c r="I78" s="131"/>
      <c r="J78" s="131"/>
      <c r="K78" s="131"/>
    </row>
    <row r="79" spans="2:11">
      <c r="B79" s="131"/>
      <c r="C79" s="133"/>
      <c r="D79" s="133"/>
      <c r="E79" s="133"/>
      <c r="F79" s="133"/>
      <c r="G79" s="133"/>
      <c r="H79" s="131"/>
      <c r="I79" s="131"/>
      <c r="J79" s="131"/>
      <c r="K79" s="131"/>
    </row>
    <row r="80" spans="2:11">
      <c r="B80" s="131"/>
      <c r="C80" s="133"/>
      <c r="D80" s="133"/>
      <c r="E80" s="133"/>
      <c r="F80" s="133"/>
      <c r="G80" s="133"/>
      <c r="H80" s="131"/>
      <c r="I80" s="131"/>
      <c r="J80" s="131"/>
      <c r="K80" s="131"/>
    </row>
    <row r="81" spans="2:11">
      <c r="B81" s="131"/>
      <c r="C81" s="133"/>
      <c r="D81" s="133"/>
      <c r="E81" s="133"/>
      <c r="F81" s="133"/>
      <c r="G81" s="133"/>
      <c r="H81" s="131"/>
      <c r="I81" s="131"/>
      <c r="J81" s="131"/>
      <c r="K81" s="131"/>
    </row>
    <row r="82" spans="2:11">
      <c r="B82" s="131"/>
      <c r="C82" s="133"/>
      <c r="D82" s="133"/>
      <c r="E82" s="133"/>
      <c r="F82" s="133"/>
      <c r="G82" s="133"/>
      <c r="H82" s="131"/>
      <c r="I82" s="131"/>
      <c r="J82" s="131"/>
      <c r="K82" s="131"/>
    </row>
    <row r="83" spans="2:11">
      <c r="B83" s="131"/>
      <c r="C83" s="133"/>
      <c r="D83" s="133"/>
      <c r="E83" s="133"/>
      <c r="F83" s="133"/>
      <c r="G83" s="133"/>
      <c r="H83" s="131"/>
      <c r="I83" s="131"/>
      <c r="J83" s="131"/>
      <c r="K83" s="131"/>
    </row>
    <row r="84" spans="2:11">
      <c r="B84" s="131"/>
      <c r="C84" s="133"/>
      <c r="D84" s="133"/>
      <c r="E84" s="133"/>
      <c r="F84" s="133"/>
      <c r="G84" s="1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E9FD-0C84-E74F-B11B-B0C9A38942C9}">
  <dimension ref="A1:G39"/>
  <sheetViews>
    <sheetView workbookViewId="0">
      <selection activeCell="K19" sqref="K19"/>
    </sheetView>
  </sheetViews>
  <sheetFormatPr baseColWidth="10" defaultColWidth="11" defaultRowHeight="16"/>
  <cols>
    <col min="1" max="1" width="43.33203125" customWidth="1"/>
    <col min="3" max="4" width="11.6640625" bestFit="1" customWidth="1"/>
  </cols>
  <sheetData>
    <row r="1" spans="1:6">
      <c r="A1" s="330" t="s">
        <v>380</v>
      </c>
      <c r="B1" s="330"/>
      <c r="C1" s="330"/>
      <c r="D1" s="330"/>
      <c r="E1" s="330"/>
      <c r="F1" s="330"/>
    </row>
    <row r="2" spans="1:6">
      <c r="A2" s="225" t="s">
        <v>381</v>
      </c>
      <c r="B2" s="336">
        <v>2022</v>
      </c>
      <c r="C2" s="336">
        <v>2023</v>
      </c>
      <c r="D2" s="336">
        <v>2024</v>
      </c>
      <c r="E2" s="336">
        <v>2025</v>
      </c>
      <c r="F2" s="336">
        <v>2026</v>
      </c>
    </row>
    <row r="3" spans="1:6">
      <c r="A3" s="331" t="s">
        <v>382</v>
      </c>
      <c r="B3" s="142">
        <f>'Income Statement (Predicted)'!K2</f>
        <v>345730.92682926828</v>
      </c>
      <c r="C3" s="142">
        <f>'Income Statement (Predicted)'!L2</f>
        <v>412294.06504065043</v>
      </c>
      <c r="D3" s="142">
        <f>'Income Statement (Predicted)'!M2</f>
        <v>553864.91869918699</v>
      </c>
      <c r="E3" s="142">
        <f>'Income Statement (Predicted)'!N2</f>
        <v>687487.93495934957</v>
      </c>
      <c r="F3" s="142">
        <f>'Income Statement (Predicted)'!O2</f>
        <v>852405.56097560981</v>
      </c>
    </row>
    <row r="4" spans="1:6">
      <c r="A4" s="332" t="s">
        <v>383</v>
      </c>
      <c r="B4" s="74"/>
      <c r="C4" s="269">
        <f>(C3-B3)/B3</f>
        <v>0.19252873563218401</v>
      </c>
      <c r="D4" s="269">
        <f>(D3-C3)/C3</f>
        <v>0.34337349397590355</v>
      </c>
      <c r="E4" s="269">
        <f>(E3-D3)/D3</f>
        <v>0.24125560538116589</v>
      </c>
      <c r="F4" s="269">
        <f>(F3-E3)/E3</f>
        <v>0.23988439306358394</v>
      </c>
    </row>
    <row r="5" spans="1:6">
      <c r="A5" s="331" t="s">
        <v>150</v>
      </c>
      <c r="B5" s="142">
        <f>'Income Statement (Predicted)'!K2</f>
        <v>345730.92682926828</v>
      </c>
      <c r="C5" s="142">
        <f>'Income Statement (Predicted)'!L2</f>
        <v>412294.06504065043</v>
      </c>
      <c r="D5" s="142">
        <f>'Income Statement (Predicted)'!M2</f>
        <v>553864.91869918699</v>
      </c>
      <c r="E5" s="142">
        <f>'Income Statement (Predicted)'!N2</f>
        <v>687487.93495934957</v>
      </c>
      <c r="F5" s="142">
        <f>'Income Statement (Predicted)'!O2</f>
        <v>852405.56097560981</v>
      </c>
    </row>
    <row r="6" spans="1:6">
      <c r="A6" s="332" t="s">
        <v>384</v>
      </c>
      <c r="B6" s="74"/>
      <c r="C6" s="269">
        <f>(C5-B5)/B5</f>
        <v>0.19252873563218401</v>
      </c>
      <c r="D6" s="269">
        <f t="shared" ref="D6:F6" si="0">(D5-C5)/C5</f>
        <v>0.34337349397590355</v>
      </c>
      <c r="E6" s="269">
        <f t="shared" si="0"/>
        <v>0.24125560538116589</v>
      </c>
      <c r="F6" s="269">
        <f t="shared" si="0"/>
        <v>0.23988439306358394</v>
      </c>
    </row>
    <row r="7" spans="1:6">
      <c r="A7" s="333" t="s">
        <v>385</v>
      </c>
      <c r="B7" s="142">
        <f>'Financing options'!R19</f>
        <v>2489.5833749999997</v>
      </c>
      <c r="C7" s="142">
        <f>'Financing options'!S19</f>
        <v>2145.8347499999991</v>
      </c>
      <c r="D7" s="142">
        <f>'Financing options'!T19</f>
        <v>1645.8367499999983</v>
      </c>
      <c r="E7" s="142">
        <f>'Financing options'!U19</f>
        <v>1145.8387499999972</v>
      </c>
      <c r="F7" s="142">
        <f>'Financing options'!V19</f>
        <v>645.84074999999655</v>
      </c>
    </row>
    <row r="8" spans="1:6">
      <c r="A8" s="332" t="s">
        <v>386</v>
      </c>
      <c r="B8" s="74"/>
      <c r="C8" s="269">
        <f>(C7-B7)/B7</f>
        <v>-0.1380747591954018</v>
      </c>
      <c r="D8" s="269">
        <f t="shared" ref="D8:F8" si="1">(D7-C7)/C7</f>
        <v>-0.23300862286809407</v>
      </c>
      <c r="E8" s="269">
        <f t="shared" si="1"/>
        <v>-0.30379562250022774</v>
      </c>
      <c r="F8" s="269">
        <f t="shared" si="1"/>
        <v>-0.43635982811717777</v>
      </c>
    </row>
    <row r="9" spans="1:6">
      <c r="A9" s="109"/>
      <c r="B9" s="427"/>
      <c r="C9" s="427"/>
      <c r="D9" s="427"/>
      <c r="E9" s="427"/>
      <c r="F9" s="427"/>
    </row>
    <row r="10" spans="1:6">
      <c r="A10" s="441"/>
      <c r="B10" s="109"/>
      <c r="C10" s="442"/>
      <c r="D10" s="442"/>
      <c r="E10" s="442"/>
      <c r="F10" s="442"/>
    </row>
    <row r="11" spans="1:6">
      <c r="B11" s="116"/>
      <c r="C11" s="116"/>
      <c r="D11" s="116"/>
      <c r="E11" s="116"/>
      <c r="F11" s="116"/>
    </row>
    <row r="12" spans="1:6">
      <c r="B12" s="65"/>
      <c r="C12" s="65"/>
      <c r="D12" s="65"/>
      <c r="E12" s="65"/>
      <c r="F12" s="65"/>
    </row>
    <row r="14" spans="1:6">
      <c r="A14" s="330" t="s">
        <v>387</v>
      </c>
      <c r="B14" s="329"/>
      <c r="C14" s="329"/>
      <c r="D14" s="329"/>
      <c r="E14" s="329"/>
      <c r="F14" s="329"/>
    </row>
    <row r="15" spans="1:6">
      <c r="A15" s="225" t="s">
        <v>388</v>
      </c>
      <c r="B15" s="301">
        <v>2022</v>
      </c>
      <c r="C15" s="301">
        <v>2023</v>
      </c>
      <c r="D15" s="301">
        <v>2024</v>
      </c>
      <c r="E15" s="301">
        <v>2025</v>
      </c>
      <c r="F15" s="301">
        <v>2026</v>
      </c>
    </row>
    <row r="16" spans="1:6">
      <c r="A16" s="333" t="s">
        <v>389</v>
      </c>
      <c r="B16" s="334">
        <f>'Income Statement (Predicted)'!K6/'Income Statement (Predicted)'!K2</f>
        <v>0.32001868575646875</v>
      </c>
      <c r="C16" s="334">
        <f>'Income Statement (Predicted)'!L6/'Income Statement (Predicted)'!L2</f>
        <v>0.40975905152550163</v>
      </c>
      <c r="D16" s="334">
        <f>'Income Statement (Predicted)'!M6/'Income Statement (Predicted)'!M2</f>
        <v>0.42362645976973201</v>
      </c>
      <c r="E16" s="334">
        <f>'Income Statement (Predicted)'!N6/'Income Statement (Predicted)'!N2</f>
        <v>0.42864817253378323</v>
      </c>
      <c r="F16" s="334">
        <f>'Income Statement (Predicted)'!O6/'Income Statement (Predicted)'!O2</f>
        <v>0.43938860349514602</v>
      </c>
    </row>
    <row r="17" spans="1:7">
      <c r="A17" s="332" t="s">
        <v>390</v>
      </c>
      <c r="B17" s="334"/>
      <c r="C17" s="334">
        <f>(C16-B16)/B16</f>
        <v>0.28042226833380746</v>
      </c>
      <c r="D17" s="334">
        <f>(D16-C16)/C16</f>
        <v>3.3842835667944569E-2</v>
      </c>
      <c r="E17" s="334">
        <f>(E16-D16)/D16</f>
        <v>1.1854105540954273E-2</v>
      </c>
      <c r="F17" s="334">
        <f>(F16-E16)/E16</f>
        <v>2.5056518724610448E-2</v>
      </c>
    </row>
    <row r="18" spans="1:7">
      <c r="A18" s="333" t="s">
        <v>391</v>
      </c>
      <c r="B18" s="334">
        <f>'Income Statement (Predicted)'!K14/'Income Statement (Predicted)'!K2</f>
        <v>-0.15451871872538497</v>
      </c>
      <c r="C18" s="334">
        <f>'Income Statement (Predicted)'!L14/'Income Statement (Predicted)'!L2</f>
        <v>1.0045362582591094E-2</v>
      </c>
      <c r="D18" s="334">
        <f>'Income Statement (Predicted)'!M14/'Income Statement (Predicted)'!M2</f>
        <v>5.1903921687928879E-2</v>
      </c>
      <c r="E18" s="334">
        <f>'Income Statement (Predicted)'!N14/'Income Statement (Predicted)'!N2</f>
        <v>0.13069063211705031</v>
      </c>
      <c r="F18" s="334">
        <f>'Income Statement (Predicted)'!O14/'Income Statement (Predicted)'!O2</f>
        <v>0.19907785994225657</v>
      </c>
    </row>
    <row r="19" spans="1:7">
      <c r="A19" s="332" t="s">
        <v>392</v>
      </c>
      <c r="B19" s="334"/>
      <c r="C19" s="334">
        <f>(C18-B18)/ABS(B18)</f>
        <v>1.0650106515602422</v>
      </c>
      <c r="D19" s="334">
        <f>(D18-C18)/C18</f>
        <v>4.1669535331536851</v>
      </c>
      <c r="E19" s="334">
        <f>(E18-D18)/D18</f>
        <v>1.517933671810479</v>
      </c>
      <c r="F19" s="334">
        <f>(F18-E18)/E18</f>
        <v>0.52327566802153558</v>
      </c>
    </row>
    <row r="20" spans="1:7">
      <c r="A20" s="333" t="s">
        <v>393</v>
      </c>
      <c r="B20" s="334">
        <f>'Investment in WC budget'!E21/'Income Statement (Predicted)'!K2</f>
        <v>7.2725968794426887E-2</v>
      </c>
      <c r="C20" s="334">
        <f>'Investment in WC budget'!F21/'Income Statement (Predicted)'!L2</f>
        <v>8.9860563195980472E-2</v>
      </c>
      <c r="D20" s="334">
        <f>'Investment in WC budget'!G21/'Income Statement (Predicted)'!M2</f>
        <v>3.0110020988474488E-2</v>
      </c>
      <c r="E20" s="334">
        <f>'Investment in WC budget'!H21/'Income Statement (Predicted)'!N2</f>
        <v>8.1400649491627283E-3</v>
      </c>
      <c r="F20" s="334">
        <f>'Investment in WC budget'!I21/'Income Statement (Predicted)'!O2</f>
        <v>-4.1387151853522061E-3</v>
      </c>
    </row>
    <row r="21" spans="1:7">
      <c r="A21" s="300" t="s">
        <v>394</v>
      </c>
      <c r="B21" s="334"/>
      <c r="C21" s="334">
        <f>(C20-B20)/B20</f>
        <v>0.23560489719961816</v>
      </c>
      <c r="D21" s="334">
        <f>(D20-C20)/C20</f>
        <v>-0.66492508039587572</v>
      </c>
      <c r="E21" s="334">
        <f>(E20-D20)/D20</f>
        <v>-0.72965595233963532</v>
      </c>
      <c r="F21" s="334">
        <f>(F20-E20)/E20</f>
        <v>-1.5084376121320635</v>
      </c>
    </row>
    <row r="22" spans="1:7">
      <c r="A22" s="333" t="s">
        <v>552</v>
      </c>
      <c r="B22" s="335"/>
      <c r="C22" s="446">
        <f>('Income Statement (Predicted)'!L14 *(1-21%))/('Statement of Financial Position'!K20+'Statement of Financial Position'!K23)</f>
        <v>6.9181608878527562E-2</v>
      </c>
      <c r="D22" s="446">
        <f>('Income Statement (Predicted)'!M14 *(1-21%))/('Statement of Financial Position'!L20+'Statement of Financial Position'!L23)</f>
        <v>0.3861361909308807</v>
      </c>
      <c r="E22" s="446">
        <f>('Income Statement (Predicted)'!N14 *(1-21%))/('Statement of Financial Position'!M20+'Statement of Financial Position'!M23)</f>
        <v>0.60387882306630092</v>
      </c>
      <c r="F22" s="446">
        <f>('Income Statement (Predicted)'!O14 *(1-21%))/('Statement of Financial Position'!N20+'Statement of Financial Position'!N23)</f>
        <v>0.570314100180073</v>
      </c>
      <c r="G22" s="125"/>
    </row>
    <row r="23" spans="1:7">
      <c r="A23" s="332" t="s">
        <v>395</v>
      </c>
      <c r="B23" s="334"/>
      <c r="C23" s="334"/>
      <c r="D23" s="334">
        <f t="shared" ref="D23:F23" si="2">(D22-C22)/C22</f>
        <v>4.581486137578521</v>
      </c>
      <c r="E23" s="334">
        <f t="shared" si="2"/>
        <v>0.56390112413575</v>
      </c>
      <c r="F23" s="334">
        <f t="shared" si="2"/>
        <v>-5.5581884318772985E-2</v>
      </c>
      <c r="G23" s="125"/>
    </row>
    <row r="24" spans="1:7">
      <c r="A24" s="333" t="s">
        <v>396</v>
      </c>
      <c r="B24" s="447"/>
      <c r="C24" s="447">
        <f>'Income Statement (Predicted)'!L21/'Statement of Financial Position'!K20</f>
        <v>0.16743837432384664</v>
      </c>
      <c r="D24" s="447">
        <f>'Income Statement (Predicted)'!M21/'Statement of Financial Position'!L20</f>
        <v>0.68723589795272755</v>
      </c>
      <c r="E24" s="447">
        <f>'Income Statement (Predicted)'!N21/'Statement of Financial Position'!M20</f>
        <v>0.68697327012514298</v>
      </c>
      <c r="F24" s="447">
        <f>'Income Statement (Predicted)'!O21/'Statement of Financial Position'!N20</f>
        <v>0.57548249282550168</v>
      </c>
    </row>
    <row r="25" spans="1:7">
      <c r="A25" s="332" t="s">
        <v>397</v>
      </c>
      <c r="B25" s="389"/>
      <c r="C25" s="389"/>
      <c r="D25" s="389">
        <f>(D24-C24)/C24</f>
        <v>3.10441095554074</v>
      </c>
      <c r="E25" s="389">
        <f>(E24-D24)/D24</f>
        <v>-3.8215091552542402E-4</v>
      </c>
      <c r="F25" s="389">
        <f>(F24-E24)/E24</f>
        <v>-0.16229274434408708</v>
      </c>
    </row>
    <row r="26" spans="1:7">
      <c r="B26" s="294"/>
      <c r="C26" s="294"/>
      <c r="D26" s="294"/>
      <c r="E26" s="294"/>
      <c r="F26" s="294"/>
    </row>
    <row r="27" spans="1:7">
      <c r="A27" s="229" t="s">
        <v>398</v>
      </c>
      <c r="B27" s="327">
        <v>2022</v>
      </c>
      <c r="C27" s="327">
        <v>2023</v>
      </c>
      <c r="D27" s="327">
        <v>2024</v>
      </c>
      <c r="E27" s="327">
        <v>2025</v>
      </c>
      <c r="F27" s="327">
        <v>2026</v>
      </c>
    </row>
    <row r="28" spans="1:7">
      <c r="A28" s="299" t="s">
        <v>399</v>
      </c>
      <c r="B28" s="335">
        <f>'Statement of Financial Position'!J24/'Statement of Financial Position'!J20</f>
        <v>5.8251152650574145</v>
      </c>
      <c r="C28" s="335">
        <f>'Statement of Financial Position'!K24/'Statement of Financial Position'!K20</f>
        <v>3.8287680632991616</v>
      </c>
      <c r="D28" s="335">
        <f>'Statement of Financial Position'!L24/'Statement of Financial Position'!L20</f>
        <v>0.87816925363824694</v>
      </c>
      <c r="E28" s="335">
        <f>'Statement of Financial Position'!M24/'Statement of Financial Position'!M20</f>
        <v>0.17493101318073437</v>
      </c>
      <c r="F28" s="335">
        <f>'Statement of Financial Position'!N24/'Statement of Financial Position'!N20</f>
        <v>3.2958838881294562E-2</v>
      </c>
    </row>
    <row r="29" spans="1:7">
      <c r="A29" s="300" t="s">
        <v>400</v>
      </c>
      <c r="B29" s="334"/>
      <c r="C29" s="334">
        <f>(C28-B28)/B28</f>
        <v>-0.34271376804053272</v>
      </c>
      <c r="D29" s="334">
        <f>(D28-C28)/C28</f>
        <v>-0.77063921367920396</v>
      </c>
      <c r="E29" s="334">
        <f>(E28-D28)/D28</f>
        <v>-0.80080034406124245</v>
      </c>
      <c r="F29" s="334">
        <f>(F28-E28)/E28</f>
        <v>-0.81158950444514777</v>
      </c>
    </row>
    <row r="30" spans="1:7">
      <c r="A30" s="299" t="s">
        <v>401</v>
      </c>
      <c r="B30" s="335">
        <f>'Statement of Financial Position'!J24/'Statement of Financial Position'!J12</f>
        <v>0.56040139799218813</v>
      </c>
      <c r="C30" s="335">
        <f>'Statement of Financial Position'!K24/'Statement of Financial Position'!K12</f>
        <v>0.42793332621468583</v>
      </c>
      <c r="D30" s="335">
        <f>'Statement of Financial Position'!L24/'Statement of Financial Position'!L12</f>
        <v>0.19636329503239749</v>
      </c>
      <c r="E30" s="335">
        <f>'Statement of Financial Position'!M24/'Statement of Financial Position'!M12</f>
        <v>7.5799385311192027E-2</v>
      </c>
      <c r="F30" s="335">
        <f>'Statement of Financial Position'!N24/'Statement of Financial Position'!N12</f>
        <v>1.9663508376998911E-2</v>
      </c>
    </row>
    <row r="31" spans="1:7">
      <c r="A31" s="300" t="s">
        <v>402</v>
      </c>
      <c r="B31" s="334"/>
      <c r="C31" s="334">
        <f>(C30-B30)/B30</f>
        <v>-0.23638069471651973</v>
      </c>
      <c r="D31" s="334">
        <f>(D30-C30)/C30</f>
        <v>-0.54113577278651614</v>
      </c>
      <c r="E31" s="334">
        <f>(E30-D30)/D30</f>
        <v>-0.61398394084451435</v>
      </c>
      <c r="F31" s="334">
        <f>(F30-E30)/E30</f>
        <v>-0.7405848570371516</v>
      </c>
    </row>
    <row r="32" spans="1:7">
      <c r="B32" s="294"/>
      <c r="C32" s="294"/>
      <c r="D32" s="294"/>
      <c r="E32" s="294"/>
      <c r="F32" s="294"/>
    </row>
    <row r="33" spans="1:6">
      <c r="B33" s="294"/>
      <c r="C33" s="294"/>
      <c r="D33" s="294"/>
      <c r="E33" s="294"/>
      <c r="F33" s="294"/>
    </row>
    <row r="34" spans="1:6">
      <c r="B34" s="294"/>
      <c r="C34" s="294"/>
      <c r="D34" s="294"/>
      <c r="E34" s="294"/>
      <c r="F34" s="294"/>
    </row>
    <row r="35" spans="1:6">
      <c r="A35" s="328" t="s">
        <v>403</v>
      </c>
      <c r="B35" s="327">
        <v>2022</v>
      </c>
      <c r="C35" s="327">
        <v>2023</v>
      </c>
      <c r="D35" s="327">
        <v>2024</v>
      </c>
      <c r="E35" s="327">
        <v>2025</v>
      </c>
      <c r="F35" s="327">
        <v>2026</v>
      </c>
    </row>
    <row r="36" spans="1:6">
      <c r="A36" s="299" t="s">
        <v>404</v>
      </c>
      <c r="B36" s="335">
        <f>'Statement of Financial Position'!J12/'Statement of Financial Position'!J29</f>
        <v>2.1006019591336256</v>
      </c>
      <c r="C36" s="335">
        <f>'Statement of Financial Position'!K12/'Statement of Financial Position'!K29</f>
        <v>1.7812573238296483</v>
      </c>
      <c r="D36" s="335">
        <f>'Statement of Financial Position'!L12/'Statement of Financial Position'!L29</f>
        <v>1.5259238790828629</v>
      </c>
      <c r="E36" s="335">
        <f>'Statement of Financial Position'!M12/'Statement of Financial Position'!M29</f>
        <v>1.8942963401033772</v>
      </c>
      <c r="F36" s="335">
        <f>'Statement of Financial Position'!N12/'Statement of Financial Position'!N29</f>
        <v>2.494504700328009</v>
      </c>
    </row>
    <row r="37" spans="1:6">
      <c r="A37" s="300" t="s">
        <v>405</v>
      </c>
      <c r="B37" s="334"/>
      <c r="C37" s="334">
        <f>(C36-B36)/B36</f>
        <v>-0.15202529632776698</v>
      </c>
      <c r="D37" s="334">
        <f>(D36-C36)/C36</f>
        <v>-0.14334450240902105</v>
      </c>
      <c r="E37" s="334">
        <f>(E36-D36)/D36</f>
        <v>0.24140946089782667</v>
      </c>
      <c r="F37" s="334">
        <f>(F36-E36)/E36</f>
        <v>0.31685029819139948</v>
      </c>
    </row>
    <row r="38" spans="1:6">
      <c r="A38" s="299" t="s">
        <v>406</v>
      </c>
      <c r="B38" s="335">
        <f>('Statement of Financial Position'!J12-'Statement of Financial Position'!J8)/'Statement of Financial Position'!J29</f>
        <v>0.76307960405164887</v>
      </c>
      <c r="C38" s="335">
        <f>('Statement of Financial Position'!K12-'Statement of Financial Position'!K8)/'Statement of Financial Position'!K29</f>
        <v>0.30752206200416105</v>
      </c>
      <c r="D38" s="335">
        <f>('Statement of Financial Position'!L12-'Statement of Financial Position'!L8)/'Statement of Financial Position'!L29</f>
        <v>0.54537592629257048</v>
      </c>
      <c r="E38" s="335">
        <f>('Statement of Financial Position'!M12-'Statement of Financial Position'!M8)/'Statement of Financial Position'!M29</f>
        <v>1.0364054513153642</v>
      </c>
      <c r="F38" s="335">
        <f>('Statement of Financial Position'!N12-'Statement of Financial Position'!N8)/'Statement of Financial Position'!N29</f>
        <v>1.7033996483010279</v>
      </c>
    </row>
    <row r="39" spans="1:6">
      <c r="A39" s="300" t="s">
        <v>407</v>
      </c>
      <c r="B39" s="334"/>
      <c r="C39" s="334">
        <f>(C38-B38)/B38</f>
        <v>-0.59699871367110147</v>
      </c>
      <c r="D39" s="334">
        <f>(D38-C38)/C38</f>
        <v>0.77345300931674643</v>
      </c>
      <c r="E39" s="334">
        <f>(E38-D38)/D38</f>
        <v>0.900350568021548</v>
      </c>
      <c r="F39" s="334">
        <f>(F38-E38)/E38</f>
        <v>0.6435649254248339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254-D3FB-C941-A68E-C45AA9A9539E}">
  <dimension ref="A1:Y109"/>
  <sheetViews>
    <sheetView zoomScale="34" workbookViewId="0">
      <selection activeCell="Q75" sqref="Q75"/>
    </sheetView>
  </sheetViews>
  <sheetFormatPr baseColWidth="10" defaultColWidth="11" defaultRowHeight="16"/>
  <cols>
    <col min="1" max="1" width="46.83203125" customWidth="1"/>
    <col min="2" max="2" width="32.5" customWidth="1"/>
    <col min="3" max="3" width="40.83203125" customWidth="1"/>
    <col min="4" max="4" width="33.1640625" customWidth="1"/>
    <col min="5" max="5" width="78" customWidth="1"/>
    <col min="6" max="6" width="79.6640625" customWidth="1"/>
    <col min="7" max="7" width="70.6640625" customWidth="1"/>
    <col min="8" max="8" width="80" customWidth="1"/>
    <col min="9" max="9" width="16.1640625" customWidth="1"/>
  </cols>
  <sheetData>
    <row r="1" spans="1:9" ht="33">
      <c r="A1" s="468" t="s">
        <v>408</v>
      </c>
    </row>
    <row r="3" spans="1:9" ht="33">
      <c r="A3" s="479" t="s">
        <v>409</v>
      </c>
      <c r="B3" s="480" t="s">
        <v>526</v>
      </c>
      <c r="C3" s="480" t="s">
        <v>410</v>
      </c>
      <c r="D3" s="480" t="s">
        <v>411</v>
      </c>
      <c r="E3" s="480" t="s">
        <v>412</v>
      </c>
      <c r="F3" s="480" t="s">
        <v>413</v>
      </c>
    </row>
    <row r="4" spans="1:9" ht="33">
      <c r="A4" s="481" t="s">
        <v>496</v>
      </c>
      <c r="B4" s="482">
        <f>D4*1.15</f>
        <v>800.4</v>
      </c>
      <c r="C4" s="482">
        <f>D4*1.1</f>
        <v>765.6</v>
      </c>
      <c r="D4" s="483">
        <f>'[1]Project cash flow'!D4</f>
        <v>696</v>
      </c>
      <c r="E4" s="482">
        <f>D4*(1-0.2)</f>
        <v>556.80000000000007</v>
      </c>
      <c r="F4" s="482">
        <f>D4*(1-0.4)</f>
        <v>417.59999999999997</v>
      </c>
    </row>
    <row r="5" spans="1:9" ht="33">
      <c r="A5" s="481" t="s">
        <v>414</v>
      </c>
      <c r="B5" s="484">
        <f>D5*1.15</f>
        <v>571.25081300813008</v>
      </c>
      <c r="C5" s="484">
        <f>D5*(1.1)</f>
        <v>546.41382113821146</v>
      </c>
      <c r="D5" s="483">
        <f>'Project cash flow'!E6</f>
        <v>496.73983739837399</v>
      </c>
      <c r="E5" s="484">
        <f>D5*(1-0.1)</f>
        <v>447.06585365853658</v>
      </c>
      <c r="F5" s="484">
        <f>D5*(1-0.15)</f>
        <v>422.22886178861791</v>
      </c>
    </row>
    <row r="6" spans="1:9" ht="33">
      <c r="A6" s="481" t="s">
        <v>415</v>
      </c>
      <c r="B6" s="484">
        <f>D6*(1-0.15)</f>
        <v>221.08160000000001</v>
      </c>
      <c r="C6" s="484">
        <f>D6*(1-0.1)</f>
        <v>234.0864</v>
      </c>
      <c r="D6" s="483">
        <f>'[1]Project cash flow'!E9</f>
        <v>260.096</v>
      </c>
      <c r="E6" s="484">
        <f>D6*(1.1)</f>
        <v>286.10560000000004</v>
      </c>
      <c r="F6" s="484">
        <f>D6*(1.15)</f>
        <v>299.11039999999997</v>
      </c>
    </row>
    <row r="7" spans="1:9" ht="33">
      <c r="A7" s="481" t="s">
        <v>416</v>
      </c>
      <c r="B7" s="485">
        <f>D7*(1-0.15)</f>
        <v>0.12603956390265672</v>
      </c>
      <c r="C7" s="485">
        <f>D7*(1-0.1)</f>
        <v>0.13345365589693065</v>
      </c>
      <c r="D7" s="486">
        <f>'Project cash flow'!D54</f>
        <v>0.14828183988547849</v>
      </c>
      <c r="E7" s="485">
        <f>D7*(1.1)</f>
        <v>0.16311002387402634</v>
      </c>
      <c r="F7" s="487">
        <f>D7*(1.15)</f>
        <v>0.17052411586830027</v>
      </c>
    </row>
    <row r="8" spans="1:9" ht="33">
      <c r="A8" s="488"/>
      <c r="B8" s="488"/>
      <c r="C8" s="489"/>
      <c r="D8" s="489"/>
      <c r="E8" s="489"/>
      <c r="F8" s="489"/>
    </row>
    <row r="9" spans="1:9" ht="33">
      <c r="A9" s="468"/>
      <c r="B9" s="468"/>
      <c r="C9" s="468"/>
      <c r="D9" s="468"/>
      <c r="E9" s="468"/>
      <c r="F9" s="468"/>
    </row>
    <row r="10" spans="1:9" ht="19" hidden="1">
      <c r="C10" s="347" t="s">
        <v>516</v>
      </c>
      <c r="D10" s="347"/>
      <c r="E10" s="348"/>
      <c r="F10" s="348"/>
      <c r="G10" s="348"/>
      <c r="H10" s="348"/>
    </row>
    <row r="11" spans="1:9" ht="19" hidden="1">
      <c r="C11" s="349"/>
      <c r="D11" s="349"/>
      <c r="E11" s="351" t="s">
        <v>517</v>
      </c>
      <c r="F11" s="351" t="s">
        <v>535</v>
      </c>
      <c r="G11" s="351" t="s">
        <v>536</v>
      </c>
      <c r="H11" s="351" t="s">
        <v>537</v>
      </c>
    </row>
    <row r="12" spans="1:9" hidden="1">
      <c r="C12" s="418" t="s">
        <v>518</v>
      </c>
      <c r="D12" s="418"/>
      <c r="E12" s="419"/>
      <c r="F12" s="419"/>
      <c r="G12" s="419"/>
      <c r="H12" s="419"/>
      <c r="I12" s="426"/>
    </row>
    <row r="13" spans="1:9" hidden="1">
      <c r="C13" s="723" t="s">
        <v>176</v>
      </c>
      <c r="D13" s="723"/>
      <c r="E13" s="116">
        <v>696</v>
      </c>
      <c r="F13" s="420">
        <v>800</v>
      </c>
      <c r="G13" s="420">
        <v>766</v>
      </c>
      <c r="H13" s="420">
        <v>418</v>
      </c>
      <c r="I13" s="426"/>
    </row>
    <row r="14" spans="1:9" hidden="1">
      <c r="C14" s="724" t="s">
        <v>178</v>
      </c>
      <c r="D14" s="724"/>
      <c r="E14" s="421">
        <v>496.73983739837399</v>
      </c>
      <c r="F14" s="422">
        <v>571.25081299999999</v>
      </c>
      <c r="G14" s="422">
        <v>546.41382109999995</v>
      </c>
      <c r="H14" s="422">
        <v>422.2288618</v>
      </c>
      <c r="I14" s="109"/>
    </row>
    <row r="15" spans="1:9" hidden="1">
      <c r="C15" s="724" t="s">
        <v>181</v>
      </c>
      <c r="D15" s="724"/>
      <c r="E15" s="423">
        <v>260.096</v>
      </c>
      <c r="F15" s="424">
        <v>221.08160000000001</v>
      </c>
      <c r="G15" s="424">
        <v>234.0864</v>
      </c>
      <c r="H15" s="424">
        <v>299.11040000000003</v>
      </c>
      <c r="I15" s="427"/>
    </row>
    <row r="16" spans="1:9" hidden="1">
      <c r="C16" s="725" t="s">
        <v>236</v>
      </c>
      <c r="D16" s="725"/>
      <c r="E16" s="77">
        <v>0.148281839885478</v>
      </c>
      <c r="F16" s="425">
        <v>0.12604000000000001</v>
      </c>
      <c r="G16" s="425">
        <v>0.13345399999999999</v>
      </c>
      <c r="H16" s="425">
        <v>0.17052410000000001</v>
      </c>
      <c r="I16" s="428"/>
    </row>
    <row r="17" spans="1:9" hidden="1">
      <c r="C17" s="418" t="s">
        <v>519</v>
      </c>
      <c r="D17" s="418"/>
      <c r="E17" s="419"/>
      <c r="F17" s="419"/>
      <c r="G17" s="419"/>
      <c r="H17" s="419"/>
      <c r="I17" s="429"/>
    </row>
    <row r="18" spans="1:9" hidden="1">
      <c r="C18" s="726" t="s">
        <v>541</v>
      </c>
      <c r="D18" s="726"/>
      <c r="E18" s="116">
        <v>33158.446610719198</v>
      </c>
      <c r="F18" s="116">
        <v>498097.70827001601</v>
      </c>
      <c r="G18" s="116">
        <v>335607.90537879599</v>
      </c>
      <c r="H18" s="116">
        <v>-382169.22030022601</v>
      </c>
      <c r="I18" s="430"/>
    </row>
    <row r="19" spans="1:9" hidden="1">
      <c r="C19" s="722" t="s">
        <v>540</v>
      </c>
      <c r="D19" s="722"/>
      <c r="E19" s="64">
        <v>0.22647884711421501</v>
      </c>
      <c r="F19" s="64">
        <v>1.3291705878568001</v>
      </c>
      <c r="G19" s="64">
        <v>0.921656023443024</v>
      </c>
      <c r="H19" s="64" t="e">
        <v>#NUM!</v>
      </c>
      <c r="I19" s="109"/>
    </row>
    <row r="20" spans="1:9" hidden="1">
      <c r="C20" s="722" t="s">
        <v>539</v>
      </c>
      <c r="D20" s="722"/>
      <c r="E20" s="77">
        <v>0.20904857984865499</v>
      </c>
      <c r="F20" s="77">
        <v>0.68921845221483902</v>
      </c>
      <c r="G20" s="77">
        <v>0.59076339101624598</v>
      </c>
      <c r="H20" s="77">
        <v>-1</v>
      </c>
      <c r="I20" s="427"/>
    </row>
    <row r="21" spans="1:9" hidden="1">
      <c r="C21" s="724" t="s">
        <v>538</v>
      </c>
      <c r="D21" s="724"/>
      <c r="E21" s="77">
        <v>0.43918418484025401</v>
      </c>
      <c r="F21" s="77">
        <v>6.5973125504211101</v>
      </c>
      <c r="G21" s="77">
        <v>4.4451323694422804</v>
      </c>
      <c r="H21" s="77">
        <v>-5.0618377712040203</v>
      </c>
      <c r="I21" s="431"/>
    </row>
    <row r="22" spans="1:9" hidden="1">
      <c r="C22" s="724" t="s">
        <v>520</v>
      </c>
      <c r="D22" s="724"/>
      <c r="E22" s="116">
        <v>-35379.640879502003</v>
      </c>
      <c r="F22" s="116">
        <v>84476.483641441097</v>
      </c>
      <c r="G22" s="116">
        <v>42016.369446940698</v>
      </c>
      <c r="H22" s="116">
        <v>-152961.12410525</v>
      </c>
      <c r="I22" s="430"/>
    </row>
    <row r="23" spans="1:9" hidden="1">
      <c r="C23" s="724" t="s">
        <v>521</v>
      </c>
      <c r="D23" s="724"/>
      <c r="E23" s="116">
        <v>-8471.4484574801609</v>
      </c>
      <c r="F23" s="116">
        <v>69660.794369695606</v>
      </c>
      <c r="G23" s="116">
        <v>43693.874548417502</v>
      </c>
      <c r="H23" s="116">
        <v>-86673.670883421699</v>
      </c>
      <c r="I23" s="430"/>
    </row>
    <row r="24" spans="1:9" hidden="1">
      <c r="C24" s="724" t="s">
        <v>522</v>
      </c>
      <c r="D24" s="724"/>
      <c r="E24" s="116">
        <v>40536.709413324301</v>
      </c>
      <c r="F24" s="116">
        <v>168345.203200121</v>
      </c>
      <c r="G24" s="116">
        <v>125755.232091552</v>
      </c>
      <c r="H24" s="116">
        <v>-87283.4476366452</v>
      </c>
      <c r="I24" s="109"/>
    </row>
    <row r="25" spans="1:9" hidden="1">
      <c r="C25" s="724" t="s">
        <v>523</v>
      </c>
      <c r="D25" s="724"/>
      <c r="E25" s="116">
        <v>82207.356130456305</v>
      </c>
      <c r="F25" s="116">
        <v>254414.967334135</v>
      </c>
      <c r="G25" s="116">
        <v>198551.36799622799</v>
      </c>
      <c r="H25" s="116">
        <v>-92307.390568966206</v>
      </c>
      <c r="I25" s="109"/>
    </row>
    <row r="26" spans="1:9" ht="17" hidden="1" thickBot="1">
      <c r="C26" s="350" t="s">
        <v>524</v>
      </c>
      <c r="D26" s="350"/>
      <c r="E26" s="432">
        <v>143413.02061138899</v>
      </c>
      <c r="F26" s="432">
        <v>303214.61162014998</v>
      </c>
      <c r="G26" s="432">
        <v>249504.38515680301</v>
      </c>
      <c r="H26" s="432">
        <v>-20075.841094014999</v>
      </c>
      <c r="I26" s="109"/>
    </row>
    <row r="27" spans="1:9">
      <c r="D27" s="109"/>
      <c r="E27" s="109"/>
      <c r="F27" s="109"/>
      <c r="G27" s="109"/>
      <c r="H27" s="109"/>
      <c r="I27" s="109"/>
    </row>
    <row r="28" spans="1:9" ht="17" thickBot="1"/>
    <row r="29" spans="1:9" ht="33">
      <c r="A29" s="465" t="s">
        <v>543</v>
      </c>
      <c r="B29" s="466" t="s">
        <v>516</v>
      </c>
      <c r="C29" s="466"/>
      <c r="D29" s="467"/>
      <c r="E29" s="467"/>
      <c r="F29" s="467"/>
      <c r="G29" s="467"/>
      <c r="H29" s="467"/>
    </row>
    <row r="30" spans="1:9" ht="33">
      <c r="A30" s="468"/>
      <c r="B30" s="469"/>
      <c r="C30" s="469"/>
      <c r="D30" s="470" t="s">
        <v>517</v>
      </c>
      <c r="E30" s="470" t="s">
        <v>545</v>
      </c>
      <c r="F30" s="470" t="s">
        <v>546</v>
      </c>
      <c r="G30" s="470" t="s">
        <v>567</v>
      </c>
      <c r="H30" s="470" t="s">
        <v>568</v>
      </c>
    </row>
    <row r="31" spans="1:9" ht="33">
      <c r="A31" s="468"/>
      <c r="B31" s="471" t="s">
        <v>518</v>
      </c>
      <c r="C31" s="472"/>
      <c r="D31" s="473"/>
      <c r="E31" s="473"/>
      <c r="F31" s="473"/>
      <c r="G31" s="473"/>
      <c r="H31" s="473"/>
    </row>
    <row r="32" spans="1:9" ht="33">
      <c r="A32" s="468"/>
      <c r="B32" s="719" t="s">
        <v>176</v>
      </c>
      <c r="C32" s="719"/>
      <c r="D32" s="468">
        <v>696</v>
      </c>
      <c r="E32" s="474">
        <v>800</v>
      </c>
      <c r="F32" s="468">
        <v>696</v>
      </c>
      <c r="G32" s="468">
        <v>696</v>
      </c>
      <c r="H32" s="468">
        <v>696</v>
      </c>
    </row>
    <row r="33" spans="1:8" ht="33">
      <c r="A33" s="468"/>
      <c r="B33" s="716" t="s">
        <v>178</v>
      </c>
      <c r="C33" s="716"/>
      <c r="D33" s="468">
        <v>496.73983739837399</v>
      </c>
      <c r="E33" s="468">
        <v>496.73983739837399</v>
      </c>
      <c r="F33" s="474">
        <v>571.25081299999999</v>
      </c>
      <c r="G33" s="468">
        <v>496.73983739837399</v>
      </c>
      <c r="H33" s="468">
        <v>496.73983739837399</v>
      </c>
    </row>
    <row r="34" spans="1:8" ht="33">
      <c r="A34" s="468"/>
      <c r="B34" s="716" t="s">
        <v>181</v>
      </c>
      <c r="C34" s="716"/>
      <c r="D34" s="468">
        <v>260.096</v>
      </c>
      <c r="E34" s="468">
        <v>260.096</v>
      </c>
      <c r="F34" s="468">
        <v>260.096</v>
      </c>
      <c r="G34" s="474">
        <v>221.08160000000001</v>
      </c>
      <c r="H34" s="468">
        <v>260.096</v>
      </c>
    </row>
    <row r="35" spans="1:8" ht="33">
      <c r="A35" s="468"/>
      <c r="B35" s="717" t="s">
        <v>236</v>
      </c>
      <c r="C35" s="717"/>
      <c r="D35" s="468">
        <v>0.148281839885478</v>
      </c>
      <c r="E35" s="468">
        <v>0.148281839885478</v>
      </c>
      <c r="F35" s="468">
        <v>0.148281839885478</v>
      </c>
      <c r="G35" s="468">
        <v>0.148281839885478</v>
      </c>
      <c r="H35" s="474">
        <v>0.12604000000000001</v>
      </c>
    </row>
    <row r="36" spans="1:8" ht="33">
      <c r="A36" s="468"/>
      <c r="B36" s="471" t="s">
        <v>519</v>
      </c>
      <c r="C36" s="472"/>
      <c r="D36" s="473"/>
      <c r="E36" s="473"/>
      <c r="F36" s="473"/>
      <c r="G36" s="473"/>
      <c r="H36" s="473"/>
    </row>
    <row r="37" spans="1:8" ht="33">
      <c r="A37" s="468"/>
      <c r="B37" s="718" t="s">
        <v>541</v>
      </c>
      <c r="C37" s="718"/>
      <c r="D37" s="475">
        <v>33271.964222096802</v>
      </c>
      <c r="E37" s="475">
        <v>54829.238588521301</v>
      </c>
      <c r="F37" s="475">
        <v>275069.19102349499</v>
      </c>
      <c r="G37" s="475">
        <v>159878.46278356001</v>
      </c>
      <c r="H37" s="475">
        <v>45131.414707113901</v>
      </c>
    </row>
    <row r="38" spans="1:8" ht="33">
      <c r="A38" s="468"/>
      <c r="B38" s="714" t="s">
        <v>540</v>
      </c>
      <c r="C38" s="714"/>
      <c r="D38" s="476">
        <v>0.227835964089311</v>
      </c>
      <c r="E38" s="476">
        <v>0.29241428696996202</v>
      </c>
      <c r="F38" s="476">
        <v>0.79818503844991195</v>
      </c>
      <c r="G38" s="476">
        <v>0.52522243063361096</v>
      </c>
      <c r="H38" s="476">
        <v>0.227835964089311</v>
      </c>
    </row>
    <row r="39" spans="1:8" ht="33">
      <c r="A39" s="468"/>
      <c r="B39" s="714" t="s">
        <v>539</v>
      </c>
      <c r="C39" s="714"/>
      <c r="D39" s="477">
        <v>0.20972040188909399</v>
      </c>
      <c r="E39" s="477">
        <v>0.26280477207729103</v>
      </c>
      <c r="F39" s="477">
        <v>0.57109961104791396</v>
      </c>
      <c r="G39" s="477">
        <v>0.42808186027358103</v>
      </c>
      <c r="H39" s="477">
        <v>0.20452951962256699</v>
      </c>
    </row>
    <row r="40" spans="1:8" ht="33">
      <c r="A40" s="468"/>
      <c r="B40" s="716" t="s">
        <v>538</v>
      </c>
      <c r="C40" s="716"/>
      <c r="D40" s="477">
        <v>0.45902093269479</v>
      </c>
      <c r="E40" s="477">
        <v>0.756425682230498</v>
      </c>
      <c r="F40" s="477">
        <v>3.79486211803966</v>
      </c>
      <c r="G40" s="477">
        <v>2.2056876658932101</v>
      </c>
      <c r="H40" s="477">
        <v>0.62263423747422297</v>
      </c>
    </row>
    <row r="41" spans="1:8" ht="33">
      <c r="A41" s="468"/>
      <c r="B41" s="716" t="s">
        <v>520</v>
      </c>
      <c r="C41" s="716"/>
      <c r="D41" s="475">
        <v>-37905.213962835303</v>
      </c>
      <c r="E41" s="475">
        <v>-12350.8347749762</v>
      </c>
      <c r="F41" s="475">
        <v>15942.3778849478</v>
      </c>
      <c r="G41" s="475">
        <v>-9710.2873708353709</v>
      </c>
      <c r="H41" s="475">
        <v>-37905.213962835303</v>
      </c>
    </row>
    <row r="42" spans="1:8" ht="33">
      <c r="A42" s="468"/>
      <c r="B42" s="716" t="s">
        <v>521</v>
      </c>
      <c r="C42" s="716"/>
      <c r="D42" s="475">
        <v>-8253.0104458579808</v>
      </c>
      <c r="E42" s="475">
        <v>-9039.1938612148006</v>
      </c>
      <c r="F42" s="475">
        <v>42864.002516044202</v>
      </c>
      <c r="G42" s="475">
        <v>18512.168434142</v>
      </c>
      <c r="H42" s="475">
        <v>-8253.0104458579808</v>
      </c>
    </row>
    <row r="43" spans="1:8" ht="33">
      <c r="A43" s="468"/>
      <c r="B43" s="716" t="s">
        <v>522</v>
      </c>
      <c r="C43" s="716"/>
      <c r="D43" s="475">
        <v>40578.146237398403</v>
      </c>
      <c r="E43" s="475">
        <v>40447.115668172301</v>
      </c>
      <c r="F43" s="475">
        <v>124590.92702769001</v>
      </c>
      <c r="G43" s="475">
        <v>84567.749224065104</v>
      </c>
      <c r="H43" s="475">
        <v>40578.146237398403</v>
      </c>
    </row>
    <row r="44" spans="1:8" ht="33">
      <c r="A44" s="468"/>
      <c r="B44" s="716" t="s">
        <v>523</v>
      </c>
      <c r="C44" s="716"/>
      <c r="D44" s="475">
        <v>81807.783968285803</v>
      </c>
      <c r="E44" s="475">
        <v>81785.945540081506</v>
      </c>
      <c r="F44" s="475">
        <v>164688.10831606301</v>
      </c>
      <c r="G44" s="475">
        <v>125204.42587406401</v>
      </c>
      <c r="H44" s="475">
        <v>81807.783968285803</v>
      </c>
    </row>
    <row r="45" spans="1:8" ht="34" thickBot="1">
      <c r="A45" s="468"/>
      <c r="B45" s="715" t="s">
        <v>524</v>
      </c>
      <c r="C45" s="715"/>
      <c r="D45" s="478">
        <v>142084.011710077</v>
      </c>
      <c r="E45" s="478">
        <v>142080.37197204301</v>
      </c>
      <c r="F45" s="478">
        <v>247844.37764113801</v>
      </c>
      <c r="G45" s="478">
        <v>197460.78254504001</v>
      </c>
      <c r="H45" s="478">
        <v>142084.011710077</v>
      </c>
    </row>
    <row r="48" spans="1:8" ht="17" thickBot="1"/>
    <row r="49" spans="1:8" ht="33">
      <c r="A49" s="465" t="s">
        <v>542</v>
      </c>
      <c r="B49" s="466" t="s">
        <v>516</v>
      </c>
      <c r="C49" s="466"/>
      <c r="D49" s="467"/>
      <c r="E49" s="467"/>
      <c r="F49" s="467"/>
      <c r="G49" s="467"/>
      <c r="H49" s="466"/>
    </row>
    <row r="50" spans="1:8" ht="33">
      <c r="A50" s="468"/>
      <c r="B50" s="469"/>
      <c r="C50" s="469"/>
      <c r="D50" s="470" t="s">
        <v>517</v>
      </c>
      <c r="E50" s="470" t="s">
        <v>544</v>
      </c>
      <c r="F50" s="470" t="s">
        <v>569</v>
      </c>
      <c r="G50" s="470" t="s">
        <v>570</v>
      </c>
      <c r="H50" s="470" t="s">
        <v>571</v>
      </c>
    </row>
    <row r="51" spans="1:8" ht="33">
      <c r="A51" s="468"/>
      <c r="B51" s="471" t="s">
        <v>518</v>
      </c>
      <c r="C51" s="472"/>
      <c r="D51" s="473"/>
      <c r="E51" s="473"/>
      <c r="F51" s="473"/>
      <c r="G51" s="473"/>
      <c r="H51" s="473"/>
    </row>
    <row r="52" spans="1:8" ht="33">
      <c r="A52" s="468"/>
      <c r="B52" s="719" t="s">
        <v>176</v>
      </c>
      <c r="C52" s="719"/>
      <c r="D52" s="490">
        <v>696</v>
      </c>
      <c r="E52" s="491">
        <v>766</v>
      </c>
      <c r="F52" s="490">
        <v>696</v>
      </c>
      <c r="G52" s="490">
        <v>696</v>
      </c>
      <c r="H52" s="490">
        <v>696</v>
      </c>
    </row>
    <row r="53" spans="1:8" ht="33">
      <c r="A53" s="468"/>
      <c r="B53" s="716" t="s">
        <v>178</v>
      </c>
      <c r="C53" s="716"/>
      <c r="D53" s="492">
        <v>496.73983739837399</v>
      </c>
      <c r="E53" s="492">
        <v>496.73983739837399</v>
      </c>
      <c r="F53" s="493">
        <v>546.41382109999995</v>
      </c>
      <c r="G53" s="492">
        <v>496.73983739837399</v>
      </c>
      <c r="H53" s="492">
        <v>496.73983739837399</v>
      </c>
    </row>
    <row r="54" spans="1:8" ht="33">
      <c r="A54" s="468"/>
      <c r="B54" s="716" t="s">
        <v>181</v>
      </c>
      <c r="C54" s="716"/>
      <c r="D54" s="494">
        <v>260.096</v>
      </c>
      <c r="E54" s="494">
        <v>260.096</v>
      </c>
      <c r="F54" s="494">
        <v>260.096</v>
      </c>
      <c r="G54" s="495">
        <v>234.0864</v>
      </c>
      <c r="H54" s="494">
        <v>260.096</v>
      </c>
    </row>
    <row r="55" spans="1:8" ht="33">
      <c r="A55" s="468"/>
      <c r="B55" s="717" t="s">
        <v>236</v>
      </c>
      <c r="C55" s="717"/>
      <c r="D55" s="496">
        <v>0.148281839885478</v>
      </c>
      <c r="E55" s="496">
        <v>0.148281839885478</v>
      </c>
      <c r="F55" s="496">
        <v>0.148281839885478</v>
      </c>
      <c r="G55" s="496">
        <v>0.148281839885478</v>
      </c>
      <c r="H55" s="497">
        <v>0.13345399999999999</v>
      </c>
    </row>
    <row r="56" spans="1:8" ht="33">
      <c r="A56" s="468"/>
      <c r="B56" s="471" t="s">
        <v>519</v>
      </c>
      <c r="C56" s="472"/>
      <c r="D56" s="473"/>
      <c r="E56" s="473"/>
      <c r="F56" s="473"/>
      <c r="G56" s="473"/>
      <c r="H56" s="473"/>
    </row>
    <row r="57" spans="1:8" ht="33">
      <c r="A57" s="468"/>
      <c r="B57" s="718" t="s">
        <v>541</v>
      </c>
      <c r="C57" s="718"/>
      <c r="D57" s="475">
        <v>33271.964222096802</v>
      </c>
      <c r="E57" s="475">
        <v>47781.668122575</v>
      </c>
      <c r="F57" s="475">
        <v>194470.11531661701</v>
      </c>
      <c r="G57" s="475">
        <v>117676.29659640499</v>
      </c>
      <c r="H57" s="475">
        <v>41030.626719797998</v>
      </c>
    </row>
    <row r="58" spans="1:8" ht="33">
      <c r="A58" s="468"/>
      <c r="B58" s="714" t="s">
        <v>540</v>
      </c>
      <c r="C58" s="714"/>
      <c r="D58" s="476">
        <v>0.227835964089311</v>
      </c>
      <c r="E58" s="476">
        <v>0.269933025422957</v>
      </c>
      <c r="F58" s="476">
        <v>0.60657807007751396</v>
      </c>
      <c r="G58" s="476">
        <v>0.42633351654594598</v>
      </c>
      <c r="H58" s="476">
        <v>0.227835964089311</v>
      </c>
    </row>
    <row r="59" spans="1:8" ht="33">
      <c r="A59" s="468"/>
      <c r="B59" s="714" t="s">
        <v>539</v>
      </c>
      <c r="C59" s="714"/>
      <c r="D59" s="477">
        <v>0.20972040188909399</v>
      </c>
      <c r="E59" s="477">
        <v>0.243898021848971</v>
      </c>
      <c r="F59" s="477">
        <v>0.48519754504014401</v>
      </c>
      <c r="G59" s="477">
        <v>0.35881042282220899</v>
      </c>
      <c r="H59" s="477">
        <v>0.206266349463059</v>
      </c>
    </row>
    <row r="60" spans="1:8" ht="33">
      <c r="A60" s="468"/>
      <c r="B60" s="716" t="s">
        <v>538</v>
      </c>
      <c r="C60" s="716"/>
      <c r="D60" s="477">
        <v>0.45902093269479</v>
      </c>
      <c r="E60" s="477">
        <v>0.65919720642074997</v>
      </c>
      <c r="F60" s="477">
        <v>2.68291505478998</v>
      </c>
      <c r="G60" s="477">
        <v>1.6234654214937301</v>
      </c>
      <c r="H60" s="477">
        <v>0.566059653714865</v>
      </c>
    </row>
    <row r="61" spans="1:8" ht="33">
      <c r="A61" s="468"/>
      <c r="B61" s="716" t="s">
        <v>520</v>
      </c>
      <c r="C61" s="716"/>
      <c r="D61" s="475">
        <v>-37905.213962835303</v>
      </c>
      <c r="E61" s="475">
        <v>-20705.151047930201</v>
      </c>
      <c r="F61" s="475">
        <v>-2006.8194213443001</v>
      </c>
      <c r="G61" s="475">
        <v>-19108.596234835401</v>
      </c>
      <c r="H61" s="475">
        <v>-37905.213962835303</v>
      </c>
    </row>
    <row r="62" spans="1:8" ht="33">
      <c r="A62" s="468"/>
      <c r="B62" s="716" t="s">
        <v>521</v>
      </c>
      <c r="C62" s="716"/>
      <c r="D62" s="475">
        <v>-8253.0104458579808</v>
      </c>
      <c r="E62" s="475">
        <v>-8782.1723600404603</v>
      </c>
      <c r="F62" s="475">
        <v>25824.9981729141</v>
      </c>
      <c r="G62" s="475">
        <v>9590.4421408086691</v>
      </c>
      <c r="H62" s="475">
        <v>-8253.0104458579808</v>
      </c>
    </row>
    <row r="63" spans="1:8" ht="33">
      <c r="A63" s="468"/>
      <c r="B63" s="716" t="s">
        <v>522</v>
      </c>
      <c r="C63" s="716"/>
      <c r="D63" s="475">
        <v>40578.146237398403</v>
      </c>
      <c r="E63" s="475">
        <v>40489.952585034698</v>
      </c>
      <c r="F63" s="475">
        <v>96586.666727286196</v>
      </c>
      <c r="G63" s="475">
        <v>69904.548228509506</v>
      </c>
      <c r="H63" s="475">
        <v>40578.146237398403</v>
      </c>
    </row>
    <row r="64" spans="1:8" ht="33">
      <c r="A64" s="468"/>
      <c r="B64" s="716" t="s">
        <v>523</v>
      </c>
      <c r="C64" s="716"/>
      <c r="D64" s="475">
        <v>81807.783968285803</v>
      </c>
      <c r="E64" s="475">
        <v>81793.085026225206</v>
      </c>
      <c r="F64" s="475">
        <v>137061.333496996</v>
      </c>
      <c r="G64" s="475">
        <v>110738.878572138</v>
      </c>
      <c r="H64" s="475">
        <v>81807.783968285803</v>
      </c>
    </row>
    <row r="65" spans="1:8" ht="34" thickBot="1">
      <c r="A65" s="468"/>
      <c r="B65" s="715" t="s">
        <v>524</v>
      </c>
      <c r="C65" s="715"/>
      <c r="D65" s="478">
        <v>142084.011710077</v>
      </c>
      <c r="E65" s="478">
        <v>142081.561886401</v>
      </c>
      <c r="F65" s="478">
        <v>212590.92228423999</v>
      </c>
      <c r="G65" s="478">
        <v>179001.85893338599</v>
      </c>
      <c r="H65" s="478">
        <v>142084.011710077</v>
      </c>
    </row>
    <row r="66" spans="1:8" ht="33">
      <c r="A66" s="468"/>
      <c r="B66" s="468"/>
      <c r="C66" s="468"/>
      <c r="D66" s="468"/>
      <c r="E66" s="468"/>
      <c r="F66" s="468"/>
      <c r="G66" s="468"/>
      <c r="H66" s="468"/>
    </row>
    <row r="67" spans="1:8" ht="33">
      <c r="A67" s="468"/>
      <c r="B67" s="468"/>
      <c r="C67" s="468"/>
      <c r="D67" s="468"/>
      <c r="E67" s="468"/>
      <c r="F67" s="468"/>
      <c r="G67" s="468"/>
      <c r="H67" s="468"/>
    </row>
    <row r="68" spans="1:8" ht="17" thickBot="1"/>
    <row r="69" spans="1:8" ht="33">
      <c r="A69" s="465" t="s">
        <v>548</v>
      </c>
      <c r="B69" s="466" t="s">
        <v>516</v>
      </c>
      <c r="C69" s="466"/>
      <c r="D69" s="467"/>
      <c r="E69" s="467"/>
      <c r="F69" s="467"/>
      <c r="G69" s="467"/>
      <c r="H69" s="467"/>
    </row>
    <row r="70" spans="1:8" ht="33">
      <c r="B70" s="469"/>
      <c r="C70" s="469"/>
      <c r="D70" s="470" t="s">
        <v>517</v>
      </c>
      <c r="E70" s="470" t="s">
        <v>547</v>
      </c>
      <c r="F70" s="470" t="s">
        <v>572</v>
      </c>
      <c r="G70" s="470" t="s">
        <v>573</v>
      </c>
      <c r="H70" s="470" t="s">
        <v>574</v>
      </c>
    </row>
    <row r="71" spans="1:8" ht="33">
      <c r="B71" s="471" t="s">
        <v>518</v>
      </c>
      <c r="C71" s="472"/>
      <c r="D71" s="473"/>
      <c r="E71" s="473"/>
      <c r="F71" s="473"/>
      <c r="G71" s="473"/>
      <c r="H71" s="473"/>
    </row>
    <row r="72" spans="1:8" ht="33">
      <c r="B72" s="719" t="s">
        <v>176</v>
      </c>
      <c r="C72" s="719"/>
      <c r="D72" s="490">
        <v>696</v>
      </c>
      <c r="E72" s="491">
        <v>557</v>
      </c>
      <c r="F72" s="490">
        <v>696</v>
      </c>
      <c r="G72" s="490">
        <v>696</v>
      </c>
      <c r="H72" s="490">
        <v>696</v>
      </c>
    </row>
    <row r="73" spans="1:8" ht="33">
      <c r="B73" s="716" t="s">
        <v>178</v>
      </c>
      <c r="C73" s="716"/>
      <c r="D73" s="492">
        <v>496.73983739837399</v>
      </c>
      <c r="E73" s="492">
        <v>496.73983739837399</v>
      </c>
      <c r="F73" s="493">
        <v>447.06585369999999</v>
      </c>
      <c r="G73" s="492">
        <v>496.73983739837399</v>
      </c>
      <c r="H73" s="492">
        <v>496.73983739837399</v>
      </c>
    </row>
    <row r="74" spans="1:8" ht="33">
      <c r="B74" s="716" t="s">
        <v>181</v>
      </c>
      <c r="C74" s="716"/>
      <c r="D74" s="494">
        <v>260.096</v>
      </c>
      <c r="E74" s="494">
        <v>260.096</v>
      </c>
      <c r="F74" s="494">
        <v>260.096</v>
      </c>
      <c r="G74" s="495">
        <v>286.10559999999998</v>
      </c>
      <c r="H74" s="494">
        <v>260.096</v>
      </c>
    </row>
    <row r="75" spans="1:8" ht="33">
      <c r="B75" s="717" t="s">
        <v>236</v>
      </c>
      <c r="C75" s="717"/>
      <c r="D75" s="496">
        <v>0.148281839885478</v>
      </c>
      <c r="E75" s="496">
        <v>0.148281839885478</v>
      </c>
      <c r="F75" s="496">
        <v>0.148281839885478</v>
      </c>
      <c r="G75" s="496">
        <v>0.148281839885478</v>
      </c>
      <c r="H75" s="497">
        <v>0.16311</v>
      </c>
    </row>
    <row r="76" spans="1:8" ht="33">
      <c r="B76" s="471" t="s">
        <v>519</v>
      </c>
      <c r="C76" s="472"/>
      <c r="D76" s="473"/>
      <c r="E76" s="473"/>
      <c r="F76" s="473"/>
      <c r="G76" s="473"/>
      <c r="H76" s="473"/>
    </row>
    <row r="77" spans="1:8" ht="33">
      <c r="B77" s="718" t="s">
        <v>541</v>
      </c>
      <c r="C77" s="718"/>
      <c r="D77" s="475">
        <v>33271.964222096802</v>
      </c>
      <c r="E77" s="475">
        <v>4459.8379054328998</v>
      </c>
      <c r="F77" s="475">
        <v>-128616.386953868</v>
      </c>
      <c r="G77" s="475">
        <v>-51371.474996484103</v>
      </c>
      <c r="H77" s="475">
        <v>26062.846549681399</v>
      </c>
    </row>
    <row r="78" spans="1:8" ht="33">
      <c r="B78" s="714" t="s">
        <v>540</v>
      </c>
      <c r="C78" s="714"/>
      <c r="D78" s="476">
        <v>0.227835964089311</v>
      </c>
      <c r="E78" s="476">
        <v>0.15780012568395699</v>
      </c>
      <c r="F78" s="476">
        <v>-0.18311639513624201</v>
      </c>
      <c r="G78" s="476">
        <v>2.2129633227381301E-2</v>
      </c>
      <c r="H78" s="476">
        <v>0.227835964089311</v>
      </c>
    </row>
    <row r="79" spans="1:8" ht="33">
      <c r="B79" s="714" t="s">
        <v>539</v>
      </c>
      <c r="C79" s="714"/>
      <c r="D79" s="477">
        <v>0.20972040188909399</v>
      </c>
      <c r="E79" s="477">
        <v>0.155470732768555</v>
      </c>
      <c r="F79" s="477">
        <v>-0.107618763457775</v>
      </c>
      <c r="G79" s="477">
        <v>4.95466509671358E-2</v>
      </c>
      <c r="H79" s="477">
        <v>0.21314909593454801</v>
      </c>
    </row>
    <row r="80" spans="1:8" ht="33">
      <c r="B80" s="716" t="s">
        <v>538</v>
      </c>
      <c r="C80" s="716"/>
      <c r="D80" s="477">
        <v>0.45902093269479</v>
      </c>
      <c r="E80" s="477">
        <v>6.1528046296101202E-2</v>
      </c>
      <c r="F80" s="477">
        <v>-1.77439520869015</v>
      </c>
      <c r="G80" s="477">
        <v>-0.70872228069819798</v>
      </c>
      <c r="H80" s="477">
        <v>0.35956374718540901</v>
      </c>
    </row>
    <row r="81" spans="1:25" ht="33">
      <c r="B81" s="716" t="s">
        <v>520</v>
      </c>
      <c r="C81" s="716"/>
      <c r="D81" s="475">
        <v>-37905.213962835303</v>
      </c>
      <c r="E81" s="475">
        <v>-72059.624608147002</v>
      </c>
      <c r="F81" s="475">
        <v>-73803.608501976298</v>
      </c>
      <c r="G81" s="475">
        <v>-56701.831690835301</v>
      </c>
      <c r="H81" s="475">
        <v>-37905.213962835303</v>
      </c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</row>
    <row r="82" spans="1:25" ht="33">
      <c r="B82" s="716" t="s">
        <v>521</v>
      </c>
      <c r="C82" s="716"/>
      <c r="D82" s="475">
        <v>-8253.0104458579808</v>
      </c>
      <c r="E82" s="475">
        <v>-7202.2460734099304</v>
      </c>
      <c r="F82" s="475">
        <v>-42919.2772266217</v>
      </c>
      <c r="G82" s="475">
        <v>-26390.0996197024</v>
      </c>
      <c r="H82" s="475">
        <v>-8253.0104458579808</v>
      </c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</row>
    <row r="83" spans="1:25" ht="33">
      <c r="B83" s="716" t="s">
        <v>522</v>
      </c>
      <c r="C83" s="716"/>
      <c r="D83" s="475">
        <v>40578.146237398403</v>
      </c>
      <c r="E83" s="475">
        <v>40753.273632806398</v>
      </c>
      <c r="F83" s="475">
        <v>-15430.3742488227</v>
      </c>
      <c r="G83" s="475">
        <v>11251.7442462873</v>
      </c>
      <c r="H83" s="475">
        <v>40578.146237398403</v>
      </c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</row>
    <row r="84" spans="1:25" ht="33">
      <c r="B84" s="716" t="s">
        <v>523</v>
      </c>
      <c r="C84" s="716"/>
      <c r="D84" s="475">
        <v>81807.783968285803</v>
      </c>
      <c r="E84" s="475">
        <v>81836.971867520493</v>
      </c>
      <c r="F84" s="475">
        <v>26129.916781838099</v>
      </c>
      <c r="G84" s="475">
        <v>52848.158520434299</v>
      </c>
      <c r="H84" s="475">
        <v>81807.783968285803</v>
      </c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</row>
    <row r="85" spans="1:25" ht="34" thickBot="1">
      <c r="B85" s="715" t="s">
        <v>524</v>
      </c>
      <c r="C85" s="715"/>
      <c r="D85" s="478">
        <v>142084.011710077</v>
      </c>
      <c r="E85" s="478">
        <v>142088.87635994999</v>
      </c>
      <c r="F85" s="478">
        <v>71577.101140530096</v>
      </c>
      <c r="G85" s="478">
        <v>105166.164486769</v>
      </c>
      <c r="H85" s="478">
        <v>142084.011710077</v>
      </c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</row>
    <row r="86" spans="1:25"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</row>
    <row r="87" spans="1:25"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</row>
    <row r="88" spans="1:25" ht="17" thickBot="1"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</row>
    <row r="89" spans="1:25" ht="33">
      <c r="A89" s="465" t="s">
        <v>549</v>
      </c>
      <c r="B89" s="466" t="s">
        <v>516</v>
      </c>
      <c r="C89" s="466"/>
      <c r="D89" s="467"/>
      <c r="E89" s="467"/>
      <c r="F89" s="467"/>
      <c r="G89" s="467"/>
      <c r="H89" s="467"/>
      <c r="K89" s="109"/>
      <c r="L89" s="109"/>
      <c r="M89" s="109"/>
      <c r="N89" s="721"/>
      <c r="O89" s="721"/>
      <c r="P89" s="426"/>
      <c r="Q89" s="426"/>
      <c r="R89" s="426"/>
      <c r="S89" s="426"/>
      <c r="T89" s="426"/>
      <c r="U89" s="109"/>
      <c r="V89" s="109"/>
      <c r="W89" s="109"/>
      <c r="X89" s="109"/>
      <c r="Y89" s="109"/>
    </row>
    <row r="90" spans="1:25" ht="33">
      <c r="A90" s="468"/>
      <c r="B90" s="469"/>
      <c r="C90" s="469"/>
      <c r="D90" s="470" t="s">
        <v>517</v>
      </c>
      <c r="E90" s="470" t="s">
        <v>550</v>
      </c>
      <c r="F90" s="470" t="s">
        <v>575</v>
      </c>
      <c r="G90" s="470" t="s">
        <v>576</v>
      </c>
      <c r="H90" s="470" t="s">
        <v>577</v>
      </c>
      <c r="K90" s="109"/>
      <c r="L90" s="109"/>
      <c r="M90" s="109"/>
      <c r="N90" s="721"/>
      <c r="O90" s="721"/>
      <c r="P90" s="532"/>
      <c r="Q90" s="532"/>
      <c r="R90" s="532"/>
      <c r="S90" s="532"/>
      <c r="T90" s="532"/>
      <c r="U90" s="109"/>
      <c r="V90" s="109"/>
      <c r="W90" s="109"/>
      <c r="X90" s="109"/>
      <c r="Y90" s="109"/>
    </row>
    <row r="91" spans="1:25" ht="33">
      <c r="A91" s="468"/>
      <c r="B91" s="471" t="s">
        <v>518</v>
      </c>
      <c r="C91" s="472"/>
      <c r="D91" s="473"/>
      <c r="E91" s="473"/>
      <c r="F91" s="473"/>
      <c r="G91" s="473"/>
      <c r="H91" s="473"/>
      <c r="K91" s="109"/>
      <c r="L91" s="109"/>
      <c r="M91" s="109"/>
      <c r="N91" s="721"/>
      <c r="O91" s="721"/>
      <c r="P91" s="109"/>
      <c r="Q91" s="109"/>
      <c r="R91" s="109"/>
      <c r="S91" s="109"/>
      <c r="T91" s="109"/>
      <c r="U91" s="109"/>
      <c r="V91" s="109"/>
      <c r="W91" s="109"/>
      <c r="X91" s="109"/>
      <c r="Y91" s="109"/>
    </row>
    <row r="92" spans="1:25" ht="33">
      <c r="A92" s="468"/>
      <c r="B92" s="719" t="s">
        <v>176</v>
      </c>
      <c r="C92" s="719"/>
      <c r="D92" s="490">
        <v>696</v>
      </c>
      <c r="E92" s="491">
        <v>418</v>
      </c>
      <c r="F92" s="490">
        <v>696</v>
      </c>
      <c r="G92" s="490">
        <v>696</v>
      </c>
      <c r="H92" s="490">
        <v>696</v>
      </c>
      <c r="K92" s="109"/>
      <c r="L92" s="109"/>
      <c r="M92" s="109"/>
      <c r="N92" s="721"/>
      <c r="O92" s="721"/>
      <c r="P92" s="533"/>
      <c r="Q92" s="533"/>
      <c r="R92" s="533"/>
      <c r="S92" s="533"/>
      <c r="T92" s="533"/>
      <c r="U92" s="109"/>
      <c r="V92" s="109"/>
      <c r="W92" s="109"/>
      <c r="X92" s="109"/>
      <c r="Y92" s="109"/>
    </row>
    <row r="93" spans="1:25" ht="33">
      <c r="A93" s="468"/>
      <c r="B93" s="716" t="s">
        <v>178</v>
      </c>
      <c r="C93" s="716"/>
      <c r="D93" s="492">
        <v>496.73983739837399</v>
      </c>
      <c r="E93" s="492">
        <v>496.73983739837399</v>
      </c>
      <c r="F93" s="493">
        <v>422.2288618</v>
      </c>
      <c r="G93" s="492">
        <v>496.73983739837399</v>
      </c>
      <c r="H93" s="492">
        <v>496.73983739837399</v>
      </c>
      <c r="K93" s="109"/>
      <c r="L93" s="109"/>
      <c r="M93" s="109"/>
      <c r="N93" s="534"/>
      <c r="O93" s="535"/>
      <c r="P93" s="536"/>
      <c r="Q93" s="536"/>
      <c r="R93" s="536"/>
      <c r="S93" s="536"/>
      <c r="T93" s="536"/>
      <c r="U93" s="109"/>
      <c r="V93" s="109"/>
      <c r="W93" s="109"/>
      <c r="X93" s="109"/>
      <c r="Y93" s="109"/>
    </row>
    <row r="94" spans="1:25" ht="33">
      <c r="A94" s="468"/>
      <c r="B94" s="716" t="s">
        <v>181</v>
      </c>
      <c r="C94" s="716"/>
      <c r="D94" s="494">
        <v>260.096</v>
      </c>
      <c r="E94" s="494">
        <v>260.096</v>
      </c>
      <c r="F94" s="494">
        <v>260.096</v>
      </c>
      <c r="G94" s="495">
        <v>299.11040000000003</v>
      </c>
      <c r="H94" s="494">
        <v>260.096</v>
      </c>
      <c r="K94" s="109"/>
      <c r="L94" s="109"/>
      <c r="M94" s="109"/>
      <c r="N94" s="720"/>
      <c r="O94" s="720"/>
      <c r="P94" s="537"/>
      <c r="Q94" s="537"/>
      <c r="R94" s="537"/>
      <c r="S94" s="537"/>
      <c r="T94" s="537"/>
      <c r="U94" s="109"/>
      <c r="V94" s="109"/>
      <c r="W94" s="109"/>
      <c r="X94" s="109"/>
      <c r="Y94" s="109"/>
    </row>
    <row r="95" spans="1:25" ht="33">
      <c r="A95" s="468"/>
      <c r="B95" s="717" t="s">
        <v>236</v>
      </c>
      <c r="C95" s="717"/>
      <c r="D95" s="496">
        <v>0.148281839885478</v>
      </c>
      <c r="E95" s="496">
        <v>0.148281839885478</v>
      </c>
      <c r="F95" s="496">
        <v>0.148281839885478</v>
      </c>
      <c r="G95" s="496">
        <v>0.148281839885478</v>
      </c>
      <c r="H95" s="497">
        <v>0.17052410000000001</v>
      </c>
      <c r="K95" s="109"/>
      <c r="L95" s="109"/>
      <c r="M95" s="109"/>
      <c r="N95" s="720"/>
      <c r="O95" s="720"/>
      <c r="P95" s="538"/>
      <c r="Q95" s="538"/>
      <c r="R95" s="538"/>
      <c r="S95" s="538"/>
      <c r="T95" s="538"/>
      <c r="U95" s="109"/>
      <c r="V95" s="109"/>
      <c r="W95" s="109"/>
      <c r="X95" s="109"/>
      <c r="Y95" s="109"/>
    </row>
    <row r="96" spans="1:25" ht="33">
      <c r="A96" s="468"/>
      <c r="B96" s="471" t="s">
        <v>519</v>
      </c>
      <c r="C96" s="472"/>
      <c r="D96" s="473"/>
      <c r="E96" s="473"/>
      <c r="F96" s="473"/>
      <c r="G96" s="473"/>
      <c r="H96" s="473"/>
      <c r="K96" s="109"/>
      <c r="L96" s="109"/>
      <c r="M96" s="109"/>
      <c r="N96" s="720"/>
      <c r="O96" s="720"/>
      <c r="P96" s="256"/>
      <c r="Q96" s="256"/>
      <c r="R96" s="256"/>
      <c r="S96" s="256"/>
      <c r="T96" s="256"/>
      <c r="U96" s="109"/>
      <c r="V96" s="109"/>
      <c r="W96" s="109"/>
      <c r="X96" s="109"/>
      <c r="Y96" s="109"/>
    </row>
    <row r="97" spans="1:25" ht="33">
      <c r="A97" s="468"/>
      <c r="B97" s="718" t="s">
        <v>541</v>
      </c>
      <c r="C97" s="718"/>
      <c r="D97" s="475">
        <v>33271.964222096802</v>
      </c>
      <c r="E97" s="475">
        <v>-24352.288411230998</v>
      </c>
      <c r="F97" s="475">
        <v>-209797.44890774999</v>
      </c>
      <c r="G97" s="475">
        <v>-93821.540201115204</v>
      </c>
      <c r="H97" s="475">
        <v>22650.237497802998</v>
      </c>
      <c r="K97" s="109"/>
      <c r="L97" s="109"/>
      <c r="M97" s="109"/>
      <c r="N97" s="721"/>
      <c r="O97" s="721"/>
      <c r="P97" s="533"/>
      <c r="Q97" s="533"/>
      <c r="R97" s="533"/>
      <c r="S97" s="533"/>
      <c r="T97" s="533"/>
      <c r="U97" s="109"/>
      <c r="V97" s="109"/>
      <c r="W97" s="109"/>
      <c r="X97" s="109"/>
      <c r="Y97" s="109"/>
    </row>
    <row r="98" spans="1:25" ht="33">
      <c r="A98" s="468"/>
      <c r="B98" s="714" t="s">
        <v>540</v>
      </c>
      <c r="C98" s="714"/>
      <c r="D98" s="476">
        <v>0.227835964089311</v>
      </c>
      <c r="E98" s="476">
        <v>0.101303863710923</v>
      </c>
      <c r="F98" s="476">
        <v>-0.450780536512076</v>
      </c>
      <c r="G98" s="476">
        <v>-8.7394645555620001E-2</v>
      </c>
      <c r="H98" s="476">
        <v>0.227835964089311</v>
      </c>
      <c r="K98" s="109"/>
      <c r="L98" s="109"/>
      <c r="M98" s="109"/>
      <c r="N98" s="721"/>
      <c r="O98" s="721"/>
      <c r="P98" s="539"/>
      <c r="Q98" s="539"/>
      <c r="R98" s="539"/>
      <c r="S98" s="539"/>
      <c r="T98" s="539"/>
      <c r="U98" s="109"/>
      <c r="V98" s="109"/>
      <c r="W98" s="109"/>
      <c r="X98" s="109"/>
      <c r="Y98" s="109"/>
    </row>
    <row r="99" spans="1:25" ht="33">
      <c r="A99" s="468"/>
      <c r="B99" s="714" t="s">
        <v>539</v>
      </c>
      <c r="C99" s="714"/>
      <c r="D99" s="477">
        <v>0.20972040188909399</v>
      </c>
      <c r="E99" s="477">
        <v>0.113241335712854</v>
      </c>
      <c r="F99" s="477">
        <v>-0.30820800935433401</v>
      </c>
      <c r="G99" s="477">
        <v>-3.8938158936292003E-2</v>
      </c>
      <c r="H99" s="477">
        <v>0.214854149170043</v>
      </c>
      <c r="K99" s="109"/>
      <c r="L99" s="109"/>
      <c r="M99" s="109"/>
      <c r="N99" s="721"/>
      <c r="O99" s="721"/>
      <c r="P99" s="538"/>
      <c r="Q99" s="538"/>
      <c r="R99" s="538"/>
      <c r="S99" s="538"/>
      <c r="T99" s="538"/>
      <c r="U99" s="109"/>
      <c r="V99" s="109"/>
      <c r="W99" s="109"/>
      <c r="X99" s="109"/>
      <c r="Y99" s="109"/>
    </row>
    <row r="100" spans="1:25" ht="33">
      <c r="A100" s="468"/>
      <c r="B100" s="716" t="s">
        <v>538</v>
      </c>
      <c r="C100" s="716"/>
      <c r="D100" s="477">
        <v>0.45902093269479</v>
      </c>
      <c r="E100" s="477">
        <v>-0.33596484010258798</v>
      </c>
      <c r="F100" s="477">
        <v>-2.8943713701960201</v>
      </c>
      <c r="G100" s="477">
        <v>-1.2943645467548499</v>
      </c>
      <c r="H100" s="477">
        <v>0.31248329892995003</v>
      </c>
      <c r="K100" s="109"/>
      <c r="L100" s="109"/>
      <c r="M100" s="109"/>
      <c r="N100" s="721"/>
      <c r="O100" s="721"/>
      <c r="P100" s="538"/>
      <c r="Q100" s="538"/>
      <c r="R100" s="538"/>
      <c r="S100" s="538"/>
      <c r="T100" s="538"/>
      <c r="U100" s="109"/>
      <c r="V100" s="109"/>
      <c r="W100" s="109"/>
      <c r="X100" s="109"/>
      <c r="Y100" s="109"/>
    </row>
    <row r="101" spans="1:25" ht="33">
      <c r="A101" s="468"/>
      <c r="B101" s="716" t="s">
        <v>520</v>
      </c>
      <c r="C101" s="716"/>
      <c r="D101" s="475">
        <v>-37905.213962835303</v>
      </c>
      <c r="E101" s="475">
        <v>-106214.03525345901</v>
      </c>
      <c r="F101" s="475">
        <v>-91752.805808268196</v>
      </c>
      <c r="G101" s="475">
        <v>-66100.140554835394</v>
      </c>
      <c r="H101" s="475">
        <v>-37905.213962835303</v>
      </c>
      <c r="K101" s="109"/>
      <c r="L101" s="109"/>
      <c r="M101" s="109"/>
      <c r="N101" s="721"/>
      <c r="O101" s="721"/>
      <c r="P101" s="533"/>
      <c r="Q101" s="533"/>
      <c r="R101" s="533"/>
      <c r="S101" s="533"/>
      <c r="T101" s="533"/>
      <c r="U101" s="109"/>
      <c r="V101" s="109"/>
      <c r="W101" s="109"/>
      <c r="X101" s="109"/>
      <c r="Y101" s="109"/>
    </row>
    <row r="102" spans="1:25" ht="33">
      <c r="A102" s="468"/>
      <c r="B102" s="716" t="s">
        <v>521</v>
      </c>
      <c r="C102" s="716"/>
      <c r="D102" s="475">
        <v>-8253.0104458579808</v>
      </c>
      <c r="E102" s="475">
        <v>-6151.48170096186</v>
      </c>
      <c r="F102" s="475">
        <v>-60267.502118906697</v>
      </c>
      <c r="G102" s="475">
        <v>-35473.735673035699</v>
      </c>
      <c r="H102" s="475">
        <v>-8253.0104458579808</v>
      </c>
      <c r="K102" s="109"/>
      <c r="L102" s="109"/>
      <c r="M102" s="109"/>
      <c r="N102" s="721"/>
      <c r="O102" s="721"/>
      <c r="P102" s="533"/>
      <c r="Q102" s="533"/>
      <c r="R102" s="533"/>
      <c r="S102" s="533"/>
      <c r="T102" s="533"/>
      <c r="U102" s="109"/>
      <c r="V102" s="109"/>
      <c r="W102" s="109"/>
      <c r="X102" s="109"/>
      <c r="Y102" s="109"/>
    </row>
    <row r="103" spans="1:25" ht="33">
      <c r="A103" s="468"/>
      <c r="B103" s="716" t="s">
        <v>522</v>
      </c>
      <c r="C103" s="716"/>
      <c r="D103" s="475">
        <v>40578.146237398403</v>
      </c>
      <c r="E103" s="475">
        <v>40928.401028214401</v>
      </c>
      <c r="F103" s="475">
        <v>-43434.634549226001</v>
      </c>
      <c r="G103" s="475">
        <v>-3411.4567492683</v>
      </c>
      <c r="H103" s="475">
        <v>40578.146237398403</v>
      </c>
      <c r="K103" s="109"/>
      <c r="L103" s="109"/>
      <c r="M103" s="109"/>
      <c r="N103" s="109"/>
      <c r="O103" s="109"/>
      <c r="P103" s="533"/>
      <c r="Q103" s="533"/>
      <c r="R103" s="533"/>
      <c r="S103" s="533"/>
      <c r="T103" s="533"/>
      <c r="U103" s="109"/>
      <c r="V103" s="109"/>
      <c r="W103" s="109"/>
      <c r="X103" s="109"/>
      <c r="Y103" s="109"/>
    </row>
    <row r="104" spans="1:25" ht="33">
      <c r="A104" s="468"/>
      <c r="B104" s="716" t="s">
        <v>523</v>
      </c>
      <c r="C104" s="716"/>
      <c r="D104" s="475">
        <v>81807.783968285803</v>
      </c>
      <c r="E104" s="475">
        <v>81866.159766755198</v>
      </c>
      <c r="F104" s="475">
        <v>-1912.2567267562599</v>
      </c>
      <c r="G104" s="475">
        <v>38165.105938508299</v>
      </c>
      <c r="H104" s="475">
        <v>81807.783968285803</v>
      </c>
      <c r="K104" s="109"/>
      <c r="L104" s="109"/>
      <c r="M104" s="109"/>
      <c r="N104" s="109"/>
      <c r="O104" s="109"/>
      <c r="P104" s="533"/>
      <c r="Q104" s="533"/>
      <c r="R104" s="533"/>
      <c r="S104" s="533"/>
      <c r="T104" s="533"/>
      <c r="U104" s="109"/>
      <c r="V104" s="109"/>
      <c r="W104" s="109"/>
      <c r="X104" s="109"/>
      <c r="Y104" s="109"/>
    </row>
    <row r="105" spans="1:25" ht="34" thickBot="1">
      <c r="A105" s="468"/>
      <c r="B105" s="715" t="s">
        <v>524</v>
      </c>
      <c r="C105" s="715"/>
      <c r="D105" s="478">
        <v>142084.011710077</v>
      </c>
      <c r="E105" s="478">
        <v>142093.741009822</v>
      </c>
      <c r="F105" s="478">
        <v>36106.957854413296</v>
      </c>
      <c r="G105" s="478">
        <v>86707.240875114396</v>
      </c>
      <c r="H105" s="478">
        <v>142084.011710077</v>
      </c>
      <c r="K105" s="109"/>
      <c r="L105" s="109"/>
      <c r="M105" s="109"/>
      <c r="N105" s="109"/>
      <c r="O105" s="109"/>
      <c r="P105" s="533"/>
      <c r="Q105" s="533"/>
      <c r="R105" s="533"/>
      <c r="S105" s="533"/>
      <c r="T105" s="533"/>
      <c r="U105" s="109"/>
      <c r="V105" s="109"/>
      <c r="W105" s="109"/>
      <c r="X105" s="109"/>
      <c r="Y105" s="109"/>
    </row>
    <row r="106" spans="1:25" ht="33">
      <c r="A106" s="468"/>
      <c r="B106" s="468"/>
      <c r="C106" s="468"/>
      <c r="D106" s="468"/>
      <c r="E106" s="468"/>
      <c r="F106" s="468"/>
      <c r="G106" s="468"/>
      <c r="H106" s="468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</row>
    <row r="107" spans="1:25"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</row>
    <row r="108" spans="1:25"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</row>
    <row r="109" spans="1:25"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</row>
  </sheetData>
  <mergeCells count="77">
    <mergeCell ref="B103:C103"/>
    <mergeCell ref="B104:C104"/>
    <mergeCell ref="B105:C105"/>
    <mergeCell ref="B98:C98"/>
    <mergeCell ref="B99:C99"/>
    <mergeCell ref="B100:C100"/>
    <mergeCell ref="B101:C101"/>
    <mergeCell ref="B102:C102"/>
    <mergeCell ref="B92:C92"/>
    <mergeCell ref="B93:C93"/>
    <mergeCell ref="B94:C94"/>
    <mergeCell ref="B95:C95"/>
    <mergeCell ref="B97:C97"/>
    <mergeCell ref="C25:D25"/>
    <mergeCell ref="C20:D20"/>
    <mergeCell ref="C21:D21"/>
    <mergeCell ref="C22:D22"/>
    <mergeCell ref="C23:D23"/>
    <mergeCell ref="C24:D24"/>
    <mergeCell ref="C19:D19"/>
    <mergeCell ref="C13:D13"/>
    <mergeCell ref="C14:D14"/>
    <mergeCell ref="C15:D15"/>
    <mergeCell ref="C16:D16"/>
    <mergeCell ref="C18:D18"/>
    <mergeCell ref="N91:O91"/>
    <mergeCell ref="N92:O92"/>
    <mergeCell ref="N94:O94"/>
    <mergeCell ref="N102:O102"/>
    <mergeCell ref="N97:O97"/>
    <mergeCell ref="N98:O98"/>
    <mergeCell ref="N99:O99"/>
    <mergeCell ref="N100:O100"/>
    <mergeCell ref="N101:O101"/>
    <mergeCell ref="B32:C32"/>
    <mergeCell ref="B33:C33"/>
    <mergeCell ref="B34:C34"/>
    <mergeCell ref="N95:O95"/>
    <mergeCell ref="N96:O96"/>
    <mergeCell ref="N89:O89"/>
    <mergeCell ref="N90:O90"/>
    <mergeCell ref="B42:C42"/>
    <mergeCell ref="B43:C43"/>
    <mergeCell ref="B44:C44"/>
    <mergeCell ref="B35:C35"/>
    <mergeCell ref="B45:C45"/>
    <mergeCell ref="B37:C37"/>
    <mergeCell ref="B38:C38"/>
    <mergeCell ref="B39:C39"/>
    <mergeCell ref="B40:C40"/>
    <mergeCell ref="B41:C41"/>
    <mergeCell ref="B52:C52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72:C72"/>
    <mergeCell ref="B73:C73"/>
    <mergeCell ref="B74:C74"/>
    <mergeCell ref="B75:C75"/>
    <mergeCell ref="B77:C77"/>
    <mergeCell ref="B78:C78"/>
    <mergeCell ref="B79:C79"/>
    <mergeCell ref="B85:C85"/>
    <mergeCell ref="B80:C80"/>
    <mergeCell ref="B81:C81"/>
    <mergeCell ref="B82:C82"/>
    <mergeCell ref="B83:C83"/>
    <mergeCell ref="B84:C8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3298-DD24-404B-9A5F-2E64F4889D1A}">
  <dimension ref="B2:AP24"/>
  <sheetViews>
    <sheetView workbookViewId="0">
      <selection activeCell="AQ16" sqref="AQ16"/>
    </sheetView>
  </sheetViews>
  <sheetFormatPr baseColWidth="10" defaultColWidth="8.83203125" defaultRowHeight="16"/>
  <cols>
    <col min="2" max="2" width="32.1640625" customWidth="1"/>
    <col min="3" max="42" width="3.6640625" style="258" customWidth="1"/>
  </cols>
  <sheetData>
    <row r="2" spans="2:42">
      <c r="B2" s="733" t="s">
        <v>417</v>
      </c>
      <c r="C2" s="727" t="s">
        <v>418</v>
      </c>
      <c r="D2" s="728"/>
      <c r="E2" s="728"/>
      <c r="F2" s="729"/>
      <c r="G2" s="728" t="s">
        <v>419</v>
      </c>
      <c r="H2" s="728"/>
      <c r="I2" s="728"/>
      <c r="J2" s="735"/>
      <c r="K2" s="727" t="s">
        <v>420</v>
      </c>
      <c r="L2" s="728"/>
      <c r="M2" s="728"/>
      <c r="N2" s="729"/>
      <c r="O2" s="728" t="s">
        <v>421</v>
      </c>
      <c r="P2" s="728"/>
      <c r="Q2" s="728"/>
      <c r="R2" s="735"/>
      <c r="S2" s="727" t="s">
        <v>422</v>
      </c>
      <c r="T2" s="728"/>
      <c r="U2" s="728"/>
      <c r="V2" s="729"/>
      <c r="W2" s="728" t="s">
        <v>423</v>
      </c>
      <c r="X2" s="728"/>
      <c r="Y2" s="728"/>
      <c r="Z2" s="735"/>
      <c r="AA2" s="727" t="s">
        <v>424</v>
      </c>
      <c r="AB2" s="728"/>
      <c r="AC2" s="728"/>
      <c r="AD2" s="729"/>
      <c r="AE2" s="728" t="s">
        <v>425</v>
      </c>
      <c r="AF2" s="728"/>
      <c r="AG2" s="728"/>
      <c r="AH2" s="735"/>
      <c r="AI2" s="727" t="s">
        <v>426</v>
      </c>
      <c r="AJ2" s="728"/>
      <c r="AK2" s="728"/>
      <c r="AL2" s="729"/>
      <c r="AM2" s="728" t="s">
        <v>427</v>
      </c>
      <c r="AN2" s="728"/>
      <c r="AO2" s="728"/>
      <c r="AP2" s="729"/>
    </row>
    <row r="3" spans="2:42" ht="32">
      <c r="B3" s="734"/>
      <c r="C3" s="302" t="s">
        <v>428</v>
      </c>
      <c r="D3" s="303" t="s">
        <v>429</v>
      </c>
      <c r="E3" s="303" t="s">
        <v>430</v>
      </c>
      <c r="F3" s="304" t="s">
        <v>431</v>
      </c>
      <c r="G3" s="303" t="s">
        <v>428</v>
      </c>
      <c r="H3" s="303" t="s">
        <v>429</v>
      </c>
      <c r="I3" s="303" t="s">
        <v>430</v>
      </c>
      <c r="J3" s="305" t="s">
        <v>431</v>
      </c>
      <c r="K3" s="302" t="s">
        <v>428</v>
      </c>
      <c r="L3" s="303" t="s">
        <v>429</v>
      </c>
      <c r="M3" s="303" t="s">
        <v>430</v>
      </c>
      <c r="N3" s="304" t="s">
        <v>431</v>
      </c>
      <c r="O3" s="303" t="s">
        <v>428</v>
      </c>
      <c r="P3" s="303" t="s">
        <v>429</v>
      </c>
      <c r="Q3" s="303" t="s">
        <v>430</v>
      </c>
      <c r="R3" s="305" t="s">
        <v>431</v>
      </c>
      <c r="S3" s="302" t="s">
        <v>428</v>
      </c>
      <c r="T3" s="303" t="s">
        <v>429</v>
      </c>
      <c r="U3" s="303" t="s">
        <v>430</v>
      </c>
      <c r="V3" s="304" t="s">
        <v>431</v>
      </c>
      <c r="W3" s="303" t="s">
        <v>428</v>
      </c>
      <c r="X3" s="303" t="s">
        <v>429</v>
      </c>
      <c r="Y3" s="303" t="s">
        <v>430</v>
      </c>
      <c r="Z3" s="305" t="s">
        <v>431</v>
      </c>
      <c r="AA3" s="302" t="s">
        <v>428</v>
      </c>
      <c r="AB3" s="303" t="s">
        <v>429</v>
      </c>
      <c r="AC3" s="303" t="s">
        <v>430</v>
      </c>
      <c r="AD3" s="304" t="s">
        <v>431</v>
      </c>
      <c r="AE3" s="303" t="s">
        <v>428</v>
      </c>
      <c r="AF3" s="303" t="s">
        <v>429</v>
      </c>
      <c r="AG3" s="303" t="s">
        <v>430</v>
      </c>
      <c r="AH3" s="305" t="s">
        <v>431</v>
      </c>
      <c r="AI3" s="302" t="s">
        <v>428</v>
      </c>
      <c r="AJ3" s="303" t="s">
        <v>429</v>
      </c>
      <c r="AK3" s="303" t="s">
        <v>430</v>
      </c>
      <c r="AL3" s="304" t="s">
        <v>431</v>
      </c>
      <c r="AM3" s="303" t="s">
        <v>428</v>
      </c>
      <c r="AN3" s="303" t="s">
        <v>429</v>
      </c>
      <c r="AO3" s="303" t="s">
        <v>430</v>
      </c>
      <c r="AP3" s="304" t="s">
        <v>431</v>
      </c>
    </row>
    <row r="4" spans="2:42" ht="15" customHeight="1">
      <c r="B4" s="275" t="s">
        <v>432</v>
      </c>
      <c r="C4" s="306" t="s">
        <v>303</v>
      </c>
      <c r="D4" s="307" t="s">
        <v>303</v>
      </c>
      <c r="E4" s="308" t="s">
        <v>303</v>
      </c>
      <c r="F4" s="309" t="s">
        <v>303</v>
      </c>
      <c r="G4" s="308" t="s">
        <v>303</v>
      </c>
      <c r="H4" s="308" t="s">
        <v>303</v>
      </c>
      <c r="I4" s="308" t="s">
        <v>303</v>
      </c>
      <c r="J4" s="310" t="s">
        <v>303</v>
      </c>
      <c r="K4" s="311" t="s">
        <v>303</v>
      </c>
      <c r="L4" s="308" t="s">
        <v>303</v>
      </c>
      <c r="M4" s="308" t="s">
        <v>303</v>
      </c>
      <c r="N4" s="309" t="s">
        <v>303</v>
      </c>
      <c r="O4" s="307" t="s">
        <v>303</v>
      </c>
      <c r="P4" s="307" t="s">
        <v>303</v>
      </c>
      <c r="Q4" s="308" t="s">
        <v>303</v>
      </c>
      <c r="R4" s="310" t="s">
        <v>303</v>
      </c>
      <c r="S4" s="311" t="s">
        <v>303</v>
      </c>
      <c r="T4" s="308" t="s">
        <v>303</v>
      </c>
      <c r="U4" s="308" t="s">
        <v>303</v>
      </c>
      <c r="V4" s="309" t="s">
        <v>303</v>
      </c>
      <c r="W4" s="308" t="s">
        <v>303</v>
      </c>
      <c r="X4" s="308" t="s">
        <v>303</v>
      </c>
      <c r="Y4" s="308" t="s">
        <v>303</v>
      </c>
      <c r="Z4" s="310" t="s">
        <v>303</v>
      </c>
      <c r="AA4" s="306" t="s">
        <v>303</v>
      </c>
      <c r="AB4" s="307" t="s">
        <v>303</v>
      </c>
      <c r="AC4" s="308" t="s">
        <v>303</v>
      </c>
      <c r="AD4" s="309" t="s">
        <v>303</v>
      </c>
      <c r="AE4" s="308" t="s">
        <v>303</v>
      </c>
      <c r="AF4" s="308" t="s">
        <v>303</v>
      </c>
      <c r="AG4" s="308" t="s">
        <v>303</v>
      </c>
      <c r="AH4" s="310" t="s">
        <v>303</v>
      </c>
      <c r="AI4" s="311" t="s">
        <v>303</v>
      </c>
      <c r="AJ4" s="308" t="s">
        <v>303</v>
      </c>
      <c r="AK4" s="308" t="s">
        <v>303</v>
      </c>
      <c r="AL4" s="309" t="s">
        <v>303</v>
      </c>
      <c r="AM4" s="307" t="s">
        <v>303</v>
      </c>
      <c r="AN4" s="307" t="s">
        <v>303</v>
      </c>
      <c r="AO4" s="308" t="s">
        <v>303</v>
      </c>
      <c r="AP4" s="309" t="s">
        <v>303</v>
      </c>
    </row>
    <row r="5" spans="2:42" ht="15" customHeight="1">
      <c r="B5" s="275" t="s">
        <v>433</v>
      </c>
      <c r="C5" s="312" t="s">
        <v>303</v>
      </c>
      <c r="D5" s="271" t="s">
        <v>303</v>
      </c>
      <c r="E5" s="307" t="s">
        <v>303</v>
      </c>
      <c r="F5" s="313" t="s">
        <v>303</v>
      </c>
      <c r="G5" s="307" t="s">
        <v>303</v>
      </c>
      <c r="H5" s="307" t="s">
        <v>303</v>
      </c>
      <c r="I5" s="271" t="s">
        <v>303</v>
      </c>
      <c r="J5" s="314" t="s">
        <v>303</v>
      </c>
      <c r="K5" s="272" t="s">
        <v>303</v>
      </c>
      <c r="L5" s="271" t="s">
        <v>303</v>
      </c>
      <c r="M5" s="271" t="s">
        <v>303</v>
      </c>
      <c r="N5" s="273" t="s">
        <v>303</v>
      </c>
      <c r="O5" s="190" t="s">
        <v>303</v>
      </c>
      <c r="P5" s="271" t="s">
        <v>303</v>
      </c>
      <c r="Q5" s="271" t="s">
        <v>303</v>
      </c>
      <c r="R5" s="314" t="s">
        <v>303</v>
      </c>
      <c r="S5" s="272" t="s">
        <v>303</v>
      </c>
      <c r="T5" s="271" t="s">
        <v>303</v>
      </c>
      <c r="U5" s="271" t="s">
        <v>303</v>
      </c>
      <c r="V5" s="273" t="s">
        <v>303</v>
      </c>
      <c r="W5" s="190" t="s">
        <v>303</v>
      </c>
      <c r="X5" s="271" t="s">
        <v>303</v>
      </c>
      <c r="Y5" s="271" t="s">
        <v>303</v>
      </c>
      <c r="Z5" s="314" t="s">
        <v>303</v>
      </c>
      <c r="AA5" s="312" t="s">
        <v>303</v>
      </c>
      <c r="AB5" s="271" t="s">
        <v>303</v>
      </c>
      <c r="AC5" s="271" t="s">
        <v>303</v>
      </c>
      <c r="AD5" s="273" t="s">
        <v>303</v>
      </c>
      <c r="AE5" s="190" t="s">
        <v>303</v>
      </c>
      <c r="AF5" s="271" t="s">
        <v>303</v>
      </c>
      <c r="AG5" s="271" t="s">
        <v>303</v>
      </c>
      <c r="AH5" s="314" t="s">
        <v>303</v>
      </c>
      <c r="AI5" s="272" t="s">
        <v>303</v>
      </c>
      <c r="AJ5" s="271" t="s">
        <v>303</v>
      </c>
      <c r="AK5" s="271" t="s">
        <v>303</v>
      </c>
      <c r="AL5" s="273" t="s">
        <v>303</v>
      </c>
      <c r="AM5" s="190" t="s">
        <v>303</v>
      </c>
      <c r="AN5" s="271" t="s">
        <v>303</v>
      </c>
      <c r="AO5" s="271" t="s">
        <v>303</v>
      </c>
      <c r="AP5" s="315" t="s">
        <v>303</v>
      </c>
    </row>
    <row r="6" spans="2:42" ht="15" customHeight="1">
      <c r="B6" s="275" t="s">
        <v>434</v>
      </c>
      <c r="C6" s="312" t="s">
        <v>303</v>
      </c>
      <c r="D6" s="271" t="s">
        <v>303</v>
      </c>
      <c r="E6" s="271" t="s">
        <v>303</v>
      </c>
      <c r="F6" s="315" t="s">
        <v>303</v>
      </c>
      <c r="G6" s="190" t="s">
        <v>303</v>
      </c>
      <c r="H6" s="271" t="s">
        <v>303</v>
      </c>
      <c r="I6" s="271" t="s">
        <v>303</v>
      </c>
      <c r="J6" s="314" t="s">
        <v>303</v>
      </c>
      <c r="K6" s="272" t="s">
        <v>303</v>
      </c>
      <c r="L6" s="271" t="s">
        <v>303</v>
      </c>
      <c r="M6" s="271" t="s">
        <v>303</v>
      </c>
      <c r="N6" s="273" t="s">
        <v>303</v>
      </c>
      <c r="O6" s="190" t="s">
        <v>303</v>
      </c>
      <c r="P6" s="271" t="s">
        <v>303</v>
      </c>
      <c r="Q6" s="271" t="s">
        <v>303</v>
      </c>
      <c r="R6" s="314" t="s">
        <v>303</v>
      </c>
      <c r="S6" s="272" t="s">
        <v>303</v>
      </c>
      <c r="T6" s="271" t="s">
        <v>303</v>
      </c>
      <c r="U6" s="271" t="s">
        <v>303</v>
      </c>
      <c r="V6" s="273" t="s">
        <v>303</v>
      </c>
      <c r="W6" s="190" t="s">
        <v>303</v>
      </c>
      <c r="X6" s="271" t="s">
        <v>303</v>
      </c>
      <c r="Y6" s="271" t="s">
        <v>303</v>
      </c>
      <c r="Z6" s="314" t="s">
        <v>303</v>
      </c>
      <c r="AA6" s="312" t="s">
        <v>303</v>
      </c>
      <c r="AB6" s="271" t="s">
        <v>303</v>
      </c>
      <c r="AC6" s="271" t="s">
        <v>303</v>
      </c>
      <c r="AD6" s="273" t="s">
        <v>303</v>
      </c>
      <c r="AE6" s="190" t="s">
        <v>303</v>
      </c>
      <c r="AF6" s="271" t="s">
        <v>303</v>
      </c>
      <c r="AG6" s="271" t="s">
        <v>303</v>
      </c>
      <c r="AH6" s="314" t="s">
        <v>303</v>
      </c>
      <c r="AI6" s="272" t="s">
        <v>303</v>
      </c>
      <c r="AJ6" s="271" t="s">
        <v>303</v>
      </c>
      <c r="AK6" s="271" t="s">
        <v>303</v>
      </c>
      <c r="AL6" s="273" t="s">
        <v>303</v>
      </c>
      <c r="AM6" s="190" t="s">
        <v>303</v>
      </c>
      <c r="AN6" s="271" t="s">
        <v>303</v>
      </c>
      <c r="AO6" s="271" t="s">
        <v>303</v>
      </c>
      <c r="AP6" s="315" t="s">
        <v>303</v>
      </c>
    </row>
    <row r="7" spans="2:42" ht="15" customHeight="1">
      <c r="B7" s="276" t="s">
        <v>435</v>
      </c>
      <c r="C7" s="312" t="s">
        <v>303</v>
      </c>
      <c r="D7" s="271" t="s">
        <v>303</v>
      </c>
      <c r="E7" s="271" t="s">
        <v>303</v>
      </c>
      <c r="F7" s="315" t="s">
        <v>303</v>
      </c>
      <c r="G7" s="190" t="s">
        <v>303</v>
      </c>
      <c r="H7" s="271" t="s">
        <v>303</v>
      </c>
      <c r="I7" s="307" t="s">
        <v>303</v>
      </c>
      <c r="J7" s="316" t="s">
        <v>303</v>
      </c>
      <c r="K7" s="306" t="s">
        <v>303</v>
      </c>
      <c r="L7" s="271" t="s">
        <v>303</v>
      </c>
      <c r="M7" s="271" t="s">
        <v>303</v>
      </c>
      <c r="N7" s="273" t="s">
        <v>303</v>
      </c>
      <c r="O7" s="190" t="s">
        <v>303</v>
      </c>
      <c r="P7" s="271" t="s">
        <v>303</v>
      </c>
      <c r="Q7" s="271" t="s">
        <v>303</v>
      </c>
      <c r="R7" s="314" t="s">
        <v>303</v>
      </c>
      <c r="S7" s="272" t="s">
        <v>303</v>
      </c>
      <c r="T7" s="271" t="s">
        <v>303</v>
      </c>
      <c r="U7" s="271" t="s">
        <v>303</v>
      </c>
      <c r="V7" s="273" t="s">
        <v>303</v>
      </c>
      <c r="W7" s="190" t="s">
        <v>303</v>
      </c>
      <c r="X7" s="271" t="s">
        <v>303</v>
      </c>
      <c r="Y7" s="271" t="s">
        <v>303</v>
      </c>
      <c r="Z7" s="314" t="s">
        <v>303</v>
      </c>
      <c r="AA7" s="312" t="s">
        <v>303</v>
      </c>
      <c r="AB7" s="271" t="s">
        <v>303</v>
      </c>
      <c r="AC7" s="271" t="s">
        <v>303</v>
      </c>
      <c r="AD7" s="273" t="s">
        <v>303</v>
      </c>
      <c r="AE7" s="190" t="s">
        <v>303</v>
      </c>
      <c r="AF7" s="271" t="s">
        <v>303</v>
      </c>
      <c r="AG7" s="271" t="s">
        <v>303</v>
      </c>
      <c r="AH7" s="314" t="s">
        <v>303</v>
      </c>
      <c r="AI7" s="272" t="s">
        <v>303</v>
      </c>
      <c r="AJ7" s="271" t="s">
        <v>303</v>
      </c>
      <c r="AK7" s="271" t="s">
        <v>303</v>
      </c>
      <c r="AL7" s="273" t="s">
        <v>303</v>
      </c>
      <c r="AM7" s="190" t="s">
        <v>303</v>
      </c>
      <c r="AN7" s="271" t="s">
        <v>303</v>
      </c>
      <c r="AO7" s="271" t="s">
        <v>303</v>
      </c>
      <c r="AP7" s="315" t="s">
        <v>303</v>
      </c>
    </row>
    <row r="8" spans="2:42" ht="15" customHeight="1">
      <c r="B8" s="276" t="s">
        <v>436</v>
      </c>
      <c r="C8" s="312" t="s">
        <v>303</v>
      </c>
      <c r="D8" s="271" t="s">
        <v>303</v>
      </c>
      <c r="E8" s="271" t="s">
        <v>303</v>
      </c>
      <c r="F8" s="315" t="s">
        <v>303</v>
      </c>
      <c r="G8" s="190" t="s">
        <v>303</v>
      </c>
      <c r="H8" s="271" t="s">
        <v>303</v>
      </c>
      <c r="I8" s="271" t="s">
        <v>303</v>
      </c>
      <c r="J8" s="314" t="s">
        <v>303</v>
      </c>
      <c r="K8" s="272" t="s">
        <v>303</v>
      </c>
      <c r="L8" s="307" t="s">
        <v>303</v>
      </c>
      <c r="M8" s="271" t="s">
        <v>303</v>
      </c>
      <c r="N8" s="273" t="s">
        <v>303</v>
      </c>
      <c r="O8" s="190" t="s">
        <v>303</v>
      </c>
      <c r="P8" s="271" t="s">
        <v>303</v>
      </c>
      <c r="Q8" s="271" t="s">
        <v>303</v>
      </c>
      <c r="R8" s="314" t="s">
        <v>303</v>
      </c>
      <c r="S8" s="272" t="s">
        <v>303</v>
      </c>
      <c r="T8" s="271" t="s">
        <v>303</v>
      </c>
      <c r="U8" s="271" t="s">
        <v>303</v>
      </c>
      <c r="V8" s="273" t="s">
        <v>303</v>
      </c>
      <c r="W8" s="190" t="s">
        <v>303</v>
      </c>
      <c r="X8" s="271" t="s">
        <v>303</v>
      </c>
      <c r="Y8" s="271" t="s">
        <v>303</v>
      </c>
      <c r="Z8" s="314" t="s">
        <v>303</v>
      </c>
      <c r="AA8" s="312" t="s">
        <v>303</v>
      </c>
      <c r="AB8" s="271" t="s">
        <v>303</v>
      </c>
      <c r="AC8" s="271" t="s">
        <v>303</v>
      </c>
      <c r="AD8" s="273" t="s">
        <v>303</v>
      </c>
      <c r="AE8" s="190" t="s">
        <v>303</v>
      </c>
      <c r="AF8" s="271" t="s">
        <v>303</v>
      </c>
      <c r="AG8" s="271" t="s">
        <v>303</v>
      </c>
      <c r="AH8" s="314" t="s">
        <v>303</v>
      </c>
      <c r="AI8" s="272" t="s">
        <v>303</v>
      </c>
      <c r="AJ8" s="271" t="s">
        <v>303</v>
      </c>
      <c r="AK8" s="271" t="s">
        <v>303</v>
      </c>
      <c r="AL8" s="273" t="s">
        <v>303</v>
      </c>
      <c r="AM8" s="190" t="s">
        <v>303</v>
      </c>
      <c r="AN8" s="271" t="s">
        <v>303</v>
      </c>
      <c r="AO8" s="271" t="s">
        <v>303</v>
      </c>
      <c r="AP8" s="315" t="s">
        <v>303</v>
      </c>
    </row>
    <row r="9" spans="2:42" ht="15" customHeight="1">
      <c r="B9" s="276" t="s">
        <v>437</v>
      </c>
      <c r="C9" s="312" t="s">
        <v>303</v>
      </c>
      <c r="D9" s="271" t="s">
        <v>303</v>
      </c>
      <c r="E9" s="271" t="s">
        <v>303</v>
      </c>
      <c r="F9" s="315" t="s">
        <v>303</v>
      </c>
      <c r="G9" s="190" t="s">
        <v>303</v>
      </c>
      <c r="H9" s="271" t="s">
        <v>303</v>
      </c>
      <c r="I9" s="307" t="s">
        <v>303</v>
      </c>
      <c r="J9" s="316" t="s">
        <v>303</v>
      </c>
      <c r="K9" s="306" t="s">
        <v>303</v>
      </c>
      <c r="L9" s="307" t="s">
        <v>303</v>
      </c>
      <c r="M9" s="271" t="s">
        <v>303</v>
      </c>
      <c r="N9" s="273" t="s">
        <v>303</v>
      </c>
      <c r="O9" s="190" t="s">
        <v>303</v>
      </c>
      <c r="P9" s="271" t="s">
        <v>303</v>
      </c>
      <c r="Q9" s="271" t="s">
        <v>303</v>
      </c>
      <c r="R9" s="314" t="s">
        <v>303</v>
      </c>
      <c r="S9" s="272" t="s">
        <v>303</v>
      </c>
      <c r="T9" s="271" t="s">
        <v>303</v>
      </c>
      <c r="U9" s="271" t="s">
        <v>303</v>
      </c>
      <c r="V9" s="273" t="s">
        <v>303</v>
      </c>
      <c r="W9" s="190" t="s">
        <v>303</v>
      </c>
      <c r="X9" s="271" t="s">
        <v>303</v>
      </c>
      <c r="Y9" s="271" t="s">
        <v>303</v>
      </c>
      <c r="Z9" s="314" t="s">
        <v>303</v>
      </c>
      <c r="AA9" s="312" t="s">
        <v>303</v>
      </c>
      <c r="AB9" s="271" t="s">
        <v>303</v>
      </c>
      <c r="AC9" s="271" t="s">
        <v>303</v>
      </c>
      <c r="AD9" s="273" t="s">
        <v>303</v>
      </c>
      <c r="AE9" s="190" t="s">
        <v>303</v>
      </c>
      <c r="AF9" s="271" t="s">
        <v>303</v>
      </c>
      <c r="AG9" s="271" t="s">
        <v>303</v>
      </c>
      <c r="AH9" s="314" t="s">
        <v>303</v>
      </c>
      <c r="AI9" s="272" t="s">
        <v>303</v>
      </c>
      <c r="AJ9" s="271" t="s">
        <v>303</v>
      </c>
      <c r="AK9" s="271" t="s">
        <v>303</v>
      </c>
      <c r="AL9" s="273" t="s">
        <v>303</v>
      </c>
      <c r="AM9" s="190" t="s">
        <v>303</v>
      </c>
      <c r="AN9" s="271" t="s">
        <v>303</v>
      </c>
      <c r="AO9" s="271" t="s">
        <v>303</v>
      </c>
      <c r="AP9" s="315" t="s">
        <v>303</v>
      </c>
    </row>
    <row r="10" spans="2:42" ht="15" customHeight="1">
      <c r="B10" s="276" t="s">
        <v>438</v>
      </c>
      <c r="C10" s="312" t="s">
        <v>303</v>
      </c>
      <c r="D10" s="271" t="s">
        <v>303</v>
      </c>
      <c r="E10" s="271" t="s">
        <v>303</v>
      </c>
      <c r="F10" s="315" t="s">
        <v>303</v>
      </c>
      <c r="G10" s="190" t="s">
        <v>303</v>
      </c>
      <c r="H10" s="271" t="s">
        <v>303</v>
      </c>
      <c r="I10" s="271" t="s">
        <v>303</v>
      </c>
      <c r="J10" s="314" t="s">
        <v>303</v>
      </c>
      <c r="K10" s="272" t="s">
        <v>303</v>
      </c>
      <c r="L10" s="271" t="s">
        <v>303</v>
      </c>
      <c r="M10" s="307" t="s">
        <v>303</v>
      </c>
      <c r="N10" s="273" t="s">
        <v>303</v>
      </c>
      <c r="O10" s="190" t="s">
        <v>303</v>
      </c>
      <c r="P10" s="271" t="s">
        <v>303</v>
      </c>
      <c r="Q10" s="271" t="s">
        <v>303</v>
      </c>
      <c r="R10" s="314" t="s">
        <v>303</v>
      </c>
      <c r="S10" s="272" t="s">
        <v>303</v>
      </c>
      <c r="T10" s="271" t="s">
        <v>303</v>
      </c>
      <c r="U10" s="271" t="s">
        <v>303</v>
      </c>
      <c r="V10" s="273" t="s">
        <v>303</v>
      </c>
      <c r="W10" s="190" t="s">
        <v>303</v>
      </c>
      <c r="X10" s="271" t="s">
        <v>303</v>
      </c>
      <c r="Y10" s="271" t="s">
        <v>303</v>
      </c>
      <c r="Z10" s="314" t="s">
        <v>303</v>
      </c>
      <c r="AA10" s="312" t="s">
        <v>303</v>
      </c>
      <c r="AB10" s="271" t="s">
        <v>303</v>
      </c>
      <c r="AC10" s="271" t="s">
        <v>303</v>
      </c>
      <c r="AD10" s="273" t="s">
        <v>303</v>
      </c>
      <c r="AE10" s="190" t="s">
        <v>303</v>
      </c>
      <c r="AF10" s="271" t="s">
        <v>303</v>
      </c>
      <c r="AG10" s="271" t="s">
        <v>303</v>
      </c>
      <c r="AH10" s="314" t="s">
        <v>303</v>
      </c>
      <c r="AI10" s="272" t="s">
        <v>303</v>
      </c>
      <c r="AJ10" s="271" t="s">
        <v>303</v>
      </c>
      <c r="AK10" s="271" t="s">
        <v>303</v>
      </c>
      <c r="AL10" s="273" t="s">
        <v>303</v>
      </c>
      <c r="AM10" s="190" t="s">
        <v>303</v>
      </c>
      <c r="AN10" s="271" t="s">
        <v>303</v>
      </c>
      <c r="AO10" s="271" t="s">
        <v>303</v>
      </c>
      <c r="AP10" s="315" t="s">
        <v>303</v>
      </c>
    </row>
    <row r="11" spans="2:42" ht="15" customHeight="1">
      <c r="B11" s="275" t="s">
        <v>48</v>
      </c>
      <c r="C11" s="312" t="s">
        <v>303</v>
      </c>
      <c r="D11" s="271" t="s">
        <v>303</v>
      </c>
      <c r="E11" s="271" t="s">
        <v>303</v>
      </c>
      <c r="F11" s="315" t="s">
        <v>303</v>
      </c>
      <c r="G11" s="190" t="s">
        <v>303</v>
      </c>
      <c r="H11" s="271" t="s">
        <v>303</v>
      </c>
      <c r="I11" s="271" t="s">
        <v>303</v>
      </c>
      <c r="J11" s="314" t="s">
        <v>303</v>
      </c>
      <c r="K11" s="272" t="s">
        <v>303</v>
      </c>
      <c r="L11" s="271" t="s">
        <v>303</v>
      </c>
      <c r="M11" s="271" t="s">
        <v>303</v>
      </c>
      <c r="N11" s="313" t="s">
        <v>303</v>
      </c>
      <c r="O11" s="190" t="s">
        <v>303</v>
      </c>
      <c r="P11" s="271" t="s">
        <v>303</v>
      </c>
      <c r="Q11" s="271" t="s">
        <v>303</v>
      </c>
      <c r="R11" s="314" t="s">
        <v>303</v>
      </c>
      <c r="S11" s="272" t="s">
        <v>303</v>
      </c>
      <c r="T11" s="271" t="s">
        <v>303</v>
      </c>
      <c r="U11" s="271" t="s">
        <v>303</v>
      </c>
      <c r="V11" s="273" t="s">
        <v>303</v>
      </c>
      <c r="W11" s="190" t="s">
        <v>303</v>
      </c>
      <c r="X11" s="271" t="s">
        <v>303</v>
      </c>
      <c r="Y11" s="271" t="s">
        <v>303</v>
      </c>
      <c r="Z11" s="314" t="s">
        <v>303</v>
      </c>
      <c r="AA11" s="312" t="s">
        <v>303</v>
      </c>
      <c r="AB11" s="271" t="s">
        <v>303</v>
      </c>
      <c r="AC11" s="271" t="s">
        <v>303</v>
      </c>
      <c r="AD11" s="273" t="s">
        <v>303</v>
      </c>
      <c r="AE11" s="190" t="s">
        <v>303</v>
      </c>
      <c r="AF11" s="271" t="s">
        <v>303</v>
      </c>
      <c r="AG11" s="271" t="s">
        <v>303</v>
      </c>
      <c r="AH11" s="314" t="s">
        <v>303</v>
      </c>
      <c r="AI11" s="272" t="s">
        <v>303</v>
      </c>
      <c r="AJ11" s="271" t="s">
        <v>303</v>
      </c>
      <c r="AK11" s="271" t="s">
        <v>303</v>
      </c>
      <c r="AL11" s="273" t="s">
        <v>303</v>
      </c>
      <c r="AM11" s="190" t="s">
        <v>303</v>
      </c>
      <c r="AN11" s="271" t="s">
        <v>303</v>
      </c>
      <c r="AO11" s="271" t="s">
        <v>303</v>
      </c>
      <c r="AP11" s="315" t="s">
        <v>303</v>
      </c>
    </row>
    <row r="12" spans="2:42" ht="15" customHeight="1">
      <c r="B12" s="275" t="s">
        <v>439</v>
      </c>
      <c r="C12" s="312" t="s">
        <v>303</v>
      </c>
      <c r="D12" s="271" t="s">
        <v>303</v>
      </c>
      <c r="E12" s="271" t="s">
        <v>303</v>
      </c>
      <c r="F12" s="315" t="s">
        <v>303</v>
      </c>
      <c r="G12" s="190" t="s">
        <v>303</v>
      </c>
      <c r="H12" s="271" t="s">
        <v>303</v>
      </c>
      <c r="I12" s="271" t="s">
        <v>303</v>
      </c>
      <c r="J12" s="314" t="s">
        <v>303</v>
      </c>
      <c r="K12" s="272" t="s">
        <v>303</v>
      </c>
      <c r="L12" s="271" t="s">
        <v>303</v>
      </c>
      <c r="M12" s="271" t="s">
        <v>303</v>
      </c>
      <c r="N12" s="273" t="s">
        <v>303</v>
      </c>
      <c r="O12" s="190" t="s">
        <v>303</v>
      </c>
      <c r="P12" s="271" t="s">
        <v>303</v>
      </c>
      <c r="Q12" s="271" t="s">
        <v>303</v>
      </c>
      <c r="R12" s="314" t="s">
        <v>303</v>
      </c>
      <c r="S12" s="272" t="s">
        <v>303</v>
      </c>
      <c r="T12" s="271" t="s">
        <v>303</v>
      </c>
      <c r="U12" s="271" t="s">
        <v>303</v>
      </c>
      <c r="V12" s="273" t="s">
        <v>303</v>
      </c>
      <c r="W12" s="190" t="s">
        <v>303</v>
      </c>
      <c r="X12" s="271" t="s">
        <v>303</v>
      </c>
      <c r="Y12" s="271" t="s">
        <v>303</v>
      </c>
      <c r="Z12" s="314" t="s">
        <v>303</v>
      </c>
      <c r="AA12" s="312" t="s">
        <v>303</v>
      </c>
      <c r="AB12" s="271" t="s">
        <v>303</v>
      </c>
      <c r="AC12" s="271" t="s">
        <v>303</v>
      </c>
      <c r="AD12" s="273" t="s">
        <v>303</v>
      </c>
      <c r="AE12" s="190" t="s">
        <v>303</v>
      </c>
      <c r="AF12" s="271" t="s">
        <v>303</v>
      </c>
      <c r="AG12" s="271" t="s">
        <v>303</v>
      </c>
      <c r="AH12" s="314" t="s">
        <v>303</v>
      </c>
      <c r="AI12" s="272" t="s">
        <v>303</v>
      </c>
      <c r="AJ12" s="271" t="s">
        <v>303</v>
      </c>
      <c r="AK12" s="271" t="s">
        <v>303</v>
      </c>
      <c r="AL12" s="273" t="s">
        <v>303</v>
      </c>
      <c r="AM12" s="190" t="s">
        <v>303</v>
      </c>
      <c r="AN12" s="271" t="s">
        <v>303</v>
      </c>
      <c r="AO12" s="271" t="s">
        <v>303</v>
      </c>
      <c r="AP12" s="315" t="s">
        <v>303</v>
      </c>
    </row>
    <row r="13" spans="2:42" ht="15" customHeight="1">
      <c r="B13" s="276" t="s">
        <v>440</v>
      </c>
      <c r="C13" s="312" t="s">
        <v>303</v>
      </c>
      <c r="D13" s="271" t="s">
        <v>303</v>
      </c>
      <c r="E13" s="271" t="s">
        <v>303</v>
      </c>
      <c r="F13" s="315" t="s">
        <v>303</v>
      </c>
      <c r="G13" s="190" t="s">
        <v>303</v>
      </c>
      <c r="H13" s="271" t="s">
        <v>303</v>
      </c>
      <c r="I13" s="271" t="s">
        <v>303</v>
      </c>
      <c r="J13" s="314" t="s">
        <v>303</v>
      </c>
      <c r="K13" s="306" t="s">
        <v>303</v>
      </c>
      <c r="L13" s="307" t="s">
        <v>303</v>
      </c>
      <c r="M13" s="307" t="s">
        <v>303</v>
      </c>
      <c r="N13" s="313" t="s">
        <v>303</v>
      </c>
      <c r="O13" s="308" t="s">
        <v>303</v>
      </c>
      <c r="P13" s="308" t="s">
        <v>303</v>
      </c>
      <c r="Q13" s="308" t="s">
        <v>303</v>
      </c>
      <c r="R13" s="310" t="s">
        <v>303</v>
      </c>
      <c r="S13" s="311" t="s">
        <v>303</v>
      </c>
      <c r="T13" s="308" t="s">
        <v>303</v>
      </c>
      <c r="U13" s="308" t="s">
        <v>303</v>
      </c>
      <c r="V13" s="309" t="s">
        <v>303</v>
      </c>
      <c r="W13" s="308" t="s">
        <v>303</v>
      </c>
      <c r="X13" s="308" t="s">
        <v>303</v>
      </c>
      <c r="Y13" s="308" t="s">
        <v>303</v>
      </c>
      <c r="Z13" s="310" t="s">
        <v>303</v>
      </c>
      <c r="AA13" s="311" t="s">
        <v>303</v>
      </c>
      <c r="AB13" s="308" t="s">
        <v>303</v>
      </c>
      <c r="AC13" s="308" t="s">
        <v>303</v>
      </c>
      <c r="AD13" s="309" t="s">
        <v>303</v>
      </c>
      <c r="AE13" s="308" t="s">
        <v>303</v>
      </c>
      <c r="AF13" s="308" t="s">
        <v>303</v>
      </c>
      <c r="AG13" s="308" t="s">
        <v>303</v>
      </c>
      <c r="AH13" s="310" t="s">
        <v>303</v>
      </c>
      <c r="AI13" s="311" t="s">
        <v>303</v>
      </c>
      <c r="AJ13" s="308" t="s">
        <v>303</v>
      </c>
      <c r="AK13" s="308" t="s">
        <v>303</v>
      </c>
      <c r="AL13" s="309" t="s">
        <v>303</v>
      </c>
      <c r="AM13" s="308" t="s">
        <v>303</v>
      </c>
      <c r="AN13" s="308" t="s">
        <v>303</v>
      </c>
      <c r="AO13" s="308" t="s">
        <v>303</v>
      </c>
      <c r="AP13" s="309" t="s">
        <v>303</v>
      </c>
    </row>
    <row r="14" spans="2:42" ht="15" customHeight="1">
      <c r="B14" s="276" t="s">
        <v>441</v>
      </c>
      <c r="C14" s="312" t="s">
        <v>303</v>
      </c>
      <c r="D14" s="271" t="s">
        <v>303</v>
      </c>
      <c r="E14" s="271" t="s">
        <v>303</v>
      </c>
      <c r="F14" s="315" t="s">
        <v>303</v>
      </c>
      <c r="G14" s="190" t="s">
        <v>303</v>
      </c>
      <c r="H14" s="271" t="s">
        <v>303</v>
      </c>
      <c r="I14" s="271" t="s">
        <v>303</v>
      </c>
      <c r="J14" s="314" t="s">
        <v>303</v>
      </c>
      <c r="K14" s="306" t="s">
        <v>303</v>
      </c>
      <c r="L14" s="307" t="s">
        <v>303</v>
      </c>
      <c r="M14" s="307" t="s">
        <v>303</v>
      </c>
      <c r="N14" s="313" t="s">
        <v>303</v>
      </c>
      <c r="O14" s="308" t="s">
        <v>303</v>
      </c>
      <c r="P14" s="308" t="s">
        <v>303</v>
      </c>
      <c r="Q14" s="308" t="s">
        <v>303</v>
      </c>
      <c r="R14" s="310" t="s">
        <v>303</v>
      </c>
      <c r="S14" s="311" t="s">
        <v>303</v>
      </c>
      <c r="T14" s="308" t="s">
        <v>303</v>
      </c>
      <c r="U14" s="308" t="s">
        <v>303</v>
      </c>
      <c r="V14" s="309" t="s">
        <v>303</v>
      </c>
      <c r="W14" s="308" t="s">
        <v>303</v>
      </c>
      <c r="X14" s="308" t="s">
        <v>303</v>
      </c>
      <c r="Y14" s="308" t="s">
        <v>303</v>
      </c>
      <c r="Z14" s="310" t="s">
        <v>303</v>
      </c>
      <c r="AA14" s="311" t="s">
        <v>303</v>
      </c>
      <c r="AB14" s="308" t="s">
        <v>303</v>
      </c>
      <c r="AC14" s="308" t="s">
        <v>303</v>
      </c>
      <c r="AD14" s="309" t="s">
        <v>303</v>
      </c>
      <c r="AE14" s="308" t="s">
        <v>303</v>
      </c>
      <c r="AF14" s="308" t="s">
        <v>303</v>
      </c>
      <c r="AG14" s="308" t="s">
        <v>303</v>
      </c>
      <c r="AH14" s="310" t="s">
        <v>303</v>
      </c>
      <c r="AI14" s="311" t="s">
        <v>303</v>
      </c>
      <c r="AJ14" s="308" t="s">
        <v>303</v>
      </c>
      <c r="AK14" s="308" t="s">
        <v>303</v>
      </c>
      <c r="AL14" s="309" t="s">
        <v>303</v>
      </c>
      <c r="AM14" s="308" t="s">
        <v>303</v>
      </c>
      <c r="AN14" s="308" t="s">
        <v>303</v>
      </c>
      <c r="AO14" s="308" t="s">
        <v>303</v>
      </c>
      <c r="AP14" s="309" t="s">
        <v>303</v>
      </c>
    </row>
    <row r="15" spans="2:42" ht="15" customHeight="1">
      <c r="B15" s="276" t="s">
        <v>442</v>
      </c>
      <c r="C15" s="312" t="s">
        <v>303</v>
      </c>
      <c r="D15" s="271" t="s">
        <v>303</v>
      </c>
      <c r="E15" s="271" t="s">
        <v>303</v>
      </c>
      <c r="F15" s="315" t="s">
        <v>303</v>
      </c>
      <c r="G15" s="190" t="s">
        <v>303</v>
      </c>
      <c r="H15" s="271" t="s">
        <v>303</v>
      </c>
      <c r="I15" s="271" t="s">
        <v>303</v>
      </c>
      <c r="J15" s="314" t="s">
        <v>303</v>
      </c>
      <c r="K15" s="311" t="s">
        <v>303</v>
      </c>
      <c r="L15" s="308" t="s">
        <v>303</v>
      </c>
      <c r="M15" s="308" t="s">
        <v>303</v>
      </c>
      <c r="N15" s="309" t="s">
        <v>303</v>
      </c>
      <c r="O15" s="308" t="s">
        <v>303</v>
      </c>
      <c r="P15" s="308" t="s">
        <v>303</v>
      </c>
      <c r="Q15" s="308" t="s">
        <v>303</v>
      </c>
      <c r="R15" s="310" t="s">
        <v>303</v>
      </c>
      <c r="S15" s="311" t="s">
        <v>303</v>
      </c>
      <c r="T15" s="308" t="s">
        <v>303</v>
      </c>
      <c r="U15" s="308" t="s">
        <v>303</v>
      </c>
      <c r="V15" s="309" t="s">
        <v>303</v>
      </c>
      <c r="W15" s="308" t="s">
        <v>303</v>
      </c>
      <c r="X15" s="308" t="s">
        <v>303</v>
      </c>
      <c r="Y15" s="308" t="s">
        <v>303</v>
      </c>
      <c r="Z15" s="310" t="s">
        <v>303</v>
      </c>
      <c r="AA15" s="311" t="s">
        <v>303</v>
      </c>
      <c r="AB15" s="308" t="s">
        <v>303</v>
      </c>
      <c r="AC15" s="308" t="s">
        <v>303</v>
      </c>
      <c r="AD15" s="309" t="s">
        <v>303</v>
      </c>
      <c r="AE15" s="308" t="s">
        <v>303</v>
      </c>
      <c r="AF15" s="308" t="s">
        <v>303</v>
      </c>
      <c r="AG15" s="308" t="s">
        <v>303</v>
      </c>
      <c r="AH15" s="310" t="s">
        <v>303</v>
      </c>
      <c r="AI15" s="311" t="s">
        <v>303</v>
      </c>
      <c r="AJ15" s="308" t="s">
        <v>303</v>
      </c>
      <c r="AK15" s="308" t="s">
        <v>303</v>
      </c>
      <c r="AL15" s="309" t="s">
        <v>303</v>
      </c>
      <c r="AM15" s="308" t="s">
        <v>303</v>
      </c>
      <c r="AN15" s="308" t="s">
        <v>303</v>
      </c>
      <c r="AO15" s="308" t="s">
        <v>303</v>
      </c>
      <c r="AP15" s="309" t="s">
        <v>303</v>
      </c>
    </row>
    <row r="16" spans="2:42" ht="15" customHeight="1">
      <c r="B16" s="276" t="s">
        <v>443</v>
      </c>
      <c r="C16" s="312" t="s">
        <v>303</v>
      </c>
      <c r="D16" s="271" t="s">
        <v>303</v>
      </c>
      <c r="E16" s="271" t="s">
        <v>303</v>
      </c>
      <c r="F16" s="315" t="s">
        <v>303</v>
      </c>
      <c r="G16" s="190" t="s">
        <v>303</v>
      </c>
      <c r="H16" s="271" t="s">
        <v>303</v>
      </c>
      <c r="I16" s="271" t="s">
        <v>303</v>
      </c>
      <c r="J16" s="314" t="s">
        <v>303</v>
      </c>
      <c r="K16" s="272" t="s">
        <v>303</v>
      </c>
      <c r="L16" s="271" t="s">
        <v>303</v>
      </c>
      <c r="M16" s="271" t="s">
        <v>303</v>
      </c>
      <c r="N16" s="273" t="s">
        <v>303</v>
      </c>
      <c r="O16" s="190" t="s">
        <v>303</v>
      </c>
      <c r="P16" s="271" t="s">
        <v>303</v>
      </c>
      <c r="Q16" s="271" t="s">
        <v>303</v>
      </c>
      <c r="R16" s="314" t="s">
        <v>303</v>
      </c>
      <c r="S16" s="272" t="s">
        <v>303</v>
      </c>
      <c r="T16" s="271" t="s">
        <v>303</v>
      </c>
      <c r="U16" s="271" t="s">
        <v>303</v>
      </c>
      <c r="V16" s="273" t="s">
        <v>303</v>
      </c>
      <c r="W16" s="190" t="s">
        <v>303</v>
      </c>
      <c r="X16" s="271" t="s">
        <v>303</v>
      </c>
      <c r="Y16" s="271" t="s">
        <v>303</v>
      </c>
      <c r="Z16" s="314" t="s">
        <v>303</v>
      </c>
      <c r="AA16" s="312" t="s">
        <v>303</v>
      </c>
      <c r="AB16" s="271" t="s">
        <v>303</v>
      </c>
      <c r="AC16" s="271" t="s">
        <v>303</v>
      </c>
      <c r="AD16" s="273" t="s">
        <v>303</v>
      </c>
      <c r="AE16" s="190" t="s">
        <v>303</v>
      </c>
      <c r="AF16" s="271" t="s">
        <v>303</v>
      </c>
      <c r="AG16" s="271" t="s">
        <v>303</v>
      </c>
      <c r="AH16" s="314" t="s">
        <v>303</v>
      </c>
      <c r="AI16" s="272" t="s">
        <v>303</v>
      </c>
      <c r="AJ16" s="271" t="s">
        <v>303</v>
      </c>
      <c r="AK16" s="271" t="s">
        <v>303</v>
      </c>
      <c r="AL16" s="273" t="s">
        <v>303</v>
      </c>
      <c r="AM16" s="190" t="s">
        <v>303</v>
      </c>
      <c r="AN16" s="271" t="s">
        <v>303</v>
      </c>
      <c r="AO16" s="271" t="s">
        <v>303</v>
      </c>
      <c r="AP16" s="315" t="s">
        <v>303</v>
      </c>
    </row>
    <row r="17" spans="2:42" ht="15" customHeight="1">
      <c r="B17" s="276" t="s">
        <v>444</v>
      </c>
      <c r="C17" s="312" t="s">
        <v>303</v>
      </c>
      <c r="D17" s="271" t="s">
        <v>303</v>
      </c>
      <c r="E17" s="271" t="s">
        <v>303</v>
      </c>
      <c r="F17" s="315" t="s">
        <v>303</v>
      </c>
      <c r="G17" s="190" t="s">
        <v>303</v>
      </c>
      <c r="H17" s="271" t="s">
        <v>303</v>
      </c>
      <c r="I17" s="271" t="s">
        <v>303</v>
      </c>
      <c r="J17" s="314" t="s">
        <v>303</v>
      </c>
      <c r="K17" s="272" t="s">
        <v>303</v>
      </c>
      <c r="L17" s="271" t="s">
        <v>303</v>
      </c>
      <c r="M17" s="271" t="s">
        <v>303</v>
      </c>
      <c r="N17" s="313" t="s">
        <v>303</v>
      </c>
      <c r="O17" s="307" t="s">
        <v>303</v>
      </c>
      <c r="P17" s="307" t="s">
        <v>303</v>
      </c>
      <c r="Q17" s="307" t="s">
        <v>303</v>
      </c>
      <c r="R17" s="314" t="s">
        <v>303</v>
      </c>
      <c r="S17" s="272" t="s">
        <v>303</v>
      </c>
      <c r="T17" s="271" t="s">
        <v>303</v>
      </c>
      <c r="U17" s="271" t="s">
        <v>303</v>
      </c>
      <c r="V17" s="273" t="s">
        <v>303</v>
      </c>
      <c r="W17" s="190" t="s">
        <v>303</v>
      </c>
      <c r="X17" s="271" t="s">
        <v>303</v>
      </c>
      <c r="Y17" s="271" t="s">
        <v>303</v>
      </c>
      <c r="Z17" s="314" t="s">
        <v>303</v>
      </c>
      <c r="AA17" s="312" t="s">
        <v>303</v>
      </c>
      <c r="AB17" s="271" t="s">
        <v>303</v>
      </c>
      <c r="AC17" s="271" t="s">
        <v>303</v>
      </c>
      <c r="AD17" s="273" t="s">
        <v>303</v>
      </c>
      <c r="AE17" s="190" t="s">
        <v>303</v>
      </c>
      <c r="AF17" s="271" t="s">
        <v>303</v>
      </c>
      <c r="AG17" s="271" t="s">
        <v>303</v>
      </c>
      <c r="AH17" s="314" t="s">
        <v>303</v>
      </c>
      <c r="AI17" s="272" t="s">
        <v>303</v>
      </c>
      <c r="AJ17" s="271" t="s">
        <v>303</v>
      </c>
      <c r="AK17" s="271" t="s">
        <v>303</v>
      </c>
      <c r="AL17" s="273" t="s">
        <v>303</v>
      </c>
      <c r="AM17" s="190" t="s">
        <v>303</v>
      </c>
      <c r="AN17" s="271" t="s">
        <v>303</v>
      </c>
      <c r="AO17" s="271" t="s">
        <v>303</v>
      </c>
      <c r="AP17" s="315" t="s">
        <v>303</v>
      </c>
    </row>
    <row r="18" spans="2:42" ht="15" customHeight="1">
      <c r="B18" s="276" t="s">
        <v>445</v>
      </c>
      <c r="C18" s="312" t="s">
        <v>303</v>
      </c>
      <c r="D18" s="271" t="s">
        <v>303</v>
      </c>
      <c r="E18" s="271" t="s">
        <v>303</v>
      </c>
      <c r="F18" s="315" t="s">
        <v>303</v>
      </c>
      <c r="G18" s="190" t="s">
        <v>303</v>
      </c>
      <c r="H18" s="271" t="s">
        <v>303</v>
      </c>
      <c r="I18" s="271" t="s">
        <v>303</v>
      </c>
      <c r="J18" s="314" t="s">
        <v>303</v>
      </c>
      <c r="K18" s="272" t="s">
        <v>303</v>
      </c>
      <c r="L18" s="271" t="s">
        <v>303</v>
      </c>
      <c r="M18" s="271" t="s">
        <v>303</v>
      </c>
      <c r="N18" s="273" t="s">
        <v>303</v>
      </c>
      <c r="O18" s="307" t="s">
        <v>303</v>
      </c>
      <c r="P18" s="307" t="s">
        <v>303</v>
      </c>
      <c r="Q18" s="307" t="s">
        <v>303</v>
      </c>
      <c r="R18" s="316" t="s">
        <v>303</v>
      </c>
      <c r="S18" s="272" t="s">
        <v>303</v>
      </c>
      <c r="T18" s="271" t="s">
        <v>303</v>
      </c>
      <c r="U18" s="271" t="s">
        <v>303</v>
      </c>
      <c r="V18" s="273" t="s">
        <v>303</v>
      </c>
      <c r="W18" s="190" t="s">
        <v>303</v>
      </c>
      <c r="X18" s="271" t="s">
        <v>303</v>
      </c>
      <c r="Y18" s="271" t="s">
        <v>303</v>
      </c>
      <c r="Z18" s="314" t="s">
        <v>303</v>
      </c>
      <c r="AA18" s="312" t="s">
        <v>303</v>
      </c>
      <c r="AB18" s="271" t="s">
        <v>303</v>
      </c>
      <c r="AC18" s="271" t="s">
        <v>303</v>
      </c>
      <c r="AD18" s="273" t="s">
        <v>303</v>
      </c>
      <c r="AE18" s="190" t="s">
        <v>303</v>
      </c>
      <c r="AF18" s="271" t="s">
        <v>303</v>
      </c>
      <c r="AG18" s="271" t="s">
        <v>303</v>
      </c>
      <c r="AH18" s="314" t="s">
        <v>303</v>
      </c>
      <c r="AI18" s="272" t="s">
        <v>303</v>
      </c>
      <c r="AJ18" s="271" t="s">
        <v>303</v>
      </c>
      <c r="AK18" s="271" t="s">
        <v>303</v>
      </c>
      <c r="AL18" s="273" t="s">
        <v>303</v>
      </c>
      <c r="AM18" s="190" t="s">
        <v>303</v>
      </c>
      <c r="AN18" s="271" t="s">
        <v>303</v>
      </c>
      <c r="AO18" s="271" t="s">
        <v>303</v>
      </c>
      <c r="AP18" s="315" t="s">
        <v>303</v>
      </c>
    </row>
    <row r="19" spans="2:42" ht="15" customHeight="1">
      <c r="B19" s="276" t="s">
        <v>446</v>
      </c>
      <c r="C19" s="312" t="s">
        <v>303</v>
      </c>
      <c r="D19" s="271" t="s">
        <v>303</v>
      </c>
      <c r="E19" s="271" t="s">
        <v>303</v>
      </c>
      <c r="F19" s="315" t="s">
        <v>303</v>
      </c>
      <c r="G19" s="190" t="s">
        <v>303</v>
      </c>
      <c r="H19" s="271" t="s">
        <v>303</v>
      </c>
      <c r="I19" s="271" t="s">
        <v>303</v>
      </c>
      <c r="J19" s="314" t="s">
        <v>303</v>
      </c>
      <c r="K19" s="272" t="s">
        <v>303</v>
      </c>
      <c r="L19" s="271" t="s">
        <v>303</v>
      </c>
      <c r="M19" s="271" t="s">
        <v>303</v>
      </c>
      <c r="N19" s="273" t="s">
        <v>303</v>
      </c>
      <c r="O19" s="190" t="s">
        <v>303</v>
      </c>
      <c r="P19" s="307" t="s">
        <v>303</v>
      </c>
      <c r="Q19" s="307" t="s">
        <v>303</v>
      </c>
      <c r="R19" s="316" t="s">
        <v>303</v>
      </c>
      <c r="S19" s="306" t="s">
        <v>303</v>
      </c>
      <c r="T19" s="307" t="s">
        <v>303</v>
      </c>
      <c r="U19" s="307" t="s">
        <v>303</v>
      </c>
      <c r="V19" s="313" t="s">
        <v>303</v>
      </c>
      <c r="W19" s="307" t="s">
        <v>303</v>
      </c>
      <c r="X19" s="307" t="s">
        <v>303</v>
      </c>
      <c r="Y19" s="307" t="s">
        <v>303</v>
      </c>
      <c r="Z19" s="316" t="s">
        <v>303</v>
      </c>
      <c r="AA19" s="306" t="s">
        <v>303</v>
      </c>
      <c r="AB19" s="307" t="s">
        <v>303</v>
      </c>
      <c r="AC19" s="271" t="s">
        <v>303</v>
      </c>
      <c r="AD19" s="273" t="s">
        <v>303</v>
      </c>
      <c r="AE19" s="190" t="s">
        <v>303</v>
      </c>
      <c r="AF19" s="271" t="s">
        <v>303</v>
      </c>
      <c r="AG19" s="271" t="s">
        <v>303</v>
      </c>
      <c r="AH19" s="314" t="s">
        <v>303</v>
      </c>
      <c r="AI19" s="272" t="s">
        <v>303</v>
      </c>
      <c r="AJ19" s="271" t="s">
        <v>303</v>
      </c>
      <c r="AK19" s="271" t="s">
        <v>303</v>
      </c>
      <c r="AL19" s="273" t="s">
        <v>303</v>
      </c>
      <c r="AM19" s="190" t="s">
        <v>303</v>
      </c>
      <c r="AN19" s="271" t="s">
        <v>303</v>
      </c>
      <c r="AO19" s="271" t="s">
        <v>303</v>
      </c>
      <c r="AP19" s="315" t="s">
        <v>303</v>
      </c>
    </row>
    <row r="20" spans="2:42" ht="15" customHeight="1">
      <c r="B20" s="276" t="s">
        <v>447</v>
      </c>
      <c r="C20" s="312" t="s">
        <v>303</v>
      </c>
      <c r="D20" s="271" t="s">
        <v>303</v>
      </c>
      <c r="E20" s="271" t="s">
        <v>303</v>
      </c>
      <c r="F20" s="315" t="s">
        <v>303</v>
      </c>
      <c r="G20" s="190" t="s">
        <v>303</v>
      </c>
      <c r="H20" s="271" t="s">
        <v>303</v>
      </c>
      <c r="I20" s="271" t="s">
        <v>303</v>
      </c>
      <c r="J20" s="314" t="s">
        <v>303</v>
      </c>
      <c r="K20" s="272" t="s">
        <v>303</v>
      </c>
      <c r="L20" s="271" t="s">
        <v>303</v>
      </c>
      <c r="M20" s="271" t="s">
        <v>303</v>
      </c>
      <c r="N20" s="273" t="s">
        <v>303</v>
      </c>
      <c r="O20" s="190" t="s">
        <v>303</v>
      </c>
      <c r="P20" s="307" t="s">
        <v>303</v>
      </c>
      <c r="Q20" s="307" t="s">
        <v>303</v>
      </c>
      <c r="R20" s="316" t="s">
        <v>303</v>
      </c>
      <c r="S20" s="306" t="s">
        <v>303</v>
      </c>
      <c r="T20" s="307" t="s">
        <v>303</v>
      </c>
      <c r="U20" s="307" t="s">
        <v>303</v>
      </c>
      <c r="V20" s="313" t="s">
        <v>303</v>
      </c>
      <c r="W20" s="307" t="s">
        <v>303</v>
      </c>
      <c r="X20" s="307" t="s">
        <v>303</v>
      </c>
      <c r="Y20" s="307" t="s">
        <v>303</v>
      </c>
      <c r="Z20" s="316" t="s">
        <v>303</v>
      </c>
      <c r="AA20" s="306" t="s">
        <v>303</v>
      </c>
      <c r="AB20" s="307" t="s">
        <v>303</v>
      </c>
      <c r="AC20" s="271" t="s">
        <v>303</v>
      </c>
      <c r="AD20" s="273" t="s">
        <v>303</v>
      </c>
      <c r="AE20" s="190" t="s">
        <v>303</v>
      </c>
      <c r="AF20" s="271" t="s">
        <v>303</v>
      </c>
      <c r="AG20" s="271" t="s">
        <v>303</v>
      </c>
      <c r="AH20" s="314" t="s">
        <v>303</v>
      </c>
      <c r="AI20" s="272" t="s">
        <v>303</v>
      </c>
      <c r="AJ20" s="271" t="s">
        <v>303</v>
      </c>
      <c r="AK20" s="271" t="s">
        <v>303</v>
      </c>
      <c r="AL20" s="273" t="s">
        <v>303</v>
      </c>
      <c r="AM20" s="190" t="s">
        <v>303</v>
      </c>
      <c r="AN20" s="271" t="s">
        <v>303</v>
      </c>
      <c r="AO20" s="271" t="s">
        <v>303</v>
      </c>
      <c r="AP20" s="315" t="s">
        <v>303</v>
      </c>
    </row>
    <row r="21" spans="2:42" ht="15" customHeight="1">
      <c r="B21" s="276" t="s">
        <v>448</v>
      </c>
      <c r="C21" s="312" t="s">
        <v>303</v>
      </c>
      <c r="D21" s="271" t="s">
        <v>303</v>
      </c>
      <c r="E21" s="271" t="s">
        <v>303</v>
      </c>
      <c r="F21" s="315" t="s">
        <v>303</v>
      </c>
      <c r="G21" s="190" t="s">
        <v>303</v>
      </c>
      <c r="H21" s="271" t="s">
        <v>303</v>
      </c>
      <c r="I21" s="271" t="s">
        <v>303</v>
      </c>
      <c r="J21" s="314" t="s">
        <v>303</v>
      </c>
      <c r="K21" s="272" t="s">
        <v>303</v>
      </c>
      <c r="L21" s="271" t="s">
        <v>303</v>
      </c>
      <c r="M21" s="271" t="s">
        <v>303</v>
      </c>
      <c r="N21" s="273" t="s">
        <v>303</v>
      </c>
      <c r="O21" s="190" t="s">
        <v>303</v>
      </c>
      <c r="P21" s="271" t="s">
        <v>303</v>
      </c>
      <c r="Q21" s="271" t="s">
        <v>303</v>
      </c>
      <c r="R21" s="314" t="s">
        <v>303</v>
      </c>
      <c r="S21" s="272" t="s">
        <v>303</v>
      </c>
      <c r="T21" s="271" t="s">
        <v>303</v>
      </c>
      <c r="U21" s="271" t="s">
        <v>303</v>
      </c>
      <c r="V21" s="273" t="s">
        <v>303</v>
      </c>
      <c r="W21" s="307" t="s">
        <v>303</v>
      </c>
      <c r="X21" s="307" t="s">
        <v>303</v>
      </c>
      <c r="Y21" s="307" t="s">
        <v>303</v>
      </c>
      <c r="Z21" s="316" t="s">
        <v>303</v>
      </c>
      <c r="AA21" s="312" t="s">
        <v>303</v>
      </c>
      <c r="AB21" s="271" t="s">
        <v>303</v>
      </c>
      <c r="AC21" s="271" t="s">
        <v>303</v>
      </c>
      <c r="AD21" s="273" t="s">
        <v>303</v>
      </c>
      <c r="AE21" s="190" t="s">
        <v>303</v>
      </c>
      <c r="AF21" s="271" t="s">
        <v>303</v>
      </c>
      <c r="AG21" s="271" t="s">
        <v>303</v>
      </c>
      <c r="AH21" s="314" t="s">
        <v>303</v>
      </c>
      <c r="AI21" s="272" t="s">
        <v>303</v>
      </c>
      <c r="AJ21" s="271" t="s">
        <v>303</v>
      </c>
      <c r="AK21" s="271" t="s">
        <v>303</v>
      </c>
      <c r="AL21" s="273" t="s">
        <v>303</v>
      </c>
      <c r="AM21" s="190" t="s">
        <v>303</v>
      </c>
      <c r="AN21" s="271" t="s">
        <v>303</v>
      </c>
      <c r="AO21" s="271" t="s">
        <v>303</v>
      </c>
      <c r="AP21" s="315" t="s">
        <v>303</v>
      </c>
    </row>
    <row r="22" spans="2:42" ht="15" customHeight="1">
      <c r="B22" s="276" t="s">
        <v>449</v>
      </c>
      <c r="C22" s="312" t="s">
        <v>303</v>
      </c>
      <c r="D22" s="271" t="s">
        <v>303</v>
      </c>
      <c r="E22" s="271" t="s">
        <v>303</v>
      </c>
      <c r="F22" s="315" t="s">
        <v>303</v>
      </c>
      <c r="G22" s="190" t="s">
        <v>303</v>
      </c>
      <c r="H22" s="271" t="s">
        <v>303</v>
      </c>
      <c r="I22" s="271" t="s">
        <v>303</v>
      </c>
      <c r="J22" s="314" t="s">
        <v>303</v>
      </c>
      <c r="K22" s="272" t="s">
        <v>303</v>
      </c>
      <c r="L22" s="271" t="s">
        <v>303</v>
      </c>
      <c r="M22" s="271" t="s">
        <v>303</v>
      </c>
      <c r="N22" s="273" t="s">
        <v>303</v>
      </c>
      <c r="O22" s="190" t="s">
        <v>303</v>
      </c>
      <c r="P22" s="271" t="s">
        <v>303</v>
      </c>
      <c r="Q22" s="271" t="s">
        <v>303</v>
      </c>
      <c r="R22" s="314" t="s">
        <v>303</v>
      </c>
      <c r="S22" s="272" t="s">
        <v>303</v>
      </c>
      <c r="T22" s="271" t="s">
        <v>303</v>
      </c>
      <c r="U22" s="271" t="s">
        <v>303</v>
      </c>
      <c r="V22" s="273" t="s">
        <v>303</v>
      </c>
      <c r="W22" s="190" t="s">
        <v>303</v>
      </c>
      <c r="X22" s="271" t="s">
        <v>303</v>
      </c>
      <c r="Y22" s="271" t="s">
        <v>303</v>
      </c>
      <c r="Z22" s="314" t="s">
        <v>303</v>
      </c>
      <c r="AA22" s="312" t="s">
        <v>303</v>
      </c>
      <c r="AB22" s="271" t="s">
        <v>303</v>
      </c>
      <c r="AC22" s="271" t="s">
        <v>303</v>
      </c>
      <c r="AD22" s="273" t="s">
        <v>303</v>
      </c>
      <c r="AE22" s="307" t="s">
        <v>303</v>
      </c>
      <c r="AF22" s="307" t="s">
        <v>303</v>
      </c>
      <c r="AG22" s="307" t="s">
        <v>303</v>
      </c>
      <c r="AH22" s="316" t="s">
        <v>303</v>
      </c>
      <c r="AI22" s="272" t="s">
        <v>303</v>
      </c>
      <c r="AJ22" s="271" t="s">
        <v>303</v>
      </c>
      <c r="AK22" s="271" t="s">
        <v>303</v>
      </c>
      <c r="AL22" s="273" t="s">
        <v>303</v>
      </c>
      <c r="AM22" s="317" t="s">
        <v>303</v>
      </c>
      <c r="AN22" s="317" t="s">
        <v>303</v>
      </c>
      <c r="AO22" s="317" t="s">
        <v>303</v>
      </c>
      <c r="AP22" s="318" t="s">
        <v>303</v>
      </c>
    </row>
    <row r="23" spans="2:42" ht="15" customHeight="1">
      <c r="B23" s="277" t="s">
        <v>86</v>
      </c>
      <c r="C23" s="319" t="s">
        <v>303</v>
      </c>
      <c r="D23" s="320" t="s">
        <v>303</v>
      </c>
      <c r="E23" s="320" t="s">
        <v>303</v>
      </c>
      <c r="F23" s="321" t="s">
        <v>303</v>
      </c>
      <c r="G23" s="320" t="s">
        <v>303</v>
      </c>
      <c r="H23" s="320" t="s">
        <v>303</v>
      </c>
      <c r="I23" s="320" t="s">
        <v>303</v>
      </c>
      <c r="J23" s="322" t="s">
        <v>303</v>
      </c>
      <c r="K23" s="319" t="s">
        <v>303</v>
      </c>
      <c r="L23" s="320" t="s">
        <v>303</v>
      </c>
      <c r="M23" s="320" t="s">
        <v>303</v>
      </c>
      <c r="N23" s="321" t="s">
        <v>303</v>
      </c>
      <c r="O23" s="323" t="s">
        <v>303</v>
      </c>
      <c r="P23" s="323" t="s">
        <v>303</v>
      </c>
      <c r="Q23" s="323" t="s">
        <v>303</v>
      </c>
      <c r="R23" s="324" t="s">
        <v>303</v>
      </c>
      <c r="S23" s="325" t="s">
        <v>303</v>
      </c>
      <c r="T23" s="323" t="s">
        <v>303</v>
      </c>
      <c r="U23" s="323" t="s">
        <v>303</v>
      </c>
      <c r="V23" s="326" t="s">
        <v>303</v>
      </c>
      <c r="W23" s="323" t="s">
        <v>303</v>
      </c>
      <c r="X23" s="323" t="s">
        <v>303</v>
      </c>
      <c r="Y23" s="323" t="s">
        <v>303</v>
      </c>
      <c r="Z23" s="324" t="s">
        <v>303</v>
      </c>
      <c r="AA23" s="325" t="s">
        <v>303</v>
      </c>
      <c r="AB23" s="323" t="s">
        <v>303</v>
      </c>
      <c r="AC23" s="323" t="s">
        <v>303</v>
      </c>
      <c r="AD23" s="326" t="s">
        <v>303</v>
      </c>
      <c r="AE23" s="323" t="s">
        <v>303</v>
      </c>
      <c r="AF23" s="323" t="s">
        <v>303</v>
      </c>
      <c r="AG23" s="323" t="s">
        <v>303</v>
      </c>
      <c r="AH23" s="324" t="s">
        <v>303</v>
      </c>
      <c r="AI23" s="325" t="s">
        <v>303</v>
      </c>
      <c r="AJ23" s="323" t="s">
        <v>303</v>
      </c>
      <c r="AK23" s="323" t="s">
        <v>303</v>
      </c>
      <c r="AL23" s="326" t="s">
        <v>303</v>
      </c>
      <c r="AM23" s="323" t="s">
        <v>303</v>
      </c>
      <c r="AN23" s="323" t="s">
        <v>303</v>
      </c>
      <c r="AO23" s="323" t="s">
        <v>303</v>
      </c>
      <c r="AP23" s="326" t="s">
        <v>303</v>
      </c>
    </row>
    <row r="24" spans="2:42">
      <c r="B24" s="270"/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274"/>
      <c r="O24" s="730" t="s">
        <v>450</v>
      </c>
      <c r="P24" s="731"/>
      <c r="Q24" s="731"/>
      <c r="R24" s="732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  <c r="AO24" s="274"/>
      <c r="AP24" s="274"/>
    </row>
  </sheetData>
  <mergeCells count="12">
    <mergeCell ref="W2:Z2"/>
    <mergeCell ref="AA2:AD2"/>
    <mergeCell ref="AE2:AH2"/>
    <mergeCell ref="AI2:AL2"/>
    <mergeCell ref="AM2:AP2"/>
    <mergeCell ref="S2:V2"/>
    <mergeCell ref="O24:R24"/>
    <mergeCell ref="B2:B3"/>
    <mergeCell ref="C2:F2"/>
    <mergeCell ref="G2:J2"/>
    <mergeCell ref="K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389-9475-4E0A-BCB1-2BF8EB4339CD}">
  <dimension ref="B2:AC27"/>
  <sheetViews>
    <sheetView topLeftCell="J8" workbookViewId="0">
      <selection activeCell="W26" sqref="W26"/>
    </sheetView>
  </sheetViews>
  <sheetFormatPr baseColWidth="10" defaultColWidth="8.83203125" defaultRowHeight="16"/>
  <cols>
    <col min="2" max="2" width="13.6640625" customWidth="1"/>
    <col min="3" max="3" width="4" customWidth="1"/>
    <col min="4" max="4" width="12.33203125" customWidth="1"/>
    <col min="8" max="8" width="12.6640625" customWidth="1"/>
    <col min="9" max="9" width="14" customWidth="1"/>
    <col min="10" max="10" width="12.83203125" customWidth="1"/>
    <col min="12" max="12" width="12.83203125" customWidth="1"/>
    <col min="13" max="29" width="8.1640625" customWidth="1"/>
  </cols>
  <sheetData>
    <row r="2" spans="2:29" ht="15.75" customHeight="1">
      <c r="B2" s="736" t="s">
        <v>451</v>
      </c>
      <c r="C2" s="737"/>
      <c r="D2" s="737"/>
      <c r="E2" s="738" t="s">
        <v>452</v>
      </c>
      <c r="F2" s="738" t="s">
        <v>453</v>
      </c>
      <c r="G2" s="737" t="s">
        <v>454</v>
      </c>
      <c r="H2" s="737"/>
      <c r="I2" s="737"/>
      <c r="J2" s="738" t="s">
        <v>455</v>
      </c>
      <c r="K2" s="748" t="s">
        <v>456</v>
      </c>
      <c r="L2" s="744" t="s">
        <v>457</v>
      </c>
    </row>
    <row r="3" spans="2:29" ht="30">
      <c r="B3" s="278" t="s">
        <v>458</v>
      </c>
      <c r="C3" s="279" t="s">
        <v>303</v>
      </c>
      <c r="D3" s="279" t="s">
        <v>459</v>
      </c>
      <c r="E3" s="739"/>
      <c r="F3" s="739"/>
      <c r="G3" s="279" t="s">
        <v>460</v>
      </c>
      <c r="H3" s="279" t="s">
        <v>461</v>
      </c>
      <c r="I3" s="279" t="s">
        <v>462</v>
      </c>
      <c r="J3" s="739"/>
      <c r="K3" s="749"/>
      <c r="L3" s="745"/>
    </row>
    <row r="4" spans="2:29">
      <c r="B4" s="284" t="s">
        <v>432</v>
      </c>
      <c r="C4" s="280" t="s">
        <v>463</v>
      </c>
      <c r="D4" s="280" t="s">
        <v>303</v>
      </c>
      <c r="E4" s="280" t="s">
        <v>464</v>
      </c>
      <c r="F4" s="280" t="s">
        <v>465</v>
      </c>
      <c r="G4" s="280">
        <v>14</v>
      </c>
      <c r="H4" s="280">
        <v>10</v>
      </c>
      <c r="I4" s="280">
        <v>20</v>
      </c>
      <c r="J4" s="280">
        <v>14</v>
      </c>
      <c r="K4" s="281">
        <v>10</v>
      </c>
      <c r="L4" s="282">
        <v>17</v>
      </c>
    </row>
    <row r="5" spans="2:29">
      <c r="B5" s="284" t="s">
        <v>433</v>
      </c>
      <c r="C5" s="283" t="s">
        <v>466</v>
      </c>
      <c r="D5" s="280" t="s">
        <v>463</v>
      </c>
      <c r="E5" s="280" t="s">
        <v>467</v>
      </c>
      <c r="F5" s="280" t="s">
        <v>468</v>
      </c>
      <c r="G5" s="280">
        <v>28</v>
      </c>
      <c r="H5" s="280">
        <v>20</v>
      </c>
      <c r="I5" s="280">
        <v>34</v>
      </c>
      <c r="J5" s="280">
        <v>28</v>
      </c>
      <c r="K5" s="281">
        <v>14</v>
      </c>
      <c r="L5" s="282">
        <v>33</v>
      </c>
    </row>
    <row r="6" spans="2:29">
      <c r="B6" s="285" t="s">
        <v>435</v>
      </c>
      <c r="C6" s="280" t="s">
        <v>469</v>
      </c>
      <c r="D6" s="280" t="s">
        <v>466</v>
      </c>
      <c r="E6" s="280" t="s">
        <v>470</v>
      </c>
      <c r="F6" s="280" t="s">
        <v>471</v>
      </c>
      <c r="G6" s="280">
        <v>21</v>
      </c>
      <c r="H6" s="280">
        <v>15</v>
      </c>
      <c r="I6" s="280">
        <v>36</v>
      </c>
      <c r="J6" s="280">
        <v>23</v>
      </c>
      <c r="K6" s="281">
        <v>21</v>
      </c>
      <c r="L6" s="282">
        <v>74</v>
      </c>
    </row>
    <row r="7" spans="2:29">
      <c r="B7" s="285" t="s">
        <v>436</v>
      </c>
      <c r="C7" s="280" t="s">
        <v>472</v>
      </c>
      <c r="D7" s="280" t="s">
        <v>469</v>
      </c>
      <c r="E7" s="280" t="s">
        <v>473</v>
      </c>
      <c r="F7" s="280" t="s">
        <v>473</v>
      </c>
      <c r="G7" s="280">
        <v>7</v>
      </c>
      <c r="H7" s="280">
        <v>4</v>
      </c>
      <c r="I7" s="280">
        <v>14</v>
      </c>
      <c r="J7" s="280">
        <v>8</v>
      </c>
      <c r="K7" s="281">
        <v>10</v>
      </c>
      <c r="L7" s="282">
        <v>17</v>
      </c>
    </row>
    <row r="8" spans="2:29">
      <c r="B8" s="285" t="s">
        <v>474</v>
      </c>
      <c r="C8" s="280" t="s">
        <v>475</v>
      </c>
      <c r="D8" s="280" t="s">
        <v>466</v>
      </c>
      <c r="E8" s="280" t="s">
        <v>470</v>
      </c>
      <c r="F8" s="280" t="s">
        <v>473</v>
      </c>
      <c r="G8" s="280">
        <v>28</v>
      </c>
      <c r="H8" s="280">
        <v>20</v>
      </c>
      <c r="I8" s="280">
        <v>42</v>
      </c>
      <c r="J8" s="280">
        <v>29</v>
      </c>
      <c r="K8" s="281">
        <v>22</v>
      </c>
      <c r="L8" s="282">
        <v>81</v>
      </c>
    </row>
    <row r="9" spans="2:29">
      <c r="B9" s="285" t="s">
        <v>438</v>
      </c>
      <c r="C9" s="280" t="s">
        <v>476</v>
      </c>
      <c r="D9" s="280" t="s">
        <v>477</v>
      </c>
      <c r="E9" s="280" t="s">
        <v>478</v>
      </c>
      <c r="F9" s="280" t="s">
        <v>478</v>
      </c>
      <c r="G9" s="280">
        <v>7</v>
      </c>
      <c r="H9" s="280">
        <v>5</v>
      </c>
      <c r="I9" s="280">
        <v>21</v>
      </c>
      <c r="J9" s="280">
        <v>9</v>
      </c>
      <c r="K9" s="281">
        <v>16</v>
      </c>
      <c r="L9" s="282">
        <v>43</v>
      </c>
    </row>
    <row r="10" spans="2:29" ht="30">
      <c r="B10" s="284" t="s">
        <v>48</v>
      </c>
      <c r="C10" s="280" t="s">
        <v>479</v>
      </c>
      <c r="D10" s="280" t="s">
        <v>476</v>
      </c>
      <c r="E10" s="280" t="s">
        <v>480</v>
      </c>
      <c r="F10" s="280" t="s">
        <v>480</v>
      </c>
      <c r="G10" s="280">
        <v>7</v>
      </c>
      <c r="H10" s="280">
        <v>3</v>
      </c>
      <c r="I10" s="280">
        <v>14</v>
      </c>
      <c r="J10" s="280">
        <v>8</v>
      </c>
      <c r="K10" s="281">
        <v>11</v>
      </c>
      <c r="L10" s="282">
        <v>20</v>
      </c>
    </row>
    <row r="12" spans="2:29">
      <c r="G12" s="286"/>
      <c r="H12" s="287" t="s">
        <v>481</v>
      </c>
      <c r="I12" s="288" t="s">
        <v>482</v>
      </c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</row>
    <row r="13" spans="2:29">
      <c r="G13" s="286"/>
      <c r="H13" s="289" t="s">
        <v>483</v>
      </c>
      <c r="I13" s="290" t="s">
        <v>484</v>
      </c>
      <c r="J13" s="286"/>
      <c r="K13" s="286"/>
      <c r="L13" s="286"/>
      <c r="M13" s="286"/>
      <c r="N13" s="286"/>
      <c r="O13" s="286"/>
      <c r="P13" s="286"/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  <c r="AC13" s="286"/>
    </row>
    <row r="14" spans="2:29">
      <c r="G14" s="286"/>
      <c r="H14" s="289" t="s">
        <v>485</v>
      </c>
      <c r="I14" s="290" t="s">
        <v>486</v>
      </c>
      <c r="J14" s="286"/>
      <c r="K14" s="286"/>
      <c r="L14" s="286"/>
      <c r="M14" s="286"/>
      <c r="N14" s="286"/>
      <c r="O14" s="286"/>
      <c r="P14" s="286"/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  <c r="AC14" s="286"/>
    </row>
    <row r="15" spans="2:29">
      <c r="G15" s="286"/>
      <c r="H15" s="286"/>
      <c r="I15" s="286"/>
      <c r="J15" s="286"/>
      <c r="K15" s="286"/>
      <c r="L15" s="746" t="s">
        <v>487</v>
      </c>
      <c r="M15" s="746"/>
      <c r="N15" s="286"/>
      <c r="O15" s="286"/>
      <c r="P15" s="286"/>
      <c r="Q15" s="286"/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  <c r="AC15" s="286"/>
    </row>
    <row r="16" spans="2:29" ht="15.75" customHeight="1">
      <c r="G16" s="286"/>
      <c r="H16" s="286"/>
      <c r="I16" s="286" t="s">
        <v>488</v>
      </c>
      <c r="J16" s="747" t="s">
        <v>489</v>
      </c>
      <c r="K16" s="747"/>
      <c r="L16" s="298">
        <v>89</v>
      </c>
      <c r="M16" s="298" t="s">
        <v>490</v>
      </c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</row>
    <row r="17" spans="7:29" ht="15.75" customHeight="1">
      <c r="G17" s="286"/>
      <c r="H17" s="286"/>
      <c r="I17" s="286"/>
      <c r="J17" s="743" t="s">
        <v>491</v>
      </c>
      <c r="K17" s="743"/>
      <c r="L17" s="298">
        <v>88</v>
      </c>
      <c r="M17" s="298" t="s">
        <v>490</v>
      </c>
      <c r="N17" s="286"/>
      <c r="O17" s="286"/>
      <c r="P17" s="286"/>
      <c r="Q17" s="292" t="s">
        <v>469</v>
      </c>
      <c r="R17" s="293">
        <v>23</v>
      </c>
      <c r="S17" s="291"/>
      <c r="T17" s="292" t="s">
        <v>472</v>
      </c>
      <c r="U17" s="293">
        <v>8</v>
      </c>
      <c r="V17" s="291"/>
      <c r="W17" s="286"/>
      <c r="X17" s="286"/>
      <c r="Y17" s="286"/>
      <c r="Z17" s="286"/>
      <c r="AA17" s="286"/>
      <c r="AB17" s="286"/>
      <c r="AC17" s="286"/>
    </row>
    <row r="18" spans="7:29" ht="15" customHeight="1">
      <c r="G18" s="286"/>
      <c r="H18" s="286"/>
      <c r="I18" s="286"/>
      <c r="J18" s="286"/>
      <c r="K18" s="286"/>
      <c r="L18" s="286"/>
      <c r="M18" s="286"/>
      <c r="N18" s="286"/>
      <c r="O18" s="286"/>
      <c r="P18" s="270"/>
      <c r="Q18" s="297">
        <v>42</v>
      </c>
      <c r="R18" s="280">
        <v>65</v>
      </c>
      <c r="S18" s="274"/>
      <c r="T18" s="297">
        <v>65</v>
      </c>
      <c r="U18" s="280">
        <v>72</v>
      </c>
      <c r="V18" s="291"/>
      <c r="W18" s="286"/>
      <c r="X18" s="286"/>
      <c r="Y18" s="286"/>
      <c r="Z18" s="286"/>
      <c r="AA18" s="286"/>
      <c r="AB18" s="286"/>
      <c r="AC18" s="286"/>
    </row>
    <row r="19" spans="7:29" ht="15" customHeight="1">
      <c r="G19" s="286"/>
      <c r="H19" s="286"/>
      <c r="I19" s="286"/>
      <c r="J19" s="286"/>
      <c r="K19" s="286"/>
      <c r="L19" s="286"/>
      <c r="M19" s="286"/>
      <c r="N19" s="286"/>
      <c r="O19" s="286"/>
      <c r="P19" s="286"/>
      <c r="Q19" s="297">
        <v>63</v>
      </c>
      <c r="R19" s="280">
        <v>86</v>
      </c>
      <c r="S19" s="291"/>
      <c r="T19" s="297">
        <v>86</v>
      </c>
      <c r="U19" s="280">
        <v>93</v>
      </c>
      <c r="V19" s="291"/>
      <c r="W19" s="286"/>
      <c r="X19" s="286"/>
      <c r="Y19" s="286"/>
      <c r="Z19" s="286"/>
      <c r="AA19" s="286"/>
      <c r="AB19" s="286"/>
      <c r="AC19" s="286"/>
    </row>
    <row r="20" spans="7:29" ht="15" customHeight="1">
      <c r="G20" s="286"/>
      <c r="H20" s="286"/>
      <c r="I20" s="740" t="s">
        <v>492</v>
      </c>
      <c r="J20" s="291"/>
      <c r="K20" s="292" t="s">
        <v>463</v>
      </c>
      <c r="L20" s="293">
        <v>14</v>
      </c>
      <c r="M20" s="291"/>
      <c r="N20" s="292" t="s">
        <v>466</v>
      </c>
      <c r="O20" s="293">
        <v>28</v>
      </c>
      <c r="P20" s="291"/>
      <c r="Q20" s="291"/>
      <c r="R20" s="291"/>
      <c r="S20" s="291"/>
      <c r="T20" s="291"/>
      <c r="U20" s="291"/>
      <c r="V20" s="291"/>
      <c r="W20" s="292" t="s">
        <v>476</v>
      </c>
      <c r="X20" s="293">
        <v>9</v>
      </c>
      <c r="Y20" s="291"/>
      <c r="Z20" s="292" t="s">
        <v>479</v>
      </c>
      <c r="AA20" s="293">
        <v>8</v>
      </c>
      <c r="AB20" s="291"/>
      <c r="AC20" s="740" t="s">
        <v>493</v>
      </c>
    </row>
    <row r="21" spans="7:29">
      <c r="G21" s="286"/>
      <c r="H21" s="286"/>
      <c r="I21" s="741"/>
      <c r="J21" s="274"/>
      <c r="K21" s="297">
        <v>0</v>
      </c>
      <c r="L21" s="280">
        <v>14</v>
      </c>
      <c r="M21" s="274"/>
      <c r="N21" s="297">
        <v>14</v>
      </c>
      <c r="O21" s="280">
        <v>42</v>
      </c>
      <c r="P21" s="291"/>
      <c r="Q21" s="291"/>
      <c r="R21" s="291"/>
      <c r="S21" s="291"/>
      <c r="T21" s="291"/>
      <c r="U21" s="291"/>
      <c r="V21" s="291"/>
      <c r="W21" s="297">
        <v>72</v>
      </c>
      <c r="X21" s="280">
        <v>81</v>
      </c>
      <c r="Y21" s="274"/>
      <c r="Z21" s="297">
        <v>81</v>
      </c>
      <c r="AA21" s="280">
        <v>89</v>
      </c>
      <c r="AB21" s="274"/>
      <c r="AC21" s="741"/>
    </row>
    <row r="22" spans="7:29">
      <c r="G22" s="286"/>
      <c r="H22" s="286"/>
      <c r="I22" s="742"/>
      <c r="J22" s="291"/>
      <c r="K22" s="297">
        <v>21</v>
      </c>
      <c r="L22" s="280">
        <v>35</v>
      </c>
      <c r="M22" s="291"/>
      <c r="N22" s="297">
        <v>35</v>
      </c>
      <c r="O22" s="280">
        <v>63</v>
      </c>
      <c r="P22" s="291"/>
      <c r="Q22" s="291"/>
      <c r="R22" s="291"/>
      <c r="S22" s="291"/>
      <c r="T22" s="291"/>
      <c r="U22" s="291"/>
      <c r="V22" s="291"/>
      <c r="W22" s="297">
        <v>93</v>
      </c>
      <c r="X22" s="280">
        <v>102</v>
      </c>
      <c r="Y22" s="291"/>
      <c r="Z22" s="297">
        <v>102</v>
      </c>
      <c r="AA22" s="280">
        <v>110</v>
      </c>
      <c r="AB22" s="291"/>
      <c r="AC22" s="742"/>
    </row>
    <row r="23" spans="7:29"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92" t="s">
        <v>475</v>
      </c>
      <c r="R23" s="293">
        <v>29</v>
      </c>
      <c r="S23" s="291"/>
      <c r="T23" s="291"/>
      <c r="U23" s="291"/>
      <c r="V23" s="291"/>
      <c r="W23" s="286"/>
      <c r="X23" s="286"/>
      <c r="Y23" s="286"/>
      <c r="Z23" s="286"/>
      <c r="AA23" s="286"/>
      <c r="AB23" s="286"/>
      <c r="AC23" s="286"/>
    </row>
    <row r="24" spans="7:29"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297">
        <v>42</v>
      </c>
      <c r="R24" s="280">
        <v>71</v>
      </c>
      <c r="S24" s="291"/>
      <c r="T24" s="291"/>
      <c r="U24" s="291"/>
      <c r="V24" s="291"/>
      <c r="W24" s="286"/>
      <c r="X24" s="286"/>
      <c r="Y24" s="286"/>
      <c r="Z24" s="286"/>
      <c r="AA24" s="286"/>
      <c r="AB24" s="286"/>
      <c r="AC24" s="286"/>
    </row>
    <row r="25" spans="7:29"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97">
        <v>63</v>
      </c>
      <c r="R25" s="280">
        <v>92</v>
      </c>
      <c r="S25" s="291"/>
      <c r="T25" s="291"/>
      <c r="U25" s="291"/>
      <c r="V25" s="291"/>
      <c r="W25" s="286"/>
      <c r="X25" s="286"/>
      <c r="Y25" s="286"/>
      <c r="Z25" s="286"/>
      <c r="AA25" s="286"/>
      <c r="AB25" s="286"/>
      <c r="AC25" s="286"/>
    </row>
    <row r="26" spans="7:29">
      <c r="G26" s="286"/>
      <c r="H26" s="286"/>
      <c r="I26" s="286"/>
      <c r="J26" s="286"/>
      <c r="K26" s="286"/>
      <c r="L26" s="286"/>
      <c r="M26" s="286"/>
      <c r="N26" s="286"/>
      <c r="O26" s="286"/>
      <c r="P26" s="286"/>
      <c r="Q26" s="291"/>
      <c r="R26" s="291"/>
      <c r="S26" s="291"/>
      <c r="T26" s="291"/>
      <c r="U26" s="291"/>
      <c r="V26" s="291"/>
      <c r="W26" s="286"/>
      <c r="X26" s="286"/>
      <c r="Y26" s="286"/>
      <c r="Z26" s="286"/>
      <c r="AA26" s="286"/>
      <c r="AB26" s="286"/>
      <c r="AC26" s="286"/>
    </row>
    <row r="27" spans="7:29">
      <c r="G27" s="286"/>
      <c r="H27" s="286"/>
      <c r="I27" s="286"/>
      <c r="J27" s="286"/>
      <c r="K27" s="286"/>
      <c r="L27" s="286"/>
      <c r="M27" s="286"/>
      <c r="N27" s="286"/>
      <c r="O27" s="286"/>
      <c r="P27" s="286"/>
      <c r="Q27" s="291"/>
      <c r="R27" s="291"/>
      <c r="S27" s="291"/>
      <c r="T27" s="291"/>
      <c r="U27" s="291"/>
      <c r="V27" s="291"/>
      <c r="W27" s="286"/>
      <c r="X27" s="286"/>
      <c r="Y27" s="286"/>
      <c r="Z27" s="286"/>
      <c r="AA27" s="286"/>
      <c r="AB27" s="286"/>
      <c r="AC27" s="286"/>
    </row>
  </sheetData>
  <mergeCells count="12">
    <mergeCell ref="I20:I22"/>
    <mergeCell ref="AC20:AC22"/>
    <mergeCell ref="J17:K17"/>
    <mergeCell ref="L2:L3"/>
    <mergeCell ref="L15:M15"/>
    <mergeCell ref="J16:K16"/>
    <mergeCell ref="K2:K3"/>
    <mergeCell ref="B2:D2"/>
    <mergeCell ref="E2:E3"/>
    <mergeCell ref="F2:F3"/>
    <mergeCell ref="G2:I2"/>
    <mergeCell ref="J2:J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8AEE-36F3-1441-814C-866B4CD08E0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A48-261D-584A-BA1C-968416515C1E}"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Forecasted sales</vt:lpstr>
      <vt:lpstr>Costs without VAT</vt:lpstr>
      <vt:lpstr>Investment budget</vt:lpstr>
      <vt:lpstr>Investment in WC budget</vt:lpstr>
      <vt:lpstr>Depreciation</vt:lpstr>
      <vt:lpstr>VAT</vt:lpstr>
      <vt:lpstr>Investment coverage</vt:lpstr>
      <vt:lpstr>Investment Financial Indicators</vt:lpstr>
      <vt:lpstr>Map of expenses</vt:lpstr>
      <vt:lpstr>Income Statement (Predicted)</vt:lpstr>
      <vt:lpstr>Financing options</vt:lpstr>
      <vt:lpstr>Project cash flow</vt:lpstr>
      <vt:lpstr>Invest. Coverage</vt:lpstr>
      <vt:lpstr>Statement of Financial Position</vt:lpstr>
      <vt:lpstr>Financial Indicators</vt:lpstr>
      <vt:lpstr>Sensitivity analysis</vt:lpstr>
      <vt:lpstr>Activity Schedule</vt:lpstr>
      <vt:lpstr>CPM and PERT</vt:lpstr>
      <vt:lpstr>Sheet2</vt:lpstr>
      <vt:lpstr>Sheet1</vt:lpstr>
      <vt:lpstr>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2021-04-23T08:54:56Z</dcterms:created>
  <dcterms:modified xsi:type="dcterms:W3CDTF">2021-05-16T22:26:24Z</dcterms:modified>
  <cp:category/>
  <cp:contentStatus/>
</cp:coreProperties>
</file>