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drawings/drawing18.xml" ContentType="application/vnd.openxmlformats-officedocument.drawing+xml"/>
  <Override PartName="/xl/comments15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6.xml" ContentType="application/vnd.openxmlformats-officedocument.spreadsheetml.comments+xml"/>
  <Override PartName="/xl/drawings/drawing21.xml" ContentType="application/vnd.openxmlformats-officedocument.drawing+xml"/>
  <Override PartName="/xl/comments17.xml" ContentType="application/vnd.openxmlformats-officedocument.spreadsheetml.comments+xml"/>
  <Override PartName="/xl/drawings/drawing22.xml" ContentType="application/vnd.openxmlformats-officedocument.drawing+xml"/>
  <Override PartName="/xl/comments18.xml" ContentType="application/vnd.openxmlformats-officedocument.spreadsheetml.comments+xml"/>
  <Override PartName="/xl/drawings/drawing23.xml" ContentType="application/vnd.openxmlformats-officedocument.drawing+xml"/>
  <Override PartName="/xl/comments19.xml" ContentType="application/vnd.openxmlformats-officedocument.spreadsheetml.comments+xml"/>
  <Override PartName="/xl/drawings/drawing24.xml" ContentType="application/vnd.openxmlformats-officedocument.drawing+xml"/>
  <Override PartName="/xl/comments20.xml" ContentType="application/vnd.openxmlformats-officedocument.spreadsheetml.comments+xml"/>
  <Override PartName="/xl/drawings/drawing25.xml" ContentType="application/vnd.openxmlformats-officedocument.drawing+xml"/>
  <Override PartName="/xl/comments21.xml" ContentType="application/vnd.openxmlformats-officedocument.spreadsheetml.comments+xml"/>
  <Override PartName="/xl/drawings/drawing26.xml" ContentType="application/vnd.openxmlformats-officedocument.drawing+xml"/>
  <Override PartName="/xl/comments22.xml" ContentType="application/vnd.openxmlformats-officedocument.spreadsheetml.comments+xml"/>
  <Override PartName="/xl/drawings/drawing27.xml" ContentType="application/vnd.openxmlformats-officedocument.drawing+xml"/>
  <Override PartName="/xl/comments23.xml" ContentType="application/vnd.openxmlformats-officedocument.spreadsheetml.comments+xml"/>
  <Override PartName="/xl/drawings/drawing28.xml" ContentType="application/vnd.openxmlformats-officedocument.drawing+xml"/>
  <Override PartName="/xl/comments24.xml" ContentType="application/vnd.openxmlformats-officedocument.spreadsheetml.comments+xml"/>
  <Override PartName="/xl/drawings/drawing29.xml" ContentType="application/vnd.openxmlformats-officedocument.drawing+xml"/>
  <Override PartName="/xl/comments25.xml" ContentType="application/vnd.openxmlformats-officedocument.spreadsheetml.comments+xml"/>
  <Override PartName="/xl/drawings/drawing30.xml" ContentType="application/vnd.openxmlformats-officedocument.drawing+xml"/>
  <Override PartName="/xl/comments26.xml" ContentType="application/vnd.openxmlformats-officedocument.spreadsheetml.comments+xml"/>
  <Override PartName="/xl/drawings/drawing31.xml" ContentType="application/vnd.openxmlformats-officedocument.drawing+xml"/>
  <Override PartName="/xl/comments27.xml" ContentType="application/vnd.openxmlformats-officedocument.spreadsheetml.comments+xml"/>
  <Override PartName="/xl/drawings/drawing32.xml" ContentType="application/vnd.openxmlformats-officedocument.drawing+xml"/>
  <Override PartName="/xl/comments28.xml" ContentType="application/vnd.openxmlformats-officedocument.spreadsheetml.comments+xml"/>
  <Override PartName="/xl/drawings/drawing33.xml" ContentType="application/vnd.openxmlformats-officedocument.drawing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3733\Desktop\one_line_test\九龙变_10kV爱涛线147单线图\"/>
    </mc:Choice>
  </mc:AlternateContent>
  <xr:revisionPtr revIDLastSave="0" documentId="8_{E08E10D7-3426-4BAC-BB5D-D5D293D36572}" xr6:coauthVersionLast="47" xr6:coauthVersionMax="47" xr10:uidLastSave="{00000000-0000-0000-0000-000000000000}"/>
  <bookViews>
    <workbookView xWindow="-10" yWindow="-10" windowWidth="25620" windowHeight="15300" firstSheet="5" activeTab="13"/>
  </bookViews>
  <sheets>
    <sheet name="__E_T_A_P__E_X_P_O_R_T__" sheetId="3" state="hidden" r:id="rId1"/>
    <sheet name="_FormulaHelpers_" sheetId="4" state="hidden" r:id="rId2"/>
    <sheet name="Project Information" sheetId="29" r:id="rId3"/>
    <sheet name="Bus" sheetId="8" r:id="rId4"/>
    <sheet name="Cable" sheetId="12" r:id="rId5"/>
    <sheet name="Transmission Line" sheetId="16" r:id="rId6"/>
    <sheet name="Two-Winding Transformer" sheetId="11" r:id="rId7"/>
    <sheet name="Three-Winding Transformer" sheetId="13" state="hidden" r:id="rId8"/>
    <sheet name="Reactor" sheetId="17" state="hidden" r:id="rId9"/>
    <sheet name="Impedance" sheetId="18" state="hidden" r:id="rId10"/>
    <sheet name="Induction Motor" sheetId="5" state="hidden" r:id="rId11"/>
    <sheet name="Synchronous Motor" sheetId="6" state="hidden" r:id="rId12"/>
    <sheet name="Static Load" sheetId="14" state="hidden" r:id="rId13"/>
    <sheet name="Lumped Load" sheetId="15" r:id="rId14"/>
    <sheet name="VFD" sheetId="19" state="hidden" r:id="rId15"/>
    <sheet name="MOV" sheetId="20" state="hidden" r:id="rId16"/>
    <sheet name="LVCB" sheetId="21" state="hidden" r:id="rId17"/>
    <sheet name="HVCB" sheetId="22" r:id="rId18"/>
    <sheet name="Fuse" sheetId="23" state="hidden" r:id="rId19"/>
    <sheet name="Single Pole Switch" sheetId="25" state="hidden" r:id="rId20"/>
    <sheet name="Double Throw Switch" sheetId="24" state="hidden" r:id="rId21"/>
    <sheet name="Contactor" sheetId="26" state="hidden" r:id="rId22"/>
    <sheet name="Synchronous Generator" sheetId="27" state="hidden" r:id="rId23"/>
    <sheet name="Current Transformer" sheetId="28" state="hidden" r:id="rId24"/>
    <sheet name="Potential Transformer" sheetId="30" state="hidden" r:id="rId25"/>
    <sheet name="Utility" sheetId="31" r:id="rId26"/>
    <sheet name="Universal Relay" sheetId="32" state="hidden" r:id="rId27"/>
    <sheet name="OL Heater_OL Relay" sheetId="33" state="hidden" r:id="rId28"/>
    <sheet name="Recloser" sheetId="34" state="hidden" r:id="rId29"/>
    <sheet name="Voltage Relay" sheetId="35" state="hidden" r:id="rId30"/>
    <sheet name="Frequency Relay" sheetId="36" state="hidden" r:id="rId31"/>
    <sheet name="Capacitor" sheetId="37" state="hidden" r:id="rId32"/>
    <sheet name="Panel" sheetId="38" state="hidden" r:id="rId33"/>
    <sheet name="Voltage Regulator" sheetId="39" state="hidden" r:id="rId34"/>
    <sheet name="Inverter" sheetId="40" state="hidden" r:id="rId35"/>
  </sheets>
  <externalReferences>
    <externalReference r:id="rId36"/>
  </externalReferences>
  <definedNames>
    <definedName name="DataType0">_FormulaHelpers_!$A$7</definedName>
    <definedName name="DataType1">_FormulaHelpers_!$A$8</definedName>
    <definedName name="DataType2">_FormulaHelpers_!$A$9</definedName>
    <definedName name="DataType3">_FormulaHelpers_!$A$10</definedName>
    <definedName name="DataType4">_FormulaHelpers_!$A$11</definedName>
    <definedName name="DataType5">_FormulaHelpers_!$A$12</definedName>
    <definedName name="DataType6">_FormulaHelpers_!$A$13</definedName>
    <definedName name="DataType7">_FormulaHelpers_!$A$14</definedName>
    <definedName name="DataType8">_FormulaHelpers_!$A$15</definedName>
    <definedName name="DataType9">_FormulaHelpers_!$A$16</definedName>
    <definedName name="ETAPElementXmlTags" localSheetId="34">[1]_FormulaHelpers_!$A$52:$A$83</definedName>
    <definedName name="ETAPElementXmlTags" localSheetId="22">#REF!</definedName>
    <definedName name="ETAPElementXmlTags">_FormulaHelpers_!$A$55:$A$86</definedName>
    <definedName name="Frequency" localSheetId="34">[1]_FormulaHelpers_!$B$3</definedName>
    <definedName name="Frequency" localSheetId="22">#REF!</definedName>
    <definedName name="Frequency">_FormulaHelpers_!$B$3</definedName>
    <definedName name="IndMotorPropTags">_FormulaHelpers_!$C$93:$C$408</definedName>
    <definedName name="LoadCat0">_FormulaHelpers_!$A$31</definedName>
    <definedName name="LoadCat1">_FormulaHelpers_!$A$32</definedName>
    <definedName name="LoadCat2">_FormulaHelpers_!$A$33</definedName>
    <definedName name="LoadCat3">_FormulaHelpers_!$A$34</definedName>
    <definedName name="LoadCat4">_FormulaHelpers_!$A$35</definedName>
    <definedName name="LoadCat5">_FormulaHelpers_!$A$36</definedName>
    <definedName name="LoadCat6">_FormulaHelpers_!$A$37</definedName>
    <definedName name="LoadCat7">_FormulaHelpers_!$A$38</definedName>
    <definedName name="LoadCat8">_FormulaHelpers_!$A$39</definedName>
    <definedName name="LoadCat9">_FormulaHelpers_!$A$40</definedName>
    <definedName name="_xlnm.Print_Titles" localSheetId="3">Bus!$1:$9</definedName>
    <definedName name="_xlnm.Print_Titles" localSheetId="4">Cable!$1:$9</definedName>
    <definedName name="_xlnm.Print_Titles" localSheetId="21">Contactor!$1:$9</definedName>
    <definedName name="_xlnm.Print_Titles" localSheetId="20">'Double Throw Switch'!$1:$9</definedName>
    <definedName name="_xlnm.Print_Titles" localSheetId="18">Fuse!$1:$9</definedName>
    <definedName name="_xlnm.Print_Titles" localSheetId="17">HVCB!$1:$9</definedName>
    <definedName name="_xlnm.Print_Titles" localSheetId="9">Impedance!$1:$9</definedName>
    <definedName name="_xlnm.Print_Titles" localSheetId="10">'Induction Motor'!$1:$9</definedName>
    <definedName name="_xlnm.Print_Titles" localSheetId="13">'Lumped Load'!$1:$9</definedName>
    <definedName name="_xlnm.Print_Titles" localSheetId="16">LVCB!$1:$9</definedName>
    <definedName name="_xlnm.Print_Titles" localSheetId="15">MOV!$1:$9</definedName>
    <definedName name="_xlnm.Print_Titles" localSheetId="8">Reactor!$1:$9</definedName>
    <definedName name="_xlnm.Print_Titles" localSheetId="19">'Single Pole Switch'!$1:$9</definedName>
    <definedName name="_xlnm.Print_Titles" localSheetId="12">'Static Load'!$1:$9</definedName>
    <definedName name="_xlnm.Print_Titles" localSheetId="22">'Synchronous Generator'!$1:$9</definedName>
    <definedName name="_xlnm.Print_Titles" localSheetId="11">'Synchronous Motor'!$1:$9</definedName>
    <definedName name="_xlnm.Print_Titles" localSheetId="7">'Three-Winding Transformer'!$1:$9</definedName>
    <definedName name="_xlnm.Print_Titles" localSheetId="5">'Transmission Line'!$1:$9</definedName>
    <definedName name="_xlnm.Print_Titles" localSheetId="6">'Two-Winding Transformer'!$1:$9</definedName>
    <definedName name="_xlnm.Print_Titles" localSheetId="14">VFD!$1:$9</definedName>
    <definedName name="Priority0">_FormulaHelpers_!$A$19</definedName>
    <definedName name="Priority1">_FormulaHelpers_!$A$20</definedName>
    <definedName name="Priority2">_FormulaHelpers_!$A$21</definedName>
    <definedName name="Priority3">_FormulaHelpers_!$A$22</definedName>
    <definedName name="Priority4">_FormulaHelpers_!$A$23</definedName>
    <definedName name="Priority5">_FormulaHelpers_!$A$24</definedName>
    <definedName name="Priority6">_FormulaHelpers_!$A$25</definedName>
    <definedName name="Priority7">_FormulaHelpers_!$A$26</definedName>
    <definedName name="Priority8">_FormulaHelpers_!$A$27</definedName>
    <definedName name="Priority9">_FormulaHelpers_!$A$28</definedName>
    <definedName name="SystemUnit">_FormulaHelpers_!$B$4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9" i="16" l="1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AK69" i="16"/>
  <c r="AJ69" i="16"/>
  <c r="AF69" i="16"/>
  <c r="AE69" i="16"/>
  <c r="AD69" i="16"/>
  <c r="AC69" i="16"/>
  <c r="AB69" i="16"/>
  <c r="AA69" i="16"/>
  <c r="Z69" i="16"/>
  <c r="Y69" i="16"/>
  <c r="X69" i="16"/>
  <c r="W69" i="16"/>
  <c r="J69" i="16"/>
  <c r="I69" i="16"/>
  <c r="G69" i="16"/>
  <c r="E69" i="16"/>
  <c r="D69" i="16"/>
  <c r="C69" i="16"/>
  <c r="B69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AK68" i="16"/>
  <c r="AJ68" i="16"/>
  <c r="AF68" i="16"/>
  <c r="AE68" i="16"/>
  <c r="AD68" i="16"/>
  <c r="AC68" i="16"/>
  <c r="AB68" i="16"/>
  <c r="AA68" i="16"/>
  <c r="Z68" i="16"/>
  <c r="Y68" i="16"/>
  <c r="X68" i="16"/>
  <c r="W68" i="16"/>
  <c r="J68" i="16"/>
  <c r="I68" i="16"/>
  <c r="G68" i="16"/>
  <c r="E68" i="16"/>
  <c r="D68" i="16"/>
  <c r="C68" i="16"/>
  <c r="B68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AK67" i="16"/>
  <c r="AJ67" i="16"/>
  <c r="AF67" i="16"/>
  <c r="AE67" i="16"/>
  <c r="AD67" i="16"/>
  <c r="AC67" i="16"/>
  <c r="AB67" i="16"/>
  <c r="AA67" i="16"/>
  <c r="Z67" i="16"/>
  <c r="Y67" i="16"/>
  <c r="X67" i="16"/>
  <c r="W67" i="16"/>
  <c r="J67" i="16"/>
  <c r="I67" i="16"/>
  <c r="G67" i="16"/>
  <c r="E67" i="16"/>
  <c r="D67" i="16"/>
  <c r="C67" i="16"/>
  <c r="B67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AK66" i="16"/>
  <c r="AJ66" i="16"/>
  <c r="AF66" i="16"/>
  <c r="AE66" i="16"/>
  <c r="AD66" i="16"/>
  <c r="AC66" i="16"/>
  <c r="AB66" i="16"/>
  <c r="AA66" i="16"/>
  <c r="Z66" i="16"/>
  <c r="Y66" i="16"/>
  <c r="X66" i="16"/>
  <c r="W66" i="16"/>
  <c r="J66" i="16"/>
  <c r="I66" i="16"/>
  <c r="G66" i="16"/>
  <c r="E66" i="16"/>
  <c r="D66" i="16"/>
  <c r="C66" i="16"/>
  <c r="B66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AK65" i="16"/>
  <c r="AJ65" i="16"/>
  <c r="AF65" i="16"/>
  <c r="AE65" i="16"/>
  <c r="AD65" i="16"/>
  <c r="AC65" i="16"/>
  <c r="AB65" i="16"/>
  <c r="AA65" i="16"/>
  <c r="Z65" i="16"/>
  <c r="Y65" i="16"/>
  <c r="X65" i="16"/>
  <c r="W65" i="16"/>
  <c r="J65" i="16"/>
  <c r="I65" i="16"/>
  <c r="G65" i="16"/>
  <c r="E65" i="16"/>
  <c r="D65" i="16"/>
  <c r="C65" i="16"/>
  <c r="B65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AK64" i="16"/>
  <c r="AJ64" i="16"/>
  <c r="AF64" i="16"/>
  <c r="AE64" i="16"/>
  <c r="AD64" i="16"/>
  <c r="AC64" i="16"/>
  <c r="AB64" i="16"/>
  <c r="AA64" i="16"/>
  <c r="Z64" i="16"/>
  <c r="Y64" i="16"/>
  <c r="X64" i="16"/>
  <c r="W64" i="16"/>
  <c r="J64" i="16"/>
  <c r="I64" i="16"/>
  <c r="G64" i="16"/>
  <c r="E64" i="16"/>
  <c r="D64" i="16"/>
  <c r="C64" i="16"/>
  <c r="B64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AK63" i="16"/>
  <c r="AJ63" i="16"/>
  <c r="AF63" i="16"/>
  <c r="AE63" i="16"/>
  <c r="AD63" i="16"/>
  <c r="AC63" i="16"/>
  <c r="AB63" i="16"/>
  <c r="AA63" i="16"/>
  <c r="Z63" i="16"/>
  <c r="Y63" i="16"/>
  <c r="X63" i="16"/>
  <c r="W63" i="16"/>
  <c r="J63" i="16"/>
  <c r="I63" i="16"/>
  <c r="G63" i="16"/>
  <c r="E63" i="16"/>
  <c r="D63" i="16"/>
  <c r="C63" i="16"/>
  <c r="B63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AK62" i="16"/>
  <c r="AJ62" i="16"/>
  <c r="AF62" i="16"/>
  <c r="AE62" i="16"/>
  <c r="AD62" i="16"/>
  <c r="AC62" i="16"/>
  <c r="AB62" i="16"/>
  <c r="AA62" i="16"/>
  <c r="Z62" i="16"/>
  <c r="Y62" i="16"/>
  <c r="X62" i="16"/>
  <c r="W62" i="16"/>
  <c r="J62" i="16"/>
  <c r="I62" i="16"/>
  <c r="G62" i="16"/>
  <c r="E62" i="16"/>
  <c r="D62" i="16"/>
  <c r="C62" i="16"/>
  <c r="B62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AK61" i="16"/>
  <c r="AJ61" i="16"/>
  <c r="AF61" i="16"/>
  <c r="AE61" i="16"/>
  <c r="AD61" i="16"/>
  <c r="AC61" i="16"/>
  <c r="AB61" i="16"/>
  <c r="AA61" i="16"/>
  <c r="Z61" i="16"/>
  <c r="Y61" i="16"/>
  <c r="X61" i="16"/>
  <c r="W61" i="16"/>
  <c r="J61" i="16"/>
  <c r="I61" i="16"/>
  <c r="G61" i="16"/>
  <c r="E61" i="16"/>
  <c r="D61" i="16"/>
  <c r="C61" i="16"/>
  <c r="B61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AK60" i="16"/>
  <c r="AJ60" i="16"/>
  <c r="AF60" i="16"/>
  <c r="AE60" i="16"/>
  <c r="AD60" i="16"/>
  <c r="AC60" i="16"/>
  <c r="AB60" i="16"/>
  <c r="AA60" i="16"/>
  <c r="Z60" i="16"/>
  <c r="Y60" i="16"/>
  <c r="X60" i="16"/>
  <c r="W60" i="16"/>
  <c r="J60" i="16"/>
  <c r="I60" i="16"/>
  <c r="G60" i="16"/>
  <c r="E60" i="16"/>
  <c r="D60" i="16"/>
  <c r="C60" i="16"/>
  <c r="B60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AK59" i="16"/>
  <c r="AJ59" i="16"/>
  <c r="AF59" i="16"/>
  <c r="AE59" i="16"/>
  <c r="AD59" i="16"/>
  <c r="AC59" i="16"/>
  <c r="AB59" i="16"/>
  <c r="AA59" i="16"/>
  <c r="Z59" i="16"/>
  <c r="Y59" i="16"/>
  <c r="X59" i="16"/>
  <c r="W59" i="16"/>
  <c r="J59" i="16"/>
  <c r="I59" i="16"/>
  <c r="G59" i="16"/>
  <c r="E59" i="16"/>
  <c r="D59" i="16"/>
  <c r="C59" i="16"/>
  <c r="B59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AK58" i="16"/>
  <c r="AJ58" i="16"/>
  <c r="AF58" i="16"/>
  <c r="AE58" i="16"/>
  <c r="AD58" i="16"/>
  <c r="AC58" i="16"/>
  <c r="AB58" i="16"/>
  <c r="AA58" i="16"/>
  <c r="Z58" i="16"/>
  <c r="Y58" i="16"/>
  <c r="X58" i="16"/>
  <c r="W58" i="16"/>
  <c r="J58" i="16"/>
  <c r="I58" i="16"/>
  <c r="G58" i="16"/>
  <c r="E58" i="16"/>
  <c r="D58" i="16"/>
  <c r="C58" i="16"/>
  <c r="B58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AK57" i="16"/>
  <c r="AJ57" i="16"/>
  <c r="AF57" i="16"/>
  <c r="AE57" i="16"/>
  <c r="AD57" i="16"/>
  <c r="AC57" i="16"/>
  <c r="AB57" i="16"/>
  <c r="AA57" i="16"/>
  <c r="Z57" i="16"/>
  <c r="Y57" i="16"/>
  <c r="X57" i="16"/>
  <c r="W57" i="16"/>
  <c r="J57" i="16"/>
  <c r="I57" i="16"/>
  <c r="G57" i="16"/>
  <c r="E57" i="16"/>
  <c r="D57" i="16"/>
  <c r="C57" i="16"/>
  <c r="B57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AK56" i="16"/>
  <c r="AJ56" i="16"/>
  <c r="AF56" i="16"/>
  <c r="AE56" i="16"/>
  <c r="AD56" i="16"/>
  <c r="AC56" i="16"/>
  <c r="AB56" i="16"/>
  <c r="AA56" i="16"/>
  <c r="Z56" i="16"/>
  <c r="Y56" i="16"/>
  <c r="X56" i="16"/>
  <c r="W56" i="16"/>
  <c r="J56" i="16"/>
  <c r="I56" i="16"/>
  <c r="G56" i="16"/>
  <c r="E56" i="16"/>
  <c r="D56" i="16"/>
  <c r="C56" i="16"/>
  <c r="B56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AK55" i="16"/>
  <c r="AJ55" i="16"/>
  <c r="AF55" i="16"/>
  <c r="AE55" i="16"/>
  <c r="AD55" i="16"/>
  <c r="AC55" i="16"/>
  <c r="AB55" i="16"/>
  <c r="AA55" i="16"/>
  <c r="Z55" i="16"/>
  <c r="Y55" i="16"/>
  <c r="X55" i="16"/>
  <c r="W55" i="16"/>
  <c r="J55" i="16"/>
  <c r="I55" i="16"/>
  <c r="G55" i="16"/>
  <c r="E55" i="16"/>
  <c r="D55" i="16"/>
  <c r="C55" i="16"/>
  <c r="B55" i="16"/>
  <c r="BB54" i="16"/>
  <c r="BA54" i="16"/>
  <c r="AZ54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M54" i="16"/>
  <c r="AL54" i="16"/>
  <c r="AK54" i="16"/>
  <c r="AJ54" i="16"/>
  <c r="AF54" i="16"/>
  <c r="AE54" i="16"/>
  <c r="AD54" i="16"/>
  <c r="AC54" i="16"/>
  <c r="AB54" i="16"/>
  <c r="AA54" i="16"/>
  <c r="Z54" i="16"/>
  <c r="Y54" i="16"/>
  <c r="X54" i="16"/>
  <c r="W54" i="16"/>
  <c r="J54" i="16"/>
  <c r="I54" i="16"/>
  <c r="G54" i="16"/>
  <c r="E54" i="16"/>
  <c r="D54" i="16"/>
  <c r="C54" i="16"/>
  <c r="B54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F53" i="16"/>
  <c r="AE53" i="16"/>
  <c r="AD53" i="16"/>
  <c r="AC53" i="16"/>
  <c r="AB53" i="16"/>
  <c r="AA53" i="16"/>
  <c r="Z53" i="16"/>
  <c r="Y53" i="16"/>
  <c r="X53" i="16"/>
  <c r="W53" i="16"/>
  <c r="J53" i="16"/>
  <c r="I53" i="16"/>
  <c r="G53" i="16"/>
  <c r="E53" i="16"/>
  <c r="D53" i="16"/>
  <c r="C53" i="16"/>
  <c r="B53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F52" i="16"/>
  <c r="AE52" i="16"/>
  <c r="AD52" i="16"/>
  <c r="AC52" i="16"/>
  <c r="AB52" i="16"/>
  <c r="AA52" i="16"/>
  <c r="Z52" i="16"/>
  <c r="Y52" i="16"/>
  <c r="X52" i="16"/>
  <c r="W52" i="16"/>
  <c r="J52" i="16"/>
  <c r="I52" i="16"/>
  <c r="G52" i="16"/>
  <c r="E52" i="16"/>
  <c r="D52" i="16"/>
  <c r="C52" i="16"/>
  <c r="B52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F51" i="16"/>
  <c r="AE51" i="16"/>
  <c r="AD51" i="16"/>
  <c r="AC51" i="16"/>
  <c r="AB51" i="16"/>
  <c r="AA51" i="16"/>
  <c r="Z51" i="16"/>
  <c r="Y51" i="16"/>
  <c r="X51" i="16"/>
  <c r="W51" i="16"/>
  <c r="J51" i="16"/>
  <c r="I51" i="16"/>
  <c r="G51" i="16"/>
  <c r="E51" i="16"/>
  <c r="D51" i="16"/>
  <c r="C51" i="16"/>
  <c r="B51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F50" i="16"/>
  <c r="AE50" i="16"/>
  <c r="AD50" i="16"/>
  <c r="AC50" i="16"/>
  <c r="AB50" i="16"/>
  <c r="AA50" i="16"/>
  <c r="Z50" i="16"/>
  <c r="Y50" i="16"/>
  <c r="X50" i="16"/>
  <c r="W50" i="16"/>
  <c r="J50" i="16"/>
  <c r="I50" i="16"/>
  <c r="G50" i="16"/>
  <c r="E50" i="16"/>
  <c r="D50" i="16"/>
  <c r="C50" i="16"/>
  <c r="B50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F49" i="16"/>
  <c r="AE49" i="16"/>
  <c r="AD49" i="16"/>
  <c r="AC49" i="16"/>
  <c r="AB49" i="16"/>
  <c r="AA49" i="16"/>
  <c r="Z49" i="16"/>
  <c r="Y49" i="16"/>
  <c r="X49" i="16"/>
  <c r="W49" i="16"/>
  <c r="J49" i="16"/>
  <c r="I49" i="16"/>
  <c r="G49" i="16"/>
  <c r="E49" i="16"/>
  <c r="D49" i="16"/>
  <c r="C49" i="16"/>
  <c r="B49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F48" i="16"/>
  <c r="AE48" i="16"/>
  <c r="AD48" i="16"/>
  <c r="AC48" i="16"/>
  <c r="AB48" i="16"/>
  <c r="AA48" i="16"/>
  <c r="Z48" i="16"/>
  <c r="Y48" i="16"/>
  <c r="X48" i="16"/>
  <c r="W48" i="16"/>
  <c r="J48" i="16"/>
  <c r="I48" i="16"/>
  <c r="G48" i="16"/>
  <c r="E48" i="16"/>
  <c r="D48" i="16"/>
  <c r="C48" i="16"/>
  <c r="B48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F47" i="16"/>
  <c r="AE47" i="16"/>
  <c r="AD47" i="16"/>
  <c r="AC47" i="16"/>
  <c r="AB47" i="16"/>
  <c r="AA47" i="16"/>
  <c r="Z47" i="16"/>
  <c r="Y47" i="16"/>
  <c r="X47" i="16"/>
  <c r="W47" i="16"/>
  <c r="J47" i="16"/>
  <c r="I47" i="16"/>
  <c r="G47" i="16"/>
  <c r="E47" i="16"/>
  <c r="D47" i="16"/>
  <c r="C47" i="16"/>
  <c r="B47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F46" i="16"/>
  <c r="AE46" i="16"/>
  <c r="AD46" i="16"/>
  <c r="AC46" i="16"/>
  <c r="AB46" i="16"/>
  <c r="AA46" i="16"/>
  <c r="Z46" i="16"/>
  <c r="Y46" i="16"/>
  <c r="X46" i="16"/>
  <c r="W46" i="16"/>
  <c r="J46" i="16"/>
  <c r="I46" i="16"/>
  <c r="G46" i="16"/>
  <c r="E46" i="16"/>
  <c r="D46" i="16"/>
  <c r="C46" i="16"/>
  <c r="B46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F45" i="16"/>
  <c r="AE45" i="16"/>
  <c r="AD45" i="16"/>
  <c r="AC45" i="16"/>
  <c r="AB45" i="16"/>
  <c r="AA45" i="16"/>
  <c r="Z45" i="16"/>
  <c r="Y45" i="16"/>
  <c r="X45" i="16"/>
  <c r="W45" i="16"/>
  <c r="J45" i="16"/>
  <c r="I45" i="16"/>
  <c r="G45" i="16"/>
  <c r="E45" i="16"/>
  <c r="D45" i="16"/>
  <c r="C45" i="16"/>
  <c r="B45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F44" i="16"/>
  <c r="AE44" i="16"/>
  <c r="AD44" i="16"/>
  <c r="AC44" i="16"/>
  <c r="AB44" i="16"/>
  <c r="AA44" i="16"/>
  <c r="Z44" i="16"/>
  <c r="Y44" i="16"/>
  <c r="X44" i="16"/>
  <c r="W44" i="16"/>
  <c r="J44" i="16"/>
  <c r="I44" i="16"/>
  <c r="G44" i="16"/>
  <c r="E44" i="16"/>
  <c r="D44" i="16"/>
  <c r="C44" i="16"/>
  <c r="B44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F43" i="16"/>
  <c r="AE43" i="16"/>
  <c r="AD43" i="16"/>
  <c r="AC43" i="16"/>
  <c r="AB43" i="16"/>
  <c r="AA43" i="16"/>
  <c r="Z43" i="16"/>
  <c r="Y43" i="16"/>
  <c r="X43" i="16"/>
  <c r="W43" i="16"/>
  <c r="J43" i="16"/>
  <c r="I43" i="16"/>
  <c r="G43" i="16"/>
  <c r="E43" i="16"/>
  <c r="D43" i="16"/>
  <c r="C43" i="16"/>
  <c r="B43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F42" i="16"/>
  <c r="AE42" i="16"/>
  <c r="AD42" i="16"/>
  <c r="AC42" i="16"/>
  <c r="AB42" i="16"/>
  <c r="AA42" i="16"/>
  <c r="Z42" i="16"/>
  <c r="Y42" i="16"/>
  <c r="X42" i="16"/>
  <c r="W42" i="16"/>
  <c r="J42" i="16"/>
  <c r="I42" i="16"/>
  <c r="G42" i="16"/>
  <c r="E42" i="16"/>
  <c r="D42" i="16"/>
  <c r="C42" i="16"/>
  <c r="B42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F41" i="16"/>
  <c r="AE41" i="16"/>
  <c r="AD41" i="16"/>
  <c r="AC41" i="16"/>
  <c r="AB41" i="16"/>
  <c r="AA41" i="16"/>
  <c r="Z41" i="16"/>
  <c r="Y41" i="16"/>
  <c r="X41" i="16"/>
  <c r="W41" i="16"/>
  <c r="J41" i="16"/>
  <c r="I41" i="16"/>
  <c r="G41" i="16"/>
  <c r="E41" i="16"/>
  <c r="D41" i="16"/>
  <c r="C41" i="16"/>
  <c r="B41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F40" i="16"/>
  <c r="AE40" i="16"/>
  <c r="AD40" i="16"/>
  <c r="AC40" i="16"/>
  <c r="AB40" i="16"/>
  <c r="AA40" i="16"/>
  <c r="Z40" i="16"/>
  <c r="Y40" i="16"/>
  <c r="X40" i="16"/>
  <c r="W40" i="16"/>
  <c r="J40" i="16"/>
  <c r="I40" i="16"/>
  <c r="G40" i="16"/>
  <c r="E40" i="16"/>
  <c r="D40" i="16"/>
  <c r="C40" i="16"/>
  <c r="B40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F39" i="16"/>
  <c r="AE39" i="16"/>
  <c r="AD39" i="16"/>
  <c r="AC39" i="16"/>
  <c r="AB39" i="16"/>
  <c r="AA39" i="16"/>
  <c r="Z39" i="16"/>
  <c r="Y39" i="16"/>
  <c r="X39" i="16"/>
  <c r="W39" i="16"/>
  <c r="J39" i="16"/>
  <c r="I39" i="16"/>
  <c r="G39" i="16"/>
  <c r="E39" i="16"/>
  <c r="D39" i="16"/>
  <c r="C39" i="16"/>
  <c r="B39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F38" i="16"/>
  <c r="AE38" i="16"/>
  <c r="AD38" i="16"/>
  <c r="AC38" i="16"/>
  <c r="AB38" i="16"/>
  <c r="AA38" i="16"/>
  <c r="Z38" i="16"/>
  <c r="Y38" i="16"/>
  <c r="X38" i="16"/>
  <c r="W38" i="16"/>
  <c r="J38" i="16"/>
  <c r="I38" i="16"/>
  <c r="G38" i="16"/>
  <c r="E38" i="16"/>
  <c r="D38" i="16"/>
  <c r="C38" i="16"/>
  <c r="B38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F37" i="16"/>
  <c r="AE37" i="16"/>
  <c r="AD37" i="16"/>
  <c r="AC37" i="16"/>
  <c r="AB37" i="16"/>
  <c r="AA37" i="16"/>
  <c r="Z37" i="16"/>
  <c r="Y37" i="16"/>
  <c r="X37" i="16"/>
  <c r="W37" i="16"/>
  <c r="J37" i="16"/>
  <c r="I37" i="16"/>
  <c r="G37" i="16"/>
  <c r="E37" i="16"/>
  <c r="D37" i="16"/>
  <c r="C37" i="16"/>
  <c r="B37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F36" i="16"/>
  <c r="AE36" i="16"/>
  <c r="AD36" i="16"/>
  <c r="AC36" i="16"/>
  <c r="AB36" i="16"/>
  <c r="AA36" i="16"/>
  <c r="Z36" i="16"/>
  <c r="Y36" i="16"/>
  <c r="X36" i="16"/>
  <c r="W36" i="16"/>
  <c r="J36" i="16"/>
  <c r="I36" i="16"/>
  <c r="G36" i="16"/>
  <c r="E36" i="16"/>
  <c r="D36" i="16"/>
  <c r="C36" i="16"/>
  <c r="B36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F35" i="16"/>
  <c r="AE35" i="16"/>
  <c r="AD35" i="16"/>
  <c r="AC35" i="16"/>
  <c r="AB35" i="16"/>
  <c r="AA35" i="16"/>
  <c r="Z35" i="16"/>
  <c r="Y35" i="16"/>
  <c r="X35" i="16"/>
  <c r="W35" i="16"/>
  <c r="J35" i="16"/>
  <c r="I35" i="16"/>
  <c r="G35" i="16"/>
  <c r="E35" i="16"/>
  <c r="D35" i="16"/>
  <c r="C35" i="16"/>
  <c r="B35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F34" i="16"/>
  <c r="AE34" i="16"/>
  <c r="AD34" i="16"/>
  <c r="AC34" i="16"/>
  <c r="AB34" i="16"/>
  <c r="AA34" i="16"/>
  <c r="Z34" i="16"/>
  <c r="Y34" i="16"/>
  <c r="X34" i="16"/>
  <c r="W34" i="16"/>
  <c r="J34" i="16"/>
  <c r="I34" i="16"/>
  <c r="G34" i="16"/>
  <c r="E34" i="16"/>
  <c r="D34" i="16"/>
  <c r="C34" i="16"/>
  <c r="B34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F33" i="16"/>
  <c r="AE33" i="16"/>
  <c r="AD33" i="16"/>
  <c r="AC33" i="16"/>
  <c r="AB33" i="16"/>
  <c r="AA33" i="16"/>
  <c r="Z33" i="16"/>
  <c r="Y33" i="16"/>
  <c r="X33" i="16"/>
  <c r="W33" i="16"/>
  <c r="J33" i="16"/>
  <c r="I33" i="16"/>
  <c r="G33" i="16"/>
  <c r="E33" i="16"/>
  <c r="D33" i="16"/>
  <c r="C33" i="16"/>
  <c r="B33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F32" i="16"/>
  <c r="AE32" i="16"/>
  <c r="AD32" i="16"/>
  <c r="AC32" i="16"/>
  <c r="AB32" i="16"/>
  <c r="AA32" i="16"/>
  <c r="Z32" i="16"/>
  <c r="Y32" i="16"/>
  <c r="X32" i="16"/>
  <c r="W32" i="16"/>
  <c r="J32" i="16"/>
  <c r="I32" i="16"/>
  <c r="G32" i="16"/>
  <c r="E32" i="16"/>
  <c r="D32" i="16"/>
  <c r="C32" i="16"/>
  <c r="B32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F31" i="16"/>
  <c r="AE31" i="16"/>
  <c r="AD31" i="16"/>
  <c r="AC31" i="16"/>
  <c r="AB31" i="16"/>
  <c r="AA31" i="16"/>
  <c r="Z31" i="16"/>
  <c r="Y31" i="16"/>
  <c r="X31" i="16"/>
  <c r="W31" i="16"/>
  <c r="J31" i="16"/>
  <c r="I31" i="16"/>
  <c r="G31" i="16"/>
  <c r="E31" i="16"/>
  <c r="D31" i="16"/>
  <c r="C31" i="16"/>
  <c r="B31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F30" i="16"/>
  <c r="AE30" i="16"/>
  <c r="AD30" i="16"/>
  <c r="AC30" i="16"/>
  <c r="AB30" i="16"/>
  <c r="AA30" i="16"/>
  <c r="Z30" i="16"/>
  <c r="Y30" i="16"/>
  <c r="X30" i="16"/>
  <c r="W30" i="16"/>
  <c r="J30" i="16"/>
  <c r="I30" i="16"/>
  <c r="G30" i="16"/>
  <c r="E30" i="16"/>
  <c r="D30" i="16"/>
  <c r="C30" i="16"/>
  <c r="B30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F29" i="16"/>
  <c r="AE29" i="16"/>
  <c r="AD29" i="16"/>
  <c r="AC29" i="16"/>
  <c r="AB29" i="16"/>
  <c r="AA29" i="16"/>
  <c r="Z29" i="16"/>
  <c r="Y29" i="16"/>
  <c r="X29" i="16"/>
  <c r="W29" i="16"/>
  <c r="J29" i="16"/>
  <c r="I29" i="16"/>
  <c r="G29" i="16"/>
  <c r="E29" i="16"/>
  <c r="D29" i="16"/>
  <c r="C29" i="16"/>
  <c r="B29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AK28" i="16"/>
  <c r="AJ28" i="16"/>
  <c r="AF28" i="16"/>
  <c r="AE28" i="16"/>
  <c r="AD28" i="16"/>
  <c r="AC28" i="16"/>
  <c r="AB28" i="16"/>
  <c r="AA28" i="16"/>
  <c r="Z28" i="16"/>
  <c r="Y28" i="16"/>
  <c r="X28" i="16"/>
  <c r="W28" i="16"/>
  <c r="J28" i="16"/>
  <c r="I28" i="16"/>
  <c r="G28" i="16"/>
  <c r="E28" i="16"/>
  <c r="D28" i="16"/>
  <c r="C28" i="16"/>
  <c r="B28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AK27" i="16"/>
  <c r="AJ27" i="16"/>
  <c r="AF27" i="16"/>
  <c r="AE27" i="16"/>
  <c r="AD27" i="16"/>
  <c r="AC27" i="16"/>
  <c r="AB27" i="16"/>
  <c r="AA27" i="16"/>
  <c r="Z27" i="16"/>
  <c r="Y27" i="16"/>
  <c r="X27" i="16"/>
  <c r="W27" i="16"/>
  <c r="J27" i="16"/>
  <c r="I27" i="16"/>
  <c r="G27" i="16"/>
  <c r="E27" i="16"/>
  <c r="D27" i="16"/>
  <c r="C27" i="16"/>
  <c r="B27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F26" i="16"/>
  <c r="AE26" i="16"/>
  <c r="AD26" i="16"/>
  <c r="AC26" i="16"/>
  <c r="AB26" i="16"/>
  <c r="AA26" i="16"/>
  <c r="Z26" i="16"/>
  <c r="Y26" i="16"/>
  <c r="X26" i="16"/>
  <c r="W26" i="16"/>
  <c r="J26" i="16"/>
  <c r="I26" i="16"/>
  <c r="G26" i="16"/>
  <c r="E26" i="16"/>
  <c r="D26" i="16"/>
  <c r="C26" i="16"/>
  <c r="B26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F25" i="16"/>
  <c r="AE25" i="16"/>
  <c r="AD25" i="16"/>
  <c r="AC25" i="16"/>
  <c r="AB25" i="16"/>
  <c r="AA25" i="16"/>
  <c r="Z25" i="16"/>
  <c r="Y25" i="16"/>
  <c r="X25" i="16"/>
  <c r="W25" i="16"/>
  <c r="J25" i="16"/>
  <c r="I25" i="16"/>
  <c r="G25" i="16"/>
  <c r="E25" i="16"/>
  <c r="D25" i="16"/>
  <c r="C25" i="16"/>
  <c r="B25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F24" i="16"/>
  <c r="AE24" i="16"/>
  <c r="AD24" i="16"/>
  <c r="AC24" i="16"/>
  <c r="AB24" i="16"/>
  <c r="AA24" i="16"/>
  <c r="Z24" i="16"/>
  <c r="Y24" i="16"/>
  <c r="X24" i="16"/>
  <c r="W24" i="16"/>
  <c r="J24" i="16"/>
  <c r="I24" i="16"/>
  <c r="G24" i="16"/>
  <c r="E24" i="16"/>
  <c r="D24" i="16"/>
  <c r="C24" i="16"/>
  <c r="B24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F23" i="16"/>
  <c r="AE23" i="16"/>
  <c r="AD23" i="16"/>
  <c r="AC23" i="16"/>
  <c r="AB23" i="16"/>
  <c r="AA23" i="16"/>
  <c r="Z23" i="16"/>
  <c r="Y23" i="16"/>
  <c r="X23" i="16"/>
  <c r="W23" i="16"/>
  <c r="J23" i="16"/>
  <c r="I23" i="16"/>
  <c r="G23" i="16"/>
  <c r="E23" i="16"/>
  <c r="D23" i="16"/>
  <c r="C23" i="16"/>
  <c r="B23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F22" i="16"/>
  <c r="AE22" i="16"/>
  <c r="AD22" i="16"/>
  <c r="AC22" i="16"/>
  <c r="AB22" i="16"/>
  <c r="AA22" i="16"/>
  <c r="Z22" i="16"/>
  <c r="Y22" i="16"/>
  <c r="X22" i="16"/>
  <c r="W22" i="16"/>
  <c r="J22" i="16"/>
  <c r="I22" i="16"/>
  <c r="G22" i="16"/>
  <c r="E22" i="16"/>
  <c r="D22" i="16"/>
  <c r="C22" i="16"/>
  <c r="B22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F21" i="16"/>
  <c r="AE21" i="16"/>
  <c r="AD21" i="16"/>
  <c r="AC21" i="16"/>
  <c r="AB21" i="16"/>
  <c r="AA21" i="16"/>
  <c r="Z21" i="16"/>
  <c r="Y21" i="16"/>
  <c r="X21" i="16"/>
  <c r="W21" i="16"/>
  <c r="J21" i="16"/>
  <c r="I21" i="16"/>
  <c r="G21" i="16"/>
  <c r="E21" i="16"/>
  <c r="D21" i="16"/>
  <c r="C21" i="16"/>
  <c r="B21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F20" i="16"/>
  <c r="AE20" i="16"/>
  <c r="AD20" i="16"/>
  <c r="AC20" i="16"/>
  <c r="AB20" i="16"/>
  <c r="AA20" i="16"/>
  <c r="Z20" i="16"/>
  <c r="Y20" i="16"/>
  <c r="X20" i="16"/>
  <c r="W20" i="16"/>
  <c r="J20" i="16"/>
  <c r="I20" i="16"/>
  <c r="G20" i="16"/>
  <c r="E20" i="16"/>
  <c r="D20" i="16"/>
  <c r="C20" i="16"/>
  <c r="B20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F19" i="16"/>
  <c r="AE19" i="16"/>
  <c r="AD19" i="16"/>
  <c r="AC19" i="16"/>
  <c r="AB19" i="16"/>
  <c r="AA19" i="16"/>
  <c r="Z19" i="16"/>
  <c r="Y19" i="16"/>
  <c r="X19" i="16"/>
  <c r="W19" i="16"/>
  <c r="J19" i="16"/>
  <c r="I19" i="16"/>
  <c r="G19" i="16"/>
  <c r="E19" i="16"/>
  <c r="D19" i="16"/>
  <c r="C19" i="16"/>
  <c r="B19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F18" i="16"/>
  <c r="AE18" i="16"/>
  <c r="AD18" i="16"/>
  <c r="AC18" i="16"/>
  <c r="AB18" i="16"/>
  <c r="AA18" i="16"/>
  <c r="Z18" i="16"/>
  <c r="Y18" i="16"/>
  <c r="X18" i="16"/>
  <c r="W18" i="16"/>
  <c r="J18" i="16"/>
  <c r="I18" i="16"/>
  <c r="G18" i="16"/>
  <c r="E18" i="16"/>
  <c r="D18" i="16"/>
  <c r="C18" i="16"/>
  <c r="B18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F17" i="16"/>
  <c r="AE17" i="16"/>
  <c r="AD17" i="16"/>
  <c r="AC17" i="16"/>
  <c r="AB17" i="16"/>
  <c r="AA17" i="16"/>
  <c r="Z17" i="16"/>
  <c r="Y17" i="16"/>
  <c r="X17" i="16"/>
  <c r="W17" i="16"/>
  <c r="J17" i="16"/>
  <c r="I17" i="16"/>
  <c r="G17" i="16"/>
  <c r="E17" i="16"/>
  <c r="D17" i="16"/>
  <c r="C17" i="16"/>
  <c r="B17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F16" i="16"/>
  <c r="AE16" i="16"/>
  <c r="AD16" i="16"/>
  <c r="AC16" i="16"/>
  <c r="AB16" i="16"/>
  <c r="AA16" i="16"/>
  <c r="Z16" i="16"/>
  <c r="Y16" i="16"/>
  <c r="X16" i="16"/>
  <c r="W16" i="16"/>
  <c r="J16" i="16"/>
  <c r="I16" i="16"/>
  <c r="G16" i="16"/>
  <c r="E16" i="16"/>
  <c r="D16" i="16"/>
  <c r="C16" i="16"/>
  <c r="B16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AJ15" i="16"/>
  <c r="AF15" i="16"/>
  <c r="AE15" i="16"/>
  <c r="AD15" i="16"/>
  <c r="AC15" i="16"/>
  <c r="AB15" i="16"/>
  <c r="AA15" i="16"/>
  <c r="Z15" i="16"/>
  <c r="Y15" i="16"/>
  <c r="X15" i="16"/>
  <c r="W15" i="16"/>
  <c r="J15" i="16"/>
  <c r="I15" i="16"/>
  <c r="G15" i="16"/>
  <c r="E15" i="16"/>
  <c r="D15" i="16"/>
  <c r="C15" i="16"/>
  <c r="B15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F14" i="16"/>
  <c r="AE14" i="16"/>
  <c r="AD14" i="16"/>
  <c r="AC14" i="16"/>
  <c r="AB14" i="16"/>
  <c r="AA14" i="16"/>
  <c r="Z14" i="16"/>
  <c r="Y14" i="16"/>
  <c r="X14" i="16"/>
  <c r="W14" i="16"/>
  <c r="J14" i="16"/>
  <c r="I14" i="16"/>
  <c r="G14" i="16"/>
  <c r="E14" i="16"/>
  <c r="D14" i="16"/>
  <c r="C14" i="16"/>
  <c r="B14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F13" i="16"/>
  <c r="AE13" i="16"/>
  <c r="AD13" i="16"/>
  <c r="AC13" i="16"/>
  <c r="AB13" i="16"/>
  <c r="AA13" i="16"/>
  <c r="Z13" i="16"/>
  <c r="Y13" i="16"/>
  <c r="X13" i="16"/>
  <c r="W13" i="16"/>
  <c r="J13" i="16"/>
  <c r="I13" i="16"/>
  <c r="G13" i="16"/>
  <c r="E13" i="16"/>
  <c r="D13" i="16"/>
  <c r="C13" i="16"/>
  <c r="B13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F12" i="16"/>
  <c r="AE12" i="16"/>
  <c r="AD12" i="16"/>
  <c r="AC12" i="16"/>
  <c r="AB12" i="16"/>
  <c r="AA12" i="16"/>
  <c r="Z12" i="16"/>
  <c r="Y12" i="16"/>
  <c r="X12" i="16"/>
  <c r="W12" i="16"/>
  <c r="J12" i="16"/>
  <c r="I12" i="16"/>
  <c r="G12" i="16"/>
  <c r="E12" i="16"/>
  <c r="D12" i="16"/>
  <c r="C12" i="16"/>
  <c r="B12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F11" i="16"/>
  <c r="AE11" i="16"/>
  <c r="AD11" i="16"/>
  <c r="AC11" i="16"/>
  <c r="AB11" i="16"/>
  <c r="AA11" i="16"/>
  <c r="Z11" i="16"/>
  <c r="Y11" i="16"/>
  <c r="X11" i="16"/>
  <c r="W11" i="16"/>
  <c r="J11" i="16"/>
  <c r="I11" i="16"/>
  <c r="G11" i="16"/>
  <c r="E11" i="16"/>
  <c r="D11" i="16"/>
  <c r="C11" i="16"/>
  <c r="B11" i="16"/>
  <c r="BJ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Z46" i="11"/>
  <c r="Y46" i="11"/>
  <c r="W46" i="11"/>
  <c r="V46" i="11"/>
  <c r="T46" i="11"/>
  <c r="S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B46" i="11"/>
  <c r="BJ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Z45" i="11"/>
  <c r="Y45" i="11"/>
  <c r="W45" i="11"/>
  <c r="V45" i="11"/>
  <c r="T45" i="11"/>
  <c r="S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B45" i="11"/>
  <c r="BJ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Z44" i="11"/>
  <c r="Y44" i="11"/>
  <c r="W44" i="11"/>
  <c r="V44" i="11"/>
  <c r="T44" i="11"/>
  <c r="S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B44" i="11"/>
  <c r="BJ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Z43" i="11"/>
  <c r="Y43" i="11"/>
  <c r="W43" i="11"/>
  <c r="V43" i="11"/>
  <c r="T43" i="11"/>
  <c r="S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B43" i="11"/>
  <c r="BJ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Z42" i="11"/>
  <c r="Y42" i="11"/>
  <c r="W42" i="11"/>
  <c r="V42" i="11"/>
  <c r="T42" i="11"/>
  <c r="S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B42" i="11"/>
  <c r="BJ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Z41" i="11"/>
  <c r="Y41" i="11"/>
  <c r="W41" i="11"/>
  <c r="V41" i="11"/>
  <c r="T41" i="11"/>
  <c r="S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B41" i="11"/>
  <c r="BJ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Z40" i="11"/>
  <c r="Y40" i="11"/>
  <c r="W40" i="11"/>
  <c r="V40" i="11"/>
  <c r="T40" i="11"/>
  <c r="S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B40" i="11"/>
  <c r="BJ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Z39" i="11"/>
  <c r="Y39" i="11"/>
  <c r="W39" i="11"/>
  <c r="V39" i="11"/>
  <c r="T39" i="11"/>
  <c r="S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B39" i="11"/>
  <c r="BJ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Z38" i="11"/>
  <c r="Y38" i="11"/>
  <c r="W38" i="11"/>
  <c r="V38" i="11"/>
  <c r="T38" i="11"/>
  <c r="S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B38" i="11"/>
  <c r="BJ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Z37" i="11"/>
  <c r="Y37" i="11"/>
  <c r="W37" i="11"/>
  <c r="V37" i="11"/>
  <c r="T37" i="11"/>
  <c r="S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B37" i="11"/>
  <c r="BJ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Z36" i="11"/>
  <c r="Y36" i="11"/>
  <c r="W36" i="11"/>
  <c r="V36" i="11"/>
  <c r="T36" i="11"/>
  <c r="S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B36" i="11"/>
  <c r="BJ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Z35" i="11"/>
  <c r="Y35" i="11"/>
  <c r="W35" i="11"/>
  <c r="V35" i="11"/>
  <c r="T35" i="11"/>
  <c r="S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B35" i="11"/>
  <c r="BJ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Z34" i="11"/>
  <c r="Y34" i="11"/>
  <c r="W34" i="11"/>
  <c r="V34" i="11"/>
  <c r="T34" i="11"/>
  <c r="S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B34" i="11"/>
  <c r="BJ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Z33" i="11"/>
  <c r="Y33" i="11"/>
  <c r="W33" i="11"/>
  <c r="V33" i="11"/>
  <c r="T33" i="11"/>
  <c r="S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B33" i="11"/>
  <c r="BJ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Z32" i="11"/>
  <c r="Y32" i="11"/>
  <c r="W32" i="11"/>
  <c r="V32" i="11"/>
  <c r="T32" i="11"/>
  <c r="S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B32" i="11"/>
  <c r="BJ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Z31" i="11"/>
  <c r="Y31" i="11"/>
  <c r="W31" i="11"/>
  <c r="V31" i="11"/>
  <c r="T31" i="11"/>
  <c r="S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B31" i="11"/>
  <c r="BJ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Z30" i="11"/>
  <c r="Y30" i="11"/>
  <c r="W30" i="11"/>
  <c r="V30" i="11"/>
  <c r="T30" i="11"/>
  <c r="S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B30" i="11"/>
  <c r="BJ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Z29" i="11"/>
  <c r="Y29" i="11"/>
  <c r="W29" i="11"/>
  <c r="V29" i="11"/>
  <c r="T29" i="11"/>
  <c r="S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B29" i="11"/>
  <c r="BJ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Z28" i="11"/>
  <c r="Y28" i="11"/>
  <c r="W28" i="11"/>
  <c r="V28" i="11"/>
  <c r="T28" i="11"/>
  <c r="S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B28" i="11"/>
  <c r="BJ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Z27" i="11"/>
  <c r="Y27" i="11"/>
  <c r="W27" i="11"/>
  <c r="V27" i="11"/>
  <c r="T27" i="11"/>
  <c r="S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B27" i="11"/>
  <c r="BJ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Z26" i="11"/>
  <c r="Y26" i="11"/>
  <c r="W26" i="11"/>
  <c r="V26" i="11"/>
  <c r="T26" i="11"/>
  <c r="S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B26" i="11"/>
  <c r="BJ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Z25" i="11"/>
  <c r="Y25" i="11"/>
  <c r="W25" i="11"/>
  <c r="V25" i="11"/>
  <c r="T25" i="11"/>
  <c r="S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B25" i="11"/>
  <c r="BJ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Z24" i="11"/>
  <c r="Y24" i="11"/>
  <c r="W24" i="11"/>
  <c r="V24" i="11"/>
  <c r="T24" i="11"/>
  <c r="S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B24" i="11"/>
  <c r="BJ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Z23" i="11"/>
  <c r="Y23" i="11"/>
  <c r="W23" i="11"/>
  <c r="V23" i="11"/>
  <c r="T23" i="11"/>
  <c r="S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B23" i="11"/>
  <c r="BJ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Z22" i="11"/>
  <c r="Y22" i="11"/>
  <c r="W22" i="11"/>
  <c r="V22" i="11"/>
  <c r="T22" i="11"/>
  <c r="S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B22" i="11"/>
  <c r="BJ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Z21" i="11"/>
  <c r="Y21" i="11"/>
  <c r="W21" i="11"/>
  <c r="V21" i="11"/>
  <c r="T21" i="11"/>
  <c r="S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B21" i="11"/>
  <c r="BJ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Z20" i="11"/>
  <c r="Y20" i="11"/>
  <c r="W20" i="11"/>
  <c r="V20" i="11"/>
  <c r="T20" i="11"/>
  <c r="S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B20" i="11"/>
  <c r="BJ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Z19" i="11"/>
  <c r="Y19" i="11"/>
  <c r="W19" i="11"/>
  <c r="V19" i="11"/>
  <c r="T19" i="11"/>
  <c r="S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B19" i="11"/>
  <c r="BJ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Z18" i="11"/>
  <c r="Y18" i="11"/>
  <c r="W18" i="11"/>
  <c r="V18" i="11"/>
  <c r="T18" i="11"/>
  <c r="S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B18" i="11"/>
  <c r="BJ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Z17" i="11"/>
  <c r="Y17" i="11"/>
  <c r="W17" i="11"/>
  <c r="V17" i="11"/>
  <c r="T17" i="11"/>
  <c r="S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B17" i="11"/>
  <c r="BJ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Z16" i="11"/>
  <c r="Y16" i="11"/>
  <c r="W16" i="11"/>
  <c r="V16" i="11"/>
  <c r="T16" i="11"/>
  <c r="S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B16" i="11"/>
  <c r="BJ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Z15" i="11"/>
  <c r="Y15" i="11"/>
  <c r="W15" i="11"/>
  <c r="V15" i="11"/>
  <c r="T15" i="11"/>
  <c r="S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B15" i="11"/>
  <c r="BJ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Z14" i="11"/>
  <c r="Y14" i="11"/>
  <c r="W14" i="11"/>
  <c r="V14" i="11"/>
  <c r="T14" i="11"/>
  <c r="S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B14" i="11"/>
  <c r="BJ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Z13" i="11"/>
  <c r="Y13" i="11"/>
  <c r="W13" i="11"/>
  <c r="V13" i="11"/>
  <c r="T13" i="11"/>
  <c r="S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B13" i="11"/>
  <c r="BJ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Z12" i="11"/>
  <c r="Y12" i="11"/>
  <c r="W12" i="11"/>
  <c r="V12" i="11"/>
  <c r="T12" i="11"/>
  <c r="S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B12" i="11"/>
  <c r="BJ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Z11" i="11"/>
  <c r="Y11" i="11"/>
  <c r="W11" i="11"/>
  <c r="V11" i="11"/>
  <c r="T11" i="11"/>
  <c r="S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B11" i="11"/>
  <c r="S11" i="31"/>
  <c r="R11" i="31"/>
  <c r="Q11" i="31"/>
  <c r="P11" i="31"/>
  <c r="O11" i="31"/>
  <c r="N11" i="31"/>
  <c r="M11" i="31"/>
  <c r="L11" i="31"/>
  <c r="K11" i="31"/>
  <c r="J11" i="31"/>
  <c r="I11" i="31"/>
  <c r="H11" i="31"/>
  <c r="F11" i="31"/>
  <c r="C11" i="31"/>
  <c r="B11" i="31"/>
  <c r="Y61" i="15"/>
  <c r="X61" i="15"/>
  <c r="W61" i="15"/>
  <c r="V61" i="15"/>
  <c r="U61" i="15"/>
  <c r="T61" i="15"/>
  <c r="S61" i="15"/>
  <c r="R61" i="15"/>
  <c r="N61" i="15"/>
  <c r="M61" i="15"/>
  <c r="L61" i="15"/>
  <c r="K61" i="15"/>
  <c r="J61" i="15"/>
  <c r="I61" i="15"/>
  <c r="F61" i="15"/>
  <c r="D61" i="15"/>
  <c r="C61" i="15"/>
  <c r="B61" i="15"/>
  <c r="Y60" i="15"/>
  <c r="X60" i="15"/>
  <c r="W60" i="15"/>
  <c r="V60" i="15"/>
  <c r="U60" i="15"/>
  <c r="T60" i="15"/>
  <c r="S60" i="15"/>
  <c r="R60" i="15"/>
  <c r="N60" i="15"/>
  <c r="M60" i="15"/>
  <c r="L60" i="15"/>
  <c r="K60" i="15"/>
  <c r="J60" i="15"/>
  <c r="I60" i="15"/>
  <c r="F60" i="15"/>
  <c r="D60" i="15"/>
  <c r="C60" i="15"/>
  <c r="B60" i="15"/>
  <c r="Y59" i="15"/>
  <c r="X59" i="15"/>
  <c r="W59" i="15"/>
  <c r="V59" i="15"/>
  <c r="U59" i="15"/>
  <c r="T59" i="15"/>
  <c r="S59" i="15"/>
  <c r="R59" i="15"/>
  <c r="N59" i="15"/>
  <c r="M59" i="15"/>
  <c r="L59" i="15"/>
  <c r="K59" i="15"/>
  <c r="J59" i="15"/>
  <c r="I59" i="15"/>
  <c r="F59" i="15"/>
  <c r="D59" i="15"/>
  <c r="C59" i="15"/>
  <c r="B59" i="15"/>
  <c r="Y58" i="15"/>
  <c r="X58" i="15"/>
  <c r="W58" i="15"/>
  <c r="V58" i="15"/>
  <c r="U58" i="15"/>
  <c r="T58" i="15"/>
  <c r="S58" i="15"/>
  <c r="R58" i="15"/>
  <c r="N58" i="15"/>
  <c r="M58" i="15"/>
  <c r="L58" i="15"/>
  <c r="K58" i="15"/>
  <c r="J58" i="15"/>
  <c r="I58" i="15"/>
  <c r="F58" i="15"/>
  <c r="D58" i="15"/>
  <c r="C58" i="15"/>
  <c r="B58" i="15"/>
  <c r="Y57" i="15"/>
  <c r="X57" i="15"/>
  <c r="W57" i="15"/>
  <c r="V57" i="15"/>
  <c r="U57" i="15"/>
  <c r="T57" i="15"/>
  <c r="S57" i="15"/>
  <c r="R57" i="15"/>
  <c r="N57" i="15"/>
  <c r="M57" i="15"/>
  <c r="L57" i="15"/>
  <c r="K57" i="15"/>
  <c r="J57" i="15"/>
  <c r="I57" i="15"/>
  <c r="F57" i="15"/>
  <c r="D57" i="15"/>
  <c r="C57" i="15"/>
  <c r="B57" i="15"/>
  <c r="Y56" i="15"/>
  <c r="X56" i="15"/>
  <c r="W56" i="15"/>
  <c r="V56" i="15"/>
  <c r="U56" i="15"/>
  <c r="T56" i="15"/>
  <c r="S56" i="15"/>
  <c r="R56" i="15"/>
  <c r="N56" i="15"/>
  <c r="M56" i="15"/>
  <c r="L56" i="15"/>
  <c r="K56" i="15"/>
  <c r="J56" i="15"/>
  <c r="I56" i="15"/>
  <c r="F56" i="15"/>
  <c r="D56" i="15"/>
  <c r="C56" i="15"/>
  <c r="B56" i="15"/>
  <c r="Y55" i="15"/>
  <c r="X55" i="15"/>
  <c r="W55" i="15"/>
  <c r="V55" i="15"/>
  <c r="U55" i="15"/>
  <c r="T55" i="15"/>
  <c r="S55" i="15"/>
  <c r="R55" i="15"/>
  <c r="N55" i="15"/>
  <c r="M55" i="15"/>
  <c r="L55" i="15"/>
  <c r="K55" i="15"/>
  <c r="J55" i="15"/>
  <c r="I55" i="15"/>
  <c r="F55" i="15"/>
  <c r="D55" i="15"/>
  <c r="C55" i="15"/>
  <c r="B55" i="15"/>
  <c r="Y54" i="15"/>
  <c r="X54" i="15"/>
  <c r="W54" i="15"/>
  <c r="V54" i="15"/>
  <c r="U54" i="15"/>
  <c r="T54" i="15"/>
  <c r="S54" i="15"/>
  <c r="R54" i="15"/>
  <c r="N54" i="15"/>
  <c r="M54" i="15"/>
  <c r="L54" i="15"/>
  <c r="K54" i="15"/>
  <c r="J54" i="15"/>
  <c r="I54" i="15"/>
  <c r="F54" i="15"/>
  <c r="D54" i="15"/>
  <c r="C54" i="15"/>
  <c r="B54" i="15"/>
  <c r="Y53" i="15"/>
  <c r="X53" i="15"/>
  <c r="W53" i="15"/>
  <c r="V53" i="15"/>
  <c r="U53" i="15"/>
  <c r="T53" i="15"/>
  <c r="S53" i="15"/>
  <c r="R53" i="15"/>
  <c r="N53" i="15"/>
  <c r="M53" i="15"/>
  <c r="L53" i="15"/>
  <c r="K53" i="15"/>
  <c r="J53" i="15"/>
  <c r="I53" i="15"/>
  <c r="F53" i="15"/>
  <c r="D53" i="15"/>
  <c r="C53" i="15"/>
  <c r="B53" i="15"/>
  <c r="Y52" i="15"/>
  <c r="X52" i="15"/>
  <c r="W52" i="15"/>
  <c r="V52" i="15"/>
  <c r="U52" i="15"/>
  <c r="T52" i="15"/>
  <c r="S52" i="15"/>
  <c r="R52" i="15"/>
  <c r="N52" i="15"/>
  <c r="M52" i="15"/>
  <c r="L52" i="15"/>
  <c r="K52" i="15"/>
  <c r="J52" i="15"/>
  <c r="I52" i="15"/>
  <c r="F52" i="15"/>
  <c r="D52" i="15"/>
  <c r="C52" i="15"/>
  <c r="B52" i="15"/>
  <c r="Y51" i="15"/>
  <c r="X51" i="15"/>
  <c r="W51" i="15"/>
  <c r="V51" i="15"/>
  <c r="U51" i="15"/>
  <c r="T51" i="15"/>
  <c r="S51" i="15"/>
  <c r="R51" i="15"/>
  <c r="N51" i="15"/>
  <c r="M51" i="15"/>
  <c r="L51" i="15"/>
  <c r="K51" i="15"/>
  <c r="J51" i="15"/>
  <c r="I51" i="15"/>
  <c r="F51" i="15"/>
  <c r="D51" i="15"/>
  <c r="C51" i="15"/>
  <c r="B51" i="15"/>
  <c r="Y50" i="15"/>
  <c r="X50" i="15"/>
  <c r="W50" i="15"/>
  <c r="V50" i="15"/>
  <c r="U50" i="15"/>
  <c r="T50" i="15"/>
  <c r="S50" i="15"/>
  <c r="R50" i="15"/>
  <c r="N50" i="15"/>
  <c r="M50" i="15"/>
  <c r="L50" i="15"/>
  <c r="K50" i="15"/>
  <c r="J50" i="15"/>
  <c r="I50" i="15"/>
  <c r="F50" i="15"/>
  <c r="D50" i="15"/>
  <c r="C50" i="15"/>
  <c r="B50" i="15"/>
  <c r="Y49" i="15"/>
  <c r="X49" i="15"/>
  <c r="W49" i="15"/>
  <c r="V49" i="15"/>
  <c r="U49" i="15"/>
  <c r="T49" i="15"/>
  <c r="S49" i="15"/>
  <c r="R49" i="15"/>
  <c r="N49" i="15"/>
  <c r="M49" i="15"/>
  <c r="L49" i="15"/>
  <c r="K49" i="15"/>
  <c r="J49" i="15"/>
  <c r="I49" i="15"/>
  <c r="F49" i="15"/>
  <c r="D49" i="15"/>
  <c r="C49" i="15"/>
  <c r="B49" i="15"/>
  <c r="Y48" i="15"/>
  <c r="X48" i="15"/>
  <c r="W48" i="15"/>
  <c r="V48" i="15"/>
  <c r="U48" i="15"/>
  <c r="T48" i="15"/>
  <c r="S48" i="15"/>
  <c r="R48" i="15"/>
  <c r="N48" i="15"/>
  <c r="M48" i="15"/>
  <c r="L48" i="15"/>
  <c r="K48" i="15"/>
  <c r="J48" i="15"/>
  <c r="I48" i="15"/>
  <c r="F48" i="15"/>
  <c r="D48" i="15"/>
  <c r="C48" i="15"/>
  <c r="B48" i="15"/>
  <c r="Y47" i="15"/>
  <c r="X47" i="15"/>
  <c r="W47" i="15"/>
  <c r="V47" i="15"/>
  <c r="U47" i="15"/>
  <c r="T47" i="15"/>
  <c r="S47" i="15"/>
  <c r="R47" i="15"/>
  <c r="N47" i="15"/>
  <c r="M47" i="15"/>
  <c r="L47" i="15"/>
  <c r="K47" i="15"/>
  <c r="J47" i="15"/>
  <c r="I47" i="15"/>
  <c r="F47" i="15"/>
  <c r="D47" i="15"/>
  <c r="C47" i="15"/>
  <c r="B47" i="15"/>
  <c r="Y46" i="15"/>
  <c r="X46" i="15"/>
  <c r="W46" i="15"/>
  <c r="V46" i="15"/>
  <c r="U46" i="15"/>
  <c r="T46" i="15"/>
  <c r="S46" i="15"/>
  <c r="R46" i="15"/>
  <c r="N46" i="15"/>
  <c r="M46" i="15"/>
  <c r="L46" i="15"/>
  <c r="K46" i="15"/>
  <c r="J46" i="15"/>
  <c r="I46" i="15"/>
  <c r="F46" i="15"/>
  <c r="D46" i="15"/>
  <c r="C46" i="15"/>
  <c r="B46" i="15"/>
  <c r="Y45" i="15"/>
  <c r="X45" i="15"/>
  <c r="W45" i="15"/>
  <c r="V45" i="15"/>
  <c r="U45" i="15"/>
  <c r="T45" i="15"/>
  <c r="S45" i="15"/>
  <c r="R45" i="15"/>
  <c r="N45" i="15"/>
  <c r="M45" i="15"/>
  <c r="L45" i="15"/>
  <c r="K45" i="15"/>
  <c r="J45" i="15"/>
  <c r="I45" i="15"/>
  <c r="F45" i="15"/>
  <c r="D45" i="15"/>
  <c r="C45" i="15"/>
  <c r="B45" i="15"/>
  <c r="Y44" i="15"/>
  <c r="X44" i="15"/>
  <c r="W44" i="15"/>
  <c r="V44" i="15"/>
  <c r="U44" i="15"/>
  <c r="T44" i="15"/>
  <c r="S44" i="15"/>
  <c r="R44" i="15"/>
  <c r="N44" i="15"/>
  <c r="M44" i="15"/>
  <c r="L44" i="15"/>
  <c r="K44" i="15"/>
  <c r="J44" i="15"/>
  <c r="I44" i="15"/>
  <c r="F44" i="15"/>
  <c r="D44" i="15"/>
  <c r="C44" i="15"/>
  <c r="B44" i="15"/>
  <c r="Y43" i="15"/>
  <c r="X43" i="15"/>
  <c r="W43" i="15"/>
  <c r="V43" i="15"/>
  <c r="U43" i="15"/>
  <c r="T43" i="15"/>
  <c r="S43" i="15"/>
  <c r="R43" i="15"/>
  <c r="N43" i="15"/>
  <c r="M43" i="15"/>
  <c r="L43" i="15"/>
  <c r="K43" i="15"/>
  <c r="J43" i="15"/>
  <c r="I43" i="15"/>
  <c r="F43" i="15"/>
  <c r="D43" i="15"/>
  <c r="C43" i="15"/>
  <c r="B43" i="15"/>
  <c r="Y42" i="15"/>
  <c r="X42" i="15"/>
  <c r="W42" i="15"/>
  <c r="V42" i="15"/>
  <c r="U42" i="15"/>
  <c r="T42" i="15"/>
  <c r="S42" i="15"/>
  <c r="R42" i="15"/>
  <c r="N42" i="15"/>
  <c r="M42" i="15"/>
  <c r="L42" i="15"/>
  <c r="K42" i="15"/>
  <c r="J42" i="15"/>
  <c r="I42" i="15"/>
  <c r="F42" i="15"/>
  <c r="D42" i="15"/>
  <c r="C42" i="15"/>
  <c r="B42" i="15"/>
  <c r="Y41" i="15"/>
  <c r="X41" i="15"/>
  <c r="W41" i="15"/>
  <c r="V41" i="15"/>
  <c r="U41" i="15"/>
  <c r="T41" i="15"/>
  <c r="S41" i="15"/>
  <c r="R41" i="15"/>
  <c r="N41" i="15"/>
  <c r="M41" i="15"/>
  <c r="L41" i="15"/>
  <c r="K41" i="15"/>
  <c r="J41" i="15"/>
  <c r="I41" i="15"/>
  <c r="F41" i="15"/>
  <c r="D41" i="15"/>
  <c r="C41" i="15"/>
  <c r="B41" i="15"/>
  <c r="Y40" i="15"/>
  <c r="X40" i="15"/>
  <c r="W40" i="15"/>
  <c r="V40" i="15"/>
  <c r="U40" i="15"/>
  <c r="T40" i="15"/>
  <c r="S40" i="15"/>
  <c r="R40" i="15"/>
  <c r="N40" i="15"/>
  <c r="M40" i="15"/>
  <c r="L40" i="15"/>
  <c r="K40" i="15"/>
  <c r="J40" i="15"/>
  <c r="I40" i="15"/>
  <c r="F40" i="15"/>
  <c r="D40" i="15"/>
  <c r="C40" i="15"/>
  <c r="B40" i="15"/>
  <c r="Y39" i="15"/>
  <c r="X39" i="15"/>
  <c r="W39" i="15"/>
  <c r="V39" i="15"/>
  <c r="U39" i="15"/>
  <c r="T39" i="15"/>
  <c r="S39" i="15"/>
  <c r="R39" i="15"/>
  <c r="N39" i="15"/>
  <c r="M39" i="15"/>
  <c r="L39" i="15"/>
  <c r="K39" i="15"/>
  <c r="J39" i="15"/>
  <c r="I39" i="15"/>
  <c r="F39" i="15"/>
  <c r="D39" i="15"/>
  <c r="C39" i="15"/>
  <c r="B39" i="15"/>
  <c r="Y38" i="15"/>
  <c r="X38" i="15"/>
  <c r="W38" i="15"/>
  <c r="V38" i="15"/>
  <c r="U38" i="15"/>
  <c r="T38" i="15"/>
  <c r="S38" i="15"/>
  <c r="R38" i="15"/>
  <c r="N38" i="15"/>
  <c r="M38" i="15"/>
  <c r="L38" i="15"/>
  <c r="K38" i="15"/>
  <c r="J38" i="15"/>
  <c r="I38" i="15"/>
  <c r="F38" i="15"/>
  <c r="D38" i="15"/>
  <c r="C38" i="15"/>
  <c r="B38" i="15"/>
  <c r="Y37" i="15"/>
  <c r="X37" i="15"/>
  <c r="W37" i="15"/>
  <c r="V37" i="15"/>
  <c r="U37" i="15"/>
  <c r="T37" i="15"/>
  <c r="S37" i="15"/>
  <c r="R37" i="15"/>
  <c r="N37" i="15"/>
  <c r="M37" i="15"/>
  <c r="L37" i="15"/>
  <c r="K37" i="15"/>
  <c r="J37" i="15"/>
  <c r="I37" i="15"/>
  <c r="F37" i="15"/>
  <c r="D37" i="15"/>
  <c r="C37" i="15"/>
  <c r="B37" i="15"/>
  <c r="Y36" i="15"/>
  <c r="X36" i="15"/>
  <c r="W36" i="15"/>
  <c r="V36" i="15"/>
  <c r="U36" i="15"/>
  <c r="T36" i="15"/>
  <c r="S36" i="15"/>
  <c r="R36" i="15"/>
  <c r="N36" i="15"/>
  <c r="M36" i="15"/>
  <c r="L36" i="15"/>
  <c r="K36" i="15"/>
  <c r="J36" i="15"/>
  <c r="I36" i="15"/>
  <c r="F36" i="15"/>
  <c r="D36" i="15"/>
  <c r="C36" i="15"/>
  <c r="B36" i="15"/>
  <c r="Y35" i="15"/>
  <c r="X35" i="15"/>
  <c r="W35" i="15"/>
  <c r="V35" i="15"/>
  <c r="U35" i="15"/>
  <c r="T35" i="15"/>
  <c r="S35" i="15"/>
  <c r="R35" i="15"/>
  <c r="N35" i="15"/>
  <c r="M35" i="15"/>
  <c r="L35" i="15"/>
  <c r="K35" i="15"/>
  <c r="J35" i="15"/>
  <c r="I35" i="15"/>
  <c r="F35" i="15"/>
  <c r="D35" i="15"/>
  <c r="C35" i="15"/>
  <c r="B35" i="15"/>
  <c r="Y34" i="15"/>
  <c r="X34" i="15"/>
  <c r="W34" i="15"/>
  <c r="V34" i="15"/>
  <c r="U34" i="15"/>
  <c r="T34" i="15"/>
  <c r="S34" i="15"/>
  <c r="R34" i="15"/>
  <c r="N34" i="15"/>
  <c r="M34" i="15"/>
  <c r="L34" i="15"/>
  <c r="K34" i="15"/>
  <c r="J34" i="15"/>
  <c r="I34" i="15"/>
  <c r="F34" i="15"/>
  <c r="D34" i="15"/>
  <c r="C34" i="15"/>
  <c r="B34" i="15"/>
  <c r="Y33" i="15"/>
  <c r="X33" i="15"/>
  <c r="W33" i="15"/>
  <c r="V33" i="15"/>
  <c r="U33" i="15"/>
  <c r="T33" i="15"/>
  <c r="S33" i="15"/>
  <c r="R33" i="15"/>
  <c r="N33" i="15"/>
  <c r="M33" i="15"/>
  <c r="L33" i="15"/>
  <c r="K33" i="15"/>
  <c r="J33" i="15"/>
  <c r="I33" i="15"/>
  <c r="F33" i="15"/>
  <c r="D33" i="15"/>
  <c r="C33" i="15"/>
  <c r="B33" i="15"/>
  <c r="Y32" i="15"/>
  <c r="X32" i="15"/>
  <c r="W32" i="15"/>
  <c r="V32" i="15"/>
  <c r="U32" i="15"/>
  <c r="T32" i="15"/>
  <c r="S32" i="15"/>
  <c r="R32" i="15"/>
  <c r="N32" i="15"/>
  <c r="M32" i="15"/>
  <c r="L32" i="15"/>
  <c r="K32" i="15"/>
  <c r="J32" i="15"/>
  <c r="I32" i="15"/>
  <c r="F32" i="15"/>
  <c r="D32" i="15"/>
  <c r="C32" i="15"/>
  <c r="B32" i="15"/>
  <c r="Y31" i="15"/>
  <c r="X31" i="15"/>
  <c r="W31" i="15"/>
  <c r="V31" i="15"/>
  <c r="U31" i="15"/>
  <c r="T31" i="15"/>
  <c r="S31" i="15"/>
  <c r="R31" i="15"/>
  <c r="N31" i="15"/>
  <c r="M31" i="15"/>
  <c r="L31" i="15"/>
  <c r="K31" i="15"/>
  <c r="J31" i="15"/>
  <c r="I31" i="15"/>
  <c r="F31" i="15"/>
  <c r="D31" i="15"/>
  <c r="C31" i="15"/>
  <c r="B31" i="15"/>
  <c r="Y30" i="15"/>
  <c r="X30" i="15"/>
  <c r="W30" i="15"/>
  <c r="V30" i="15"/>
  <c r="U30" i="15"/>
  <c r="T30" i="15"/>
  <c r="S30" i="15"/>
  <c r="R30" i="15"/>
  <c r="N30" i="15"/>
  <c r="M30" i="15"/>
  <c r="L30" i="15"/>
  <c r="K30" i="15"/>
  <c r="J30" i="15"/>
  <c r="I30" i="15"/>
  <c r="F30" i="15"/>
  <c r="D30" i="15"/>
  <c r="C30" i="15"/>
  <c r="B30" i="15"/>
  <c r="Y29" i="15"/>
  <c r="X29" i="15"/>
  <c r="W29" i="15"/>
  <c r="V29" i="15"/>
  <c r="U29" i="15"/>
  <c r="T29" i="15"/>
  <c r="S29" i="15"/>
  <c r="R29" i="15"/>
  <c r="N29" i="15"/>
  <c r="M29" i="15"/>
  <c r="L29" i="15"/>
  <c r="K29" i="15"/>
  <c r="J29" i="15"/>
  <c r="I29" i="15"/>
  <c r="F29" i="15"/>
  <c r="D29" i="15"/>
  <c r="C29" i="15"/>
  <c r="B29" i="15"/>
  <c r="Y28" i="15"/>
  <c r="X28" i="15"/>
  <c r="W28" i="15"/>
  <c r="V28" i="15"/>
  <c r="U28" i="15"/>
  <c r="T28" i="15"/>
  <c r="S28" i="15"/>
  <c r="R28" i="15"/>
  <c r="N28" i="15"/>
  <c r="M28" i="15"/>
  <c r="L28" i="15"/>
  <c r="K28" i="15"/>
  <c r="J28" i="15"/>
  <c r="I28" i="15"/>
  <c r="F28" i="15"/>
  <c r="D28" i="15"/>
  <c r="C28" i="15"/>
  <c r="B28" i="15"/>
  <c r="Y27" i="15"/>
  <c r="X27" i="15"/>
  <c r="W27" i="15"/>
  <c r="V27" i="15"/>
  <c r="U27" i="15"/>
  <c r="T27" i="15"/>
  <c r="S27" i="15"/>
  <c r="R27" i="15"/>
  <c r="N27" i="15"/>
  <c r="M27" i="15"/>
  <c r="L27" i="15"/>
  <c r="K27" i="15"/>
  <c r="J27" i="15"/>
  <c r="I27" i="15"/>
  <c r="F27" i="15"/>
  <c r="D27" i="15"/>
  <c r="C27" i="15"/>
  <c r="B27" i="15"/>
  <c r="Y26" i="15"/>
  <c r="X26" i="15"/>
  <c r="W26" i="15"/>
  <c r="V26" i="15"/>
  <c r="U26" i="15"/>
  <c r="T26" i="15"/>
  <c r="S26" i="15"/>
  <c r="R26" i="15"/>
  <c r="N26" i="15"/>
  <c r="M26" i="15"/>
  <c r="L26" i="15"/>
  <c r="K26" i="15"/>
  <c r="J26" i="15"/>
  <c r="I26" i="15"/>
  <c r="F26" i="15"/>
  <c r="D26" i="15"/>
  <c r="C26" i="15"/>
  <c r="B26" i="15"/>
  <c r="Y25" i="15"/>
  <c r="X25" i="15"/>
  <c r="W25" i="15"/>
  <c r="V25" i="15"/>
  <c r="U25" i="15"/>
  <c r="T25" i="15"/>
  <c r="S25" i="15"/>
  <c r="R25" i="15"/>
  <c r="N25" i="15"/>
  <c r="M25" i="15"/>
  <c r="L25" i="15"/>
  <c r="K25" i="15"/>
  <c r="J25" i="15"/>
  <c r="I25" i="15"/>
  <c r="F25" i="15"/>
  <c r="D25" i="15"/>
  <c r="C25" i="15"/>
  <c r="B25" i="15"/>
  <c r="Y24" i="15"/>
  <c r="X24" i="15"/>
  <c r="W24" i="15"/>
  <c r="V24" i="15"/>
  <c r="U24" i="15"/>
  <c r="T24" i="15"/>
  <c r="S24" i="15"/>
  <c r="R24" i="15"/>
  <c r="N24" i="15"/>
  <c r="M24" i="15"/>
  <c r="L24" i="15"/>
  <c r="K24" i="15"/>
  <c r="J24" i="15"/>
  <c r="I24" i="15"/>
  <c r="F24" i="15"/>
  <c r="D24" i="15"/>
  <c r="C24" i="15"/>
  <c r="B24" i="15"/>
  <c r="Y23" i="15"/>
  <c r="X23" i="15"/>
  <c r="W23" i="15"/>
  <c r="V23" i="15"/>
  <c r="U23" i="15"/>
  <c r="T23" i="15"/>
  <c r="S23" i="15"/>
  <c r="R23" i="15"/>
  <c r="N23" i="15"/>
  <c r="M23" i="15"/>
  <c r="L23" i="15"/>
  <c r="K23" i="15"/>
  <c r="J23" i="15"/>
  <c r="I23" i="15"/>
  <c r="F23" i="15"/>
  <c r="D23" i="15"/>
  <c r="C23" i="15"/>
  <c r="B23" i="15"/>
  <c r="Y22" i="15"/>
  <c r="X22" i="15"/>
  <c r="W22" i="15"/>
  <c r="V22" i="15"/>
  <c r="U22" i="15"/>
  <c r="T22" i="15"/>
  <c r="S22" i="15"/>
  <c r="R22" i="15"/>
  <c r="N22" i="15"/>
  <c r="M22" i="15"/>
  <c r="L22" i="15"/>
  <c r="K22" i="15"/>
  <c r="J22" i="15"/>
  <c r="I22" i="15"/>
  <c r="F22" i="15"/>
  <c r="D22" i="15"/>
  <c r="C22" i="15"/>
  <c r="B22" i="15"/>
  <c r="Y21" i="15"/>
  <c r="X21" i="15"/>
  <c r="W21" i="15"/>
  <c r="V21" i="15"/>
  <c r="U21" i="15"/>
  <c r="T21" i="15"/>
  <c r="S21" i="15"/>
  <c r="R21" i="15"/>
  <c r="N21" i="15"/>
  <c r="M21" i="15"/>
  <c r="L21" i="15"/>
  <c r="K21" i="15"/>
  <c r="J21" i="15"/>
  <c r="I21" i="15"/>
  <c r="F21" i="15"/>
  <c r="D21" i="15"/>
  <c r="C21" i="15"/>
  <c r="B21" i="15"/>
  <c r="Y20" i="15"/>
  <c r="X20" i="15"/>
  <c r="W20" i="15"/>
  <c r="V20" i="15"/>
  <c r="U20" i="15"/>
  <c r="T20" i="15"/>
  <c r="S20" i="15"/>
  <c r="R20" i="15"/>
  <c r="N20" i="15"/>
  <c r="M20" i="15"/>
  <c r="L20" i="15"/>
  <c r="K20" i="15"/>
  <c r="J20" i="15"/>
  <c r="I20" i="15"/>
  <c r="F20" i="15"/>
  <c r="D20" i="15"/>
  <c r="C20" i="15"/>
  <c r="B20" i="15"/>
  <c r="Y19" i="15"/>
  <c r="X19" i="15"/>
  <c r="W19" i="15"/>
  <c r="V19" i="15"/>
  <c r="U19" i="15"/>
  <c r="T19" i="15"/>
  <c r="S19" i="15"/>
  <c r="R19" i="15"/>
  <c r="N19" i="15"/>
  <c r="M19" i="15"/>
  <c r="L19" i="15"/>
  <c r="K19" i="15"/>
  <c r="J19" i="15"/>
  <c r="I19" i="15"/>
  <c r="F19" i="15"/>
  <c r="D19" i="15"/>
  <c r="C19" i="15"/>
  <c r="B19" i="15"/>
  <c r="Y18" i="15"/>
  <c r="X18" i="15"/>
  <c r="W18" i="15"/>
  <c r="V18" i="15"/>
  <c r="U18" i="15"/>
  <c r="T18" i="15"/>
  <c r="S18" i="15"/>
  <c r="R18" i="15"/>
  <c r="N18" i="15"/>
  <c r="M18" i="15"/>
  <c r="L18" i="15"/>
  <c r="K18" i="15"/>
  <c r="J18" i="15"/>
  <c r="I18" i="15"/>
  <c r="F18" i="15"/>
  <c r="D18" i="15"/>
  <c r="C18" i="15"/>
  <c r="B18" i="15"/>
  <c r="Y17" i="15"/>
  <c r="X17" i="15"/>
  <c r="W17" i="15"/>
  <c r="V17" i="15"/>
  <c r="U17" i="15"/>
  <c r="T17" i="15"/>
  <c r="S17" i="15"/>
  <c r="R17" i="15"/>
  <c r="N17" i="15"/>
  <c r="M17" i="15"/>
  <c r="L17" i="15"/>
  <c r="K17" i="15"/>
  <c r="J17" i="15"/>
  <c r="I17" i="15"/>
  <c r="F17" i="15"/>
  <c r="D17" i="15"/>
  <c r="C17" i="15"/>
  <c r="B17" i="15"/>
  <c r="Y16" i="15"/>
  <c r="X16" i="15"/>
  <c r="W16" i="15"/>
  <c r="V16" i="15"/>
  <c r="U16" i="15"/>
  <c r="T16" i="15"/>
  <c r="S16" i="15"/>
  <c r="R16" i="15"/>
  <c r="N16" i="15"/>
  <c r="M16" i="15"/>
  <c r="L16" i="15"/>
  <c r="K16" i="15"/>
  <c r="J16" i="15"/>
  <c r="I16" i="15"/>
  <c r="F16" i="15"/>
  <c r="D16" i="15"/>
  <c r="C16" i="15"/>
  <c r="B16" i="15"/>
  <c r="Y15" i="15"/>
  <c r="X15" i="15"/>
  <c r="W15" i="15"/>
  <c r="V15" i="15"/>
  <c r="U15" i="15"/>
  <c r="T15" i="15"/>
  <c r="S15" i="15"/>
  <c r="R15" i="15"/>
  <c r="N15" i="15"/>
  <c r="M15" i="15"/>
  <c r="L15" i="15"/>
  <c r="K15" i="15"/>
  <c r="J15" i="15"/>
  <c r="I15" i="15"/>
  <c r="F15" i="15"/>
  <c r="D15" i="15"/>
  <c r="C15" i="15"/>
  <c r="B15" i="15"/>
  <c r="Y14" i="15"/>
  <c r="X14" i="15"/>
  <c r="W14" i="15"/>
  <c r="V14" i="15"/>
  <c r="U14" i="15"/>
  <c r="T14" i="15"/>
  <c r="S14" i="15"/>
  <c r="R14" i="15"/>
  <c r="N14" i="15"/>
  <c r="M14" i="15"/>
  <c r="L14" i="15"/>
  <c r="K14" i="15"/>
  <c r="J14" i="15"/>
  <c r="I14" i="15"/>
  <c r="F14" i="15"/>
  <c r="D14" i="15"/>
  <c r="C14" i="15"/>
  <c r="B14" i="15"/>
  <c r="Y13" i="15"/>
  <c r="X13" i="15"/>
  <c r="W13" i="15"/>
  <c r="V13" i="15"/>
  <c r="U13" i="15"/>
  <c r="T13" i="15"/>
  <c r="S13" i="15"/>
  <c r="R13" i="15"/>
  <c r="N13" i="15"/>
  <c r="M13" i="15"/>
  <c r="L13" i="15"/>
  <c r="K13" i="15"/>
  <c r="J13" i="15"/>
  <c r="I13" i="15"/>
  <c r="F13" i="15"/>
  <c r="D13" i="15"/>
  <c r="C13" i="15"/>
  <c r="B13" i="15"/>
  <c r="Y12" i="15"/>
  <c r="X12" i="15"/>
  <c r="W12" i="15"/>
  <c r="V12" i="15"/>
  <c r="U12" i="15"/>
  <c r="T12" i="15"/>
  <c r="S12" i="15"/>
  <c r="R12" i="15"/>
  <c r="N12" i="15"/>
  <c r="M12" i="15"/>
  <c r="L12" i="15"/>
  <c r="K12" i="15"/>
  <c r="J12" i="15"/>
  <c r="I12" i="15"/>
  <c r="F12" i="15"/>
  <c r="D12" i="15"/>
  <c r="C12" i="15"/>
  <c r="B12" i="15"/>
  <c r="Y11" i="15"/>
  <c r="X11" i="15"/>
  <c r="W11" i="15"/>
  <c r="V11" i="15"/>
  <c r="U11" i="15"/>
  <c r="T11" i="15"/>
  <c r="S11" i="15"/>
  <c r="R11" i="15"/>
  <c r="N11" i="15"/>
  <c r="M11" i="15"/>
  <c r="L11" i="15"/>
  <c r="K11" i="15"/>
  <c r="J11" i="15"/>
  <c r="I11" i="15"/>
  <c r="F11" i="15"/>
  <c r="D11" i="15"/>
  <c r="C11" i="15"/>
  <c r="B11" i="15"/>
  <c r="AC164" i="22"/>
  <c r="AB164" i="22"/>
  <c r="AA164" i="22"/>
  <c r="Z164" i="22"/>
  <c r="Y164" i="22"/>
  <c r="X164" i="22"/>
  <c r="W164" i="22"/>
  <c r="V164" i="22"/>
  <c r="U164" i="22"/>
  <c r="T164" i="22"/>
  <c r="S164" i="22"/>
  <c r="R164" i="22"/>
  <c r="Q164" i="22"/>
  <c r="P164" i="22"/>
  <c r="O164" i="22"/>
  <c r="N164" i="22"/>
  <c r="M164" i="22"/>
  <c r="L164" i="22"/>
  <c r="K164" i="22"/>
  <c r="J164" i="22"/>
  <c r="I164" i="22"/>
  <c r="H164" i="22"/>
  <c r="D164" i="22"/>
  <c r="C164" i="22"/>
  <c r="B164" i="22"/>
  <c r="AC163" i="22"/>
  <c r="AB163" i="22"/>
  <c r="AA163" i="22"/>
  <c r="Z163" i="22"/>
  <c r="Y163" i="22"/>
  <c r="X163" i="22"/>
  <c r="W163" i="22"/>
  <c r="V163" i="22"/>
  <c r="U163" i="22"/>
  <c r="T163" i="22"/>
  <c r="S163" i="22"/>
  <c r="R163" i="22"/>
  <c r="Q163" i="22"/>
  <c r="P163" i="22"/>
  <c r="O163" i="22"/>
  <c r="N163" i="22"/>
  <c r="M163" i="22"/>
  <c r="L163" i="22"/>
  <c r="K163" i="22"/>
  <c r="J163" i="22"/>
  <c r="I163" i="22"/>
  <c r="H163" i="22"/>
  <c r="D163" i="22"/>
  <c r="C163" i="22"/>
  <c r="B163" i="22"/>
  <c r="AC162" i="22"/>
  <c r="AB162" i="22"/>
  <c r="AA162" i="22"/>
  <c r="Z162" i="22"/>
  <c r="Y162" i="22"/>
  <c r="X162" i="22"/>
  <c r="W162" i="22"/>
  <c r="V162" i="22"/>
  <c r="U162" i="22"/>
  <c r="T162" i="22"/>
  <c r="S162" i="22"/>
  <c r="R162" i="22"/>
  <c r="Q162" i="22"/>
  <c r="P162" i="22"/>
  <c r="O162" i="22"/>
  <c r="N162" i="22"/>
  <c r="M162" i="22"/>
  <c r="L162" i="22"/>
  <c r="K162" i="22"/>
  <c r="J162" i="22"/>
  <c r="I162" i="22"/>
  <c r="H162" i="22"/>
  <c r="D162" i="22"/>
  <c r="C162" i="22"/>
  <c r="B162" i="22"/>
  <c r="AC161" i="22"/>
  <c r="AB161" i="22"/>
  <c r="AA161" i="22"/>
  <c r="Z161" i="22"/>
  <c r="Y161" i="22"/>
  <c r="X161" i="22"/>
  <c r="W161" i="22"/>
  <c r="V161" i="22"/>
  <c r="U161" i="22"/>
  <c r="T161" i="22"/>
  <c r="S161" i="22"/>
  <c r="R161" i="22"/>
  <c r="Q161" i="22"/>
  <c r="P161" i="22"/>
  <c r="O161" i="22"/>
  <c r="N161" i="22"/>
  <c r="M161" i="22"/>
  <c r="L161" i="22"/>
  <c r="K161" i="22"/>
  <c r="J161" i="22"/>
  <c r="I161" i="22"/>
  <c r="H161" i="22"/>
  <c r="D161" i="22"/>
  <c r="C161" i="22"/>
  <c r="B161" i="22"/>
  <c r="AC160" i="22"/>
  <c r="AB160" i="22"/>
  <c r="AA160" i="22"/>
  <c r="Z160" i="22"/>
  <c r="Y160" i="22"/>
  <c r="X160" i="22"/>
  <c r="W160" i="22"/>
  <c r="V160" i="22"/>
  <c r="U160" i="22"/>
  <c r="T160" i="22"/>
  <c r="S160" i="22"/>
  <c r="R160" i="22"/>
  <c r="Q160" i="22"/>
  <c r="P160" i="22"/>
  <c r="O160" i="22"/>
  <c r="N160" i="22"/>
  <c r="M160" i="22"/>
  <c r="L160" i="22"/>
  <c r="K160" i="22"/>
  <c r="J160" i="22"/>
  <c r="I160" i="22"/>
  <c r="H160" i="22"/>
  <c r="D160" i="22"/>
  <c r="C160" i="22"/>
  <c r="B160" i="22"/>
  <c r="AC159" i="22"/>
  <c r="AB159" i="22"/>
  <c r="AA159" i="22"/>
  <c r="Z159" i="22"/>
  <c r="Y159" i="22"/>
  <c r="X159" i="22"/>
  <c r="W159" i="22"/>
  <c r="V159" i="22"/>
  <c r="U159" i="22"/>
  <c r="T159" i="22"/>
  <c r="S159" i="22"/>
  <c r="R159" i="22"/>
  <c r="Q159" i="22"/>
  <c r="P159" i="22"/>
  <c r="O159" i="22"/>
  <c r="N159" i="22"/>
  <c r="M159" i="22"/>
  <c r="L159" i="22"/>
  <c r="K159" i="22"/>
  <c r="J159" i="22"/>
  <c r="I159" i="22"/>
  <c r="H159" i="22"/>
  <c r="D159" i="22"/>
  <c r="C159" i="22"/>
  <c r="B159" i="22"/>
  <c r="AC158" i="22"/>
  <c r="AB158" i="22"/>
  <c r="AA158" i="22"/>
  <c r="Z158" i="22"/>
  <c r="Y158" i="22"/>
  <c r="X158" i="22"/>
  <c r="W158" i="22"/>
  <c r="V158" i="22"/>
  <c r="U158" i="22"/>
  <c r="T158" i="22"/>
  <c r="S158" i="22"/>
  <c r="R158" i="22"/>
  <c r="Q158" i="22"/>
  <c r="P158" i="22"/>
  <c r="O158" i="22"/>
  <c r="N158" i="22"/>
  <c r="M158" i="22"/>
  <c r="L158" i="22"/>
  <c r="K158" i="22"/>
  <c r="J158" i="22"/>
  <c r="I158" i="22"/>
  <c r="H158" i="22"/>
  <c r="D158" i="22"/>
  <c r="C158" i="22"/>
  <c r="B158" i="22"/>
  <c r="AC157" i="22"/>
  <c r="AB157" i="22"/>
  <c r="AA157" i="22"/>
  <c r="Z157" i="22"/>
  <c r="Y157" i="22"/>
  <c r="X157" i="22"/>
  <c r="W157" i="22"/>
  <c r="V157" i="22"/>
  <c r="U157" i="22"/>
  <c r="T157" i="22"/>
  <c r="S157" i="22"/>
  <c r="R157" i="22"/>
  <c r="Q157" i="22"/>
  <c r="P157" i="22"/>
  <c r="O157" i="22"/>
  <c r="N157" i="22"/>
  <c r="M157" i="22"/>
  <c r="L157" i="22"/>
  <c r="K157" i="22"/>
  <c r="J157" i="22"/>
  <c r="I157" i="22"/>
  <c r="H157" i="22"/>
  <c r="D157" i="22"/>
  <c r="C157" i="22"/>
  <c r="B157" i="22"/>
  <c r="AC156" i="22"/>
  <c r="AB156" i="22"/>
  <c r="AA156" i="22"/>
  <c r="Z156" i="22"/>
  <c r="Y156" i="22"/>
  <c r="X156" i="22"/>
  <c r="W156" i="22"/>
  <c r="V156" i="22"/>
  <c r="U156" i="22"/>
  <c r="T156" i="22"/>
  <c r="S156" i="22"/>
  <c r="R156" i="22"/>
  <c r="Q156" i="22"/>
  <c r="P156" i="22"/>
  <c r="O156" i="22"/>
  <c r="N156" i="22"/>
  <c r="M156" i="22"/>
  <c r="L156" i="22"/>
  <c r="K156" i="22"/>
  <c r="J156" i="22"/>
  <c r="I156" i="22"/>
  <c r="H156" i="22"/>
  <c r="D156" i="22"/>
  <c r="C156" i="22"/>
  <c r="B156" i="22"/>
  <c r="AC155" i="22"/>
  <c r="AB155" i="22"/>
  <c r="AA155" i="22"/>
  <c r="Z155" i="22"/>
  <c r="Y155" i="22"/>
  <c r="X155" i="22"/>
  <c r="W155" i="22"/>
  <c r="V155" i="22"/>
  <c r="U155" i="22"/>
  <c r="T155" i="22"/>
  <c r="S155" i="22"/>
  <c r="R155" i="22"/>
  <c r="Q155" i="22"/>
  <c r="P155" i="22"/>
  <c r="O155" i="22"/>
  <c r="N155" i="22"/>
  <c r="M155" i="22"/>
  <c r="L155" i="22"/>
  <c r="K155" i="22"/>
  <c r="J155" i="22"/>
  <c r="I155" i="22"/>
  <c r="H155" i="22"/>
  <c r="D155" i="22"/>
  <c r="C155" i="22"/>
  <c r="B155" i="22"/>
  <c r="AC154" i="22"/>
  <c r="AB154" i="22"/>
  <c r="AA154" i="22"/>
  <c r="Z154" i="22"/>
  <c r="Y154" i="22"/>
  <c r="X154" i="22"/>
  <c r="W154" i="22"/>
  <c r="V154" i="22"/>
  <c r="U154" i="22"/>
  <c r="T154" i="22"/>
  <c r="S154" i="22"/>
  <c r="R154" i="22"/>
  <c r="Q154" i="22"/>
  <c r="P154" i="22"/>
  <c r="O154" i="22"/>
  <c r="N154" i="22"/>
  <c r="M154" i="22"/>
  <c r="L154" i="22"/>
  <c r="K154" i="22"/>
  <c r="J154" i="22"/>
  <c r="I154" i="22"/>
  <c r="H154" i="22"/>
  <c r="D154" i="22"/>
  <c r="C154" i="22"/>
  <c r="B154" i="22"/>
  <c r="AC153" i="22"/>
  <c r="AB153" i="22"/>
  <c r="AA153" i="22"/>
  <c r="Z153" i="22"/>
  <c r="Y153" i="22"/>
  <c r="X153" i="22"/>
  <c r="W153" i="22"/>
  <c r="V153" i="22"/>
  <c r="U153" i="22"/>
  <c r="T153" i="22"/>
  <c r="S153" i="22"/>
  <c r="R153" i="22"/>
  <c r="Q153" i="22"/>
  <c r="P153" i="22"/>
  <c r="O153" i="22"/>
  <c r="N153" i="22"/>
  <c r="M153" i="22"/>
  <c r="L153" i="22"/>
  <c r="K153" i="22"/>
  <c r="J153" i="22"/>
  <c r="I153" i="22"/>
  <c r="H153" i="22"/>
  <c r="D153" i="22"/>
  <c r="C153" i="22"/>
  <c r="B153" i="22"/>
  <c r="AC152" i="22"/>
  <c r="AB152" i="22"/>
  <c r="AA152" i="22"/>
  <c r="Z152" i="22"/>
  <c r="Y152" i="22"/>
  <c r="X152" i="22"/>
  <c r="W152" i="22"/>
  <c r="V152" i="22"/>
  <c r="U152" i="22"/>
  <c r="T152" i="22"/>
  <c r="S152" i="22"/>
  <c r="R152" i="22"/>
  <c r="Q152" i="22"/>
  <c r="P152" i="22"/>
  <c r="O152" i="22"/>
  <c r="N152" i="22"/>
  <c r="M152" i="22"/>
  <c r="L152" i="22"/>
  <c r="K152" i="22"/>
  <c r="J152" i="22"/>
  <c r="I152" i="22"/>
  <c r="H152" i="22"/>
  <c r="D152" i="22"/>
  <c r="C152" i="22"/>
  <c r="B152" i="22"/>
  <c r="AC151" i="22"/>
  <c r="AB151" i="22"/>
  <c r="AA151" i="22"/>
  <c r="Z151" i="22"/>
  <c r="Y151" i="22"/>
  <c r="X151" i="22"/>
  <c r="W151" i="22"/>
  <c r="V151" i="22"/>
  <c r="U151" i="22"/>
  <c r="T151" i="22"/>
  <c r="S151" i="22"/>
  <c r="R151" i="22"/>
  <c r="Q151" i="22"/>
  <c r="P151" i="22"/>
  <c r="O151" i="22"/>
  <c r="N151" i="22"/>
  <c r="M151" i="22"/>
  <c r="L151" i="22"/>
  <c r="K151" i="22"/>
  <c r="J151" i="22"/>
  <c r="I151" i="22"/>
  <c r="H151" i="22"/>
  <c r="D151" i="22"/>
  <c r="C151" i="22"/>
  <c r="B151" i="22"/>
  <c r="AC150" i="22"/>
  <c r="AB150" i="22"/>
  <c r="AA150" i="22"/>
  <c r="Z150" i="22"/>
  <c r="Y150" i="22"/>
  <c r="X150" i="22"/>
  <c r="W150" i="22"/>
  <c r="V150" i="22"/>
  <c r="U150" i="22"/>
  <c r="T150" i="22"/>
  <c r="S150" i="22"/>
  <c r="R150" i="22"/>
  <c r="Q150" i="22"/>
  <c r="P150" i="22"/>
  <c r="O150" i="22"/>
  <c r="N150" i="22"/>
  <c r="M150" i="22"/>
  <c r="L150" i="22"/>
  <c r="K150" i="22"/>
  <c r="J150" i="22"/>
  <c r="I150" i="22"/>
  <c r="H150" i="22"/>
  <c r="D150" i="22"/>
  <c r="C150" i="22"/>
  <c r="B150" i="22"/>
  <c r="AC149" i="22"/>
  <c r="AB149" i="22"/>
  <c r="AA149" i="22"/>
  <c r="Z149" i="22"/>
  <c r="Y149" i="22"/>
  <c r="X149" i="22"/>
  <c r="W149" i="22"/>
  <c r="V149" i="22"/>
  <c r="U149" i="22"/>
  <c r="T149" i="22"/>
  <c r="S149" i="22"/>
  <c r="R149" i="22"/>
  <c r="Q149" i="22"/>
  <c r="P149" i="22"/>
  <c r="O149" i="22"/>
  <c r="N149" i="22"/>
  <c r="M149" i="22"/>
  <c r="L149" i="22"/>
  <c r="K149" i="22"/>
  <c r="J149" i="22"/>
  <c r="I149" i="22"/>
  <c r="H149" i="22"/>
  <c r="D149" i="22"/>
  <c r="C149" i="22"/>
  <c r="B149" i="22"/>
  <c r="AC148" i="22"/>
  <c r="AB148" i="22"/>
  <c r="AA148" i="22"/>
  <c r="Z148" i="22"/>
  <c r="Y148" i="22"/>
  <c r="X148" i="22"/>
  <c r="W148" i="22"/>
  <c r="V148" i="22"/>
  <c r="U148" i="22"/>
  <c r="T148" i="22"/>
  <c r="S148" i="22"/>
  <c r="R148" i="22"/>
  <c r="Q148" i="22"/>
  <c r="P148" i="22"/>
  <c r="O148" i="22"/>
  <c r="N148" i="22"/>
  <c r="M148" i="22"/>
  <c r="L148" i="22"/>
  <c r="K148" i="22"/>
  <c r="J148" i="22"/>
  <c r="I148" i="22"/>
  <c r="H148" i="22"/>
  <c r="D148" i="22"/>
  <c r="C148" i="22"/>
  <c r="B148" i="22"/>
  <c r="AC147" i="22"/>
  <c r="AB147" i="22"/>
  <c r="AA147" i="22"/>
  <c r="Z147" i="22"/>
  <c r="Y147" i="22"/>
  <c r="X147" i="22"/>
  <c r="W147" i="22"/>
  <c r="V147" i="22"/>
  <c r="U147" i="22"/>
  <c r="T147" i="22"/>
  <c r="S147" i="22"/>
  <c r="R147" i="22"/>
  <c r="Q147" i="22"/>
  <c r="P147" i="22"/>
  <c r="O147" i="22"/>
  <c r="N147" i="22"/>
  <c r="M147" i="22"/>
  <c r="L147" i="22"/>
  <c r="K147" i="22"/>
  <c r="J147" i="22"/>
  <c r="I147" i="22"/>
  <c r="H147" i="22"/>
  <c r="D147" i="22"/>
  <c r="C147" i="22"/>
  <c r="B147" i="22"/>
  <c r="AC146" i="22"/>
  <c r="AB146" i="22"/>
  <c r="AA146" i="22"/>
  <c r="Z146" i="22"/>
  <c r="Y146" i="22"/>
  <c r="X146" i="22"/>
  <c r="W146" i="22"/>
  <c r="V146" i="22"/>
  <c r="U146" i="22"/>
  <c r="T146" i="22"/>
  <c r="S146" i="22"/>
  <c r="R146" i="22"/>
  <c r="Q146" i="22"/>
  <c r="P146" i="22"/>
  <c r="O146" i="22"/>
  <c r="N146" i="22"/>
  <c r="M146" i="22"/>
  <c r="L146" i="22"/>
  <c r="K146" i="22"/>
  <c r="J146" i="22"/>
  <c r="I146" i="22"/>
  <c r="H146" i="22"/>
  <c r="D146" i="22"/>
  <c r="C146" i="22"/>
  <c r="B146" i="22"/>
  <c r="AC145" i="22"/>
  <c r="AB145" i="22"/>
  <c r="AA145" i="22"/>
  <c r="Z145" i="22"/>
  <c r="Y145" i="22"/>
  <c r="X145" i="22"/>
  <c r="W145" i="22"/>
  <c r="V145" i="22"/>
  <c r="U145" i="22"/>
  <c r="T145" i="22"/>
  <c r="S145" i="22"/>
  <c r="R145" i="22"/>
  <c r="Q145" i="22"/>
  <c r="P145" i="22"/>
  <c r="O145" i="22"/>
  <c r="N145" i="22"/>
  <c r="M145" i="22"/>
  <c r="L145" i="22"/>
  <c r="K145" i="22"/>
  <c r="J145" i="22"/>
  <c r="I145" i="22"/>
  <c r="H145" i="22"/>
  <c r="D145" i="22"/>
  <c r="C145" i="22"/>
  <c r="B145" i="22"/>
  <c r="AC144" i="22"/>
  <c r="AB144" i="22"/>
  <c r="AA144" i="22"/>
  <c r="Z144" i="22"/>
  <c r="Y144" i="22"/>
  <c r="X144" i="22"/>
  <c r="W144" i="22"/>
  <c r="V144" i="22"/>
  <c r="U144" i="22"/>
  <c r="T144" i="22"/>
  <c r="S144" i="22"/>
  <c r="R144" i="22"/>
  <c r="Q144" i="22"/>
  <c r="P144" i="22"/>
  <c r="O144" i="22"/>
  <c r="N144" i="22"/>
  <c r="M144" i="22"/>
  <c r="L144" i="22"/>
  <c r="K144" i="22"/>
  <c r="J144" i="22"/>
  <c r="I144" i="22"/>
  <c r="H144" i="22"/>
  <c r="D144" i="22"/>
  <c r="C144" i="22"/>
  <c r="B144" i="22"/>
  <c r="AC143" i="22"/>
  <c r="AB143" i="22"/>
  <c r="AA143" i="22"/>
  <c r="Z143" i="22"/>
  <c r="Y143" i="22"/>
  <c r="X143" i="22"/>
  <c r="W143" i="22"/>
  <c r="V143" i="22"/>
  <c r="U143" i="22"/>
  <c r="T143" i="22"/>
  <c r="S143" i="22"/>
  <c r="R143" i="22"/>
  <c r="Q143" i="22"/>
  <c r="P143" i="22"/>
  <c r="O143" i="22"/>
  <c r="N143" i="22"/>
  <c r="M143" i="22"/>
  <c r="L143" i="22"/>
  <c r="K143" i="22"/>
  <c r="J143" i="22"/>
  <c r="I143" i="22"/>
  <c r="H143" i="22"/>
  <c r="D143" i="22"/>
  <c r="C143" i="22"/>
  <c r="B143" i="22"/>
  <c r="AC142" i="22"/>
  <c r="AB142" i="22"/>
  <c r="AA142" i="22"/>
  <c r="Z142" i="22"/>
  <c r="Y142" i="22"/>
  <c r="X142" i="22"/>
  <c r="W142" i="22"/>
  <c r="V142" i="22"/>
  <c r="U142" i="22"/>
  <c r="T142" i="22"/>
  <c r="S142" i="22"/>
  <c r="R142" i="22"/>
  <c r="Q142" i="22"/>
  <c r="P142" i="22"/>
  <c r="O142" i="22"/>
  <c r="N142" i="22"/>
  <c r="M142" i="22"/>
  <c r="L142" i="22"/>
  <c r="K142" i="22"/>
  <c r="J142" i="22"/>
  <c r="I142" i="22"/>
  <c r="H142" i="22"/>
  <c r="D142" i="22"/>
  <c r="C142" i="22"/>
  <c r="B142" i="22"/>
  <c r="AC141" i="22"/>
  <c r="AB141" i="22"/>
  <c r="AA141" i="22"/>
  <c r="Z141" i="22"/>
  <c r="Y141" i="22"/>
  <c r="X141" i="22"/>
  <c r="W141" i="22"/>
  <c r="V141" i="22"/>
  <c r="U141" i="22"/>
  <c r="T141" i="22"/>
  <c r="S141" i="22"/>
  <c r="R141" i="22"/>
  <c r="Q141" i="22"/>
  <c r="P141" i="22"/>
  <c r="O141" i="22"/>
  <c r="N141" i="22"/>
  <c r="M141" i="22"/>
  <c r="L141" i="22"/>
  <c r="K141" i="22"/>
  <c r="J141" i="22"/>
  <c r="I141" i="22"/>
  <c r="H141" i="22"/>
  <c r="D141" i="22"/>
  <c r="C141" i="22"/>
  <c r="B141" i="22"/>
  <c r="AC140" i="22"/>
  <c r="AB140" i="22"/>
  <c r="AA140" i="22"/>
  <c r="Z140" i="22"/>
  <c r="Y140" i="22"/>
  <c r="X140" i="22"/>
  <c r="W140" i="22"/>
  <c r="V140" i="22"/>
  <c r="U140" i="22"/>
  <c r="T140" i="22"/>
  <c r="S140" i="22"/>
  <c r="R140" i="22"/>
  <c r="Q140" i="22"/>
  <c r="P140" i="22"/>
  <c r="O140" i="22"/>
  <c r="N140" i="22"/>
  <c r="M140" i="22"/>
  <c r="L140" i="22"/>
  <c r="K140" i="22"/>
  <c r="J140" i="22"/>
  <c r="I140" i="22"/>
  <c r="H140" i="22"/>
  <c r="D140" i="22"/>
  <c r="C140" i="22"/>
  <c r="B140" i="22"/>
  <c r="AC139" i="22"/>
  <c r="AB139" i="22"/>
  <c r="AA139" i="22"/>
  <c r="Z139" i="22"/>
  <c r="Y139" i="22"/>
  <c r="X139" i="22"/>
  <c r="W139" i="22"/>
  <c r="V139" i="22"/>
  <c r="U139" i="22"/>
  <c r="T139" i="22"/>
  <c r="S139" i="22"/>
  <c r="R139" i="22"/>
  <c r="Q139" i="22"/>
  <c r="P139" i="22"/>
  <c r="O139" i="22"/>
  <c r="N139" i="22"/>
  <c r="M139" i="22"/>
  <c r="L139" i="22"/>
  <c r="K139" i="22"/>
  <c r="J139" i="22"/>
  <c r="I139" i="22"/>
  <c r="H139" i="22"/>
  <c r="D139" i="22"/>
  <c r="C139" i="22"/>
  <c r="B139" i="22"/>
  <c r="AC138" i="22"/>
  <c r="AB138" i="22"/>
  <c r="AA138" i="22"/>
  <c r="Z138" i="22"/>
  <c r="Y138" i="22"/>
  <c r="X138" i="22"/>
  <c r="W138" i="22"/>
  <c r="V138" i="22"/>
  <c r="U138" i="22"/>
  <c r="T138" i="22"/>
  <c r="S138" i="22"/>
  <c r="R138" i="22"/>
  <c r="Q138" i="22"/>
  <c r="P138" i="22"/>
  <c r="O138" i="22"/>
  <c r="N138" i="22"/>
  <c r="M138" i="22"/>
  <c r="L138" i="22"/>
  <c r="K138" i="22"/>
  <c r="J138" i="22"/>
  <c r="I138" i="22"/>
  <c r="H138" i="22"/>
  <c r="D138" i="22"/>
  <c r="C138" i="22"/>
  <c r="B138" i="22"/>
  <c r="AC137" i="22"/>
  <c r="AB137" i="22"/>
  <c r="AA137" i="22"/>
  <c r="Z137" i="22"/>
  <c r="Y137" i="22"/>
  <c r="X137" i="22"/>
  <c r="W137" i="22"/>
  <c r="V137" i="22"/>
  <c r="U137" i="22"/>
  <c r="T137" i="22"/>
  <c r="S137" i="22"/>
  <c r="R137" i="22"/>
  <c r="Q137" i="22"/>
  <c r="P137" i="22"/>
  <c r="O137" i="22"/>
  <c r="N137" i="22"/>
  <c r="M137" i="22"/>
  <c r="L137" i="22"/>
  <c r="K137" i="22"/>
  <c r="J137" i="22"/>
  <c r="I137" i="22"/>
  <c r="H137" i="22"/>
  <c r="D137" i="22"/>
  <c r="C137" i="22"/>
  <c r="B137" i="22"/>
  <c r="AC136" i="22"/>
  <c r="AB136" i="22"/>
  <c r="AA136" i="22"/>
  <c r="Z136" i="22"/>
  <c r="Y136" i="22"/>
  <c r="X136" i="22"/>
  <c r="W136" i="22"/>
  <c r="V136" i="22"/>
  <c r="U136" i="22"/>
  <c r="T136" i="22"/>
  <c r="S136" i="22"/>
  <c r="R136" i="22"/>
  <c r="Q136" i="22"/>
  <c r="P136" i="22"/>
  <c r="O136" i="22"/>
  <c r="N136" i="22"/>
  <c r="M136" i="22"/>
  <c r="L136" i="22"/>
  <c r="K136" i="22"/>
  <c r="J136" i="22"/>
  <c r="I136" i="22"/>
  <c r="H136" i="22"/>
  <c r="D136" i="22"/>
  <c r="C136" i="22"/>
  <c r="B136" i="22"/>
  <c r="AC135" i="22"/>
  <c r="AB135" i="22"/>
  <c r="AA135" i="22"/>
  <c r="Z135" i="22"/>
  <c r="Y135" i="22"/>
  <c r="X135" i="22"/>
  <c r="W135" i="22"/>
  <c r="V135" i="22"/>
  <c r="U135" i="22"/>
  <c r="T135" i="22"/>
  <c r="S135" i="22"/>
  <c r="R135" i="22"/>
  <c r="Q135" i="22"/>
  <c r="P135" i="22"/>
  <c r="O135" i="22"/>
  <c r="N135" i="22"/>
  <c r="M135" i="22"/>
  <c r="L135" i="22"/>
  <c r="K135" i="22"/>
  <c r="J135" i="22"/>
  <c r="I135" i="22"/>
  <c r="H135" i="22"/>
  <c r="D135" i="22"/>
  <c r="C135" i="22"/>
  <c r="B135" i="22"/>
  <c r="AC134" i="22"/>
  <c r="AB134" i="22"/>
  <c r="AA134" i="22"/>
  <c r="Z134" i="22"/>
  <c r="Y134" i="22"/>
  <c r="X134" i="22"/>
  <c r="W134" i="22"/>
  <c r="V134" i="22"/>
  <c r="U134" i="22"/>
  <c r="T134" i="22"/>
  <c r="S134" i="22"/>
  <c r="R134" i="22"/>
  <c r="Q134" i="22"/>
  <c r="P134" i="22"/>
  <c r="O134" i="22"/>
  <c r="N134" i="22"/>
  <c r="M134" i="22"/>
  <c r="L134" i="22"/>
  <c r="K134" i="22"/>
  <c r="J134" i="22"/>
  <c r="I134" i="22"/>
  <c r="H134" i="22"/>
  <c r="D134" i="22"/>
  <c r="C134" i="22"/>
  <c r="B134" i="22"/>
  <c r="AC133" i="22"/>
  <c r="AB133" i="22"/>
  <c r="AA133" i="22"/>
  <c r="Z133" i="22"/>
  <c r="Y133" i="22"/>
  <c r="X133" i="22"/>
  <c r="W133" i="22"/>
  <c r="V133" i="22"/>
  <c r="U133" i="22"/>
  <c r="T133" i="22"/>
  <c r="S133" i="22"/>
  <c r="R133" i="22"/>
  <c r="Q133" i="22"/>
  <c r="P133" i="22"/>
  <c r="O133" i="22"/>
  <c r="N133" i="22"/>
  <c r="M133" i="22"/>
  <c r="L133" i="22"/>
  <c r="K133" i="22"/>
  <c r="J133" i="22"/>
  <c r="I133" i="22"/>
  <c r="H133" i="22"/>
  <c r="D133" i="22"/>
  <c r="C133" i="22"/>
  <c r="B133" i="22"/>
  <c r="AC132" i="22"/>
  <c r="AB132" i="22"/>
  <c r="AA132" i="22"/>
  <c r="Z132" i="22"/>
  <c r="Y132" i="22"/>
  <c r="X132" i="22"/>
  <c r="W132" i="22"/>
  <c r="V132" i="22"/>
  <c r="U132" i="22"/>
  <c r="T132" i="22"/>
  <c r="S132" i="22"/>
  <c r="R132" i="22"/>
  <c r="Q132" i="22"/>
  <c r="P132" i="22"/>
  <c r="O132" i="22"/>
  <c r="N132" i="22"/>
  <c r="M132" i="22"/>
  <c r="L132" i="22"/>
  <c r="K132" i="22"/>
  <c r="J132" i="22"/>
  <c r="I132" i="22"/>
  <c r="H132" i="22"/>
  <c r="D132" i="22"/>
  <c r="C132" i="22"/>
  <c r="B132" i="22"/>
  <c r="AC131" i="22"/>
  <c r="AB131" i="22"/>
  <c r="AA131" i="22"/>
  <c r="Z131" i="22"/>
  <c r="Y131" i="22"/>
  <c r="X131" i="22"/>
  <c r="W131" i="22"/>
  <c r="V131" i="22"/>
  <c r="U131" i="22"/>
  <c r="T131" i="22"/>
  <c r="S131" i="22"/>
  <c r="R131" i="22"/>
  <c r="Q131" i="22"/>
  <c r="P131" i="22"/>
  <c r="O131" i="22"/>
  <c r="N131" i="22"/>
  <c r="M131" i="22"/>
  <c r="L131" i="22"/>
  <c r="K131" i="22"/>
  <c r="J131" i="22"/>
  <c r="I131" i="22"/>
  <c r="H131" i="22"/>
  <c r="D131" i="22"/>
  <c r="C131" i="22"/>
  <c r="B131" i="22"/>
  <c r="AC130" i="22"/>
  <c r="AB130" i="22"/>
  <c r="AA130" i="22"/>
  <c r="Z130" i="22"/>
  <c r="Y130" i="22"/>
  <c r="X130" i="22"/>
  <c r="W130" i="22"/>
  <c r="V130" i="22"/>
  <c r="U130" i="22"/>
  <c r="T130" i="22"/>
  <c r="S130" i="22"/>
  <c r="R130" i="22"/>
  <c r="Q130" i="22"/>
  <c r="P130" i="22"/>
  <c r="O130" i="22"/>
  <c r="N130" i="22"/>
  <c r="M130" i="22"/>
  <c r="L130" i="22"/>
  <c r="K130" i="22"/>
  <c r="J130" i="22"/>
  <c r="I130" i="22"/>
  <c r="H130" i="22"/>
  <c r="D130" i="22"/>
  <c r="C130" i="22"/>
  <c r="B130" i="22"/>
  <c r="AC129" i="22"/>
  <c r="AB129" i="22"/>
  <c r="AA129" i="22"/>
  <c r="Z129" i="22"/>
  <c r="Y129" i="22"/>
  <c r="X129" i="22"/>
  <c r="W129" i="22"/>
  <c r="V129" i="22"/>
  <c r="U129" i="22"/>
  <c r="T129" i="22"/>
  <c r="S129" i="22"/>
  <c r="R129" i="22"/>
  <c r="Q129" i="22"/>
  <c r="P129" i="22"/>
  <c r="O129" i="22"/>
  <c r="N129" i="22"/>
  <c r="M129" i="22"/>
  <c r="L129" i="22"/>
  <c r="K129" i="22"/>
  <c r="J129" i="22"/>
  <c r="I129" i="22"/>
  <c r="H129" i="22"/>
  <c r="D129" i="22"/>
  <c r="C129" i="22"/>
  <c r="B129" i="22"/>
  <c r="AC128" i="22"/>
  <c r="AB128" i="22"/>
  <c r="AA128" i="22"/>
  <c r="Z128" i="22"/>
  <c r="Y128" i="22"/>
  <c r="X128" i="22"/>
  <c r="W128" i="22"/>
  <c r="V128" i="22"/>
  <c r="U128" i="22"/>
  <c r="T128" i="22"/>
  <c r="S128" i="22"/>
  <c r="R128" i="22"/>
  <c r="Q128" i="22"/>
  <c r="P128" i="22"/>
  <c r="O128" i="22"/>
  <c r="N128" i="22"/>
  <c r="M128" i="22"/>
  <c r="L128" i="22"/>
  <c r="K128" i="22"/>
  <c r="J128" i="22"/>
  <c r="I128" i="22"/>
  <c r="H128" i="22"/>
  <c r="D128" i="22"/>
  <c r="C128" i="22"/>
  <c r="B128" i="22"/>
  <c r="AC127" i="22"/>
  <c r="AB127" i="22"/>
  <c r="AA127" i="22"/>
  <c r="Z127" i="22"/>
  <c r="Y127" i="22"/>
  <c r="X127" i="22"/>
  <c r="W127" i="22"/>
  <c r="V127" i="22"/>
  <c r="U127" i="22"/>
  <c r="T127" i="22"/>
  <c r="S127" i="22"/>
  <c r="R127" i="22"/>
  <c r="Q127" i="22"/>
  <c r="P127" i="22"/>
  <c r="O127" i="22"/>
  <c r="N127" i="22"/>
  <c r="M127" i="22"/>
  <c r="L127" i="22"/>
  <c r="K127" i="22"/>
  <c r="J127" i="22"/>
  <c r="I127" i="22"/>
  <c r="H127" i="22"/>
  <c r="D127" i="22"/>
  <c r="C127" i="22"/>
  <c r="B127" i="22"/>
  <c r="AC126" i="22"/>
  <c r="AB126" i="22"/>
  <c r="AA126" i="22"/>
  <c r="Z126" i="22"/>
  <c r="Y126" i="22"/>
  <c r="X126" i="22"/>
  <c r="W126" i="22"/>
  <c r="V126" i="22"/>
  <c r="U126" i="22"/>
  <c r="T126" i="22"/>
  <c r="S126" i="22"/>
  <c r="R126" i="22"/>
  <c r="Q126" i="22"/>
  <c r="P126" i="22"/>
  <c r="O126" i="22"/>
  <c r="N126" i="22"/>
  <c r="M126" i="22"/>
  <c r="L126" i="22"/>
  <c r="K126" i="22"/>
  <c r="J126" i="22"/>
  <c r="I126" i="22"/>
  <c r="H126" i="22"/>
  <c r="D126" i="22"/>
  <c r="C126" i="22"/>
  <c r="B126" i="22"/>
  <c r="AC125" i="22"/>
  <c r="AB125" i="22"/>
  <c r="AA125" i="22"/>
  <c r="Z125" i="22"/>
  <c r="Y125" i="22"/>
  <c r="X125" i="22"/>
  <c r="W125" i="22"/>
  <c r="V125" i="22"/>
  <c r="U125" i="22"/>
  <c r="T125" i="22"/>
  <c r="S125" i="22"/>
  <c r="R125" i="22"/>
  <c r="Q125" i="22"/>
  <c r="P125" i="22"/>
  <c r="O125" i="22"/>
  <c r="N125" i="22"/>
  <c r="M125" i="22"/>
  <c r="L125" i="22"/>
  <c r="K125" i="22"/>
  <c r="J125" i="22"/>
  <c r="I125" i="22"/>
  <c r="H125" i="22"/>
  <c r="D125" i="22"/>
  <c r="C125" i="22"/>
  <c r="B125" i="22"/>
  <c r="AC124" i="22"/>
  <c r="AB124" i="22"/>
  <c r="AA124" i="22"/>
  <c r="Z124" i="22"/>
  <c r="Y124" i="22"/>
  <c r="X124" i="22"/>
  <c r="W124" i="22"/>
  <c r="V124" i="22"/>
  <c r="U124" i="22"/>
  <c r="T124" i="22"/>
  <c r="S124" i="22"/>
  <c r="R124" i="22"/>
  <c r="Q124" i="22"/>
  <c r="P124" i="22"/>
  <c r="O124" i="22"/>
  <c r="N124" i="22"/>
  <c r="M124" i="22"/>
  <c r="L124" i="22"/>
  <c r="K124" i="22"/>
  <c r="J124" i="22"/>
  <c r="I124" i="22"/>
  <c r="H124" i="22"/>
  <c r="D124" i="22"/>
  <c r="C124" i="22"/>
  <c r="B124" i="22"/>
  <c r="AC123" i="22"/>
  <c r="AB123" i="22"/>
  <c r="AA123" i="22"/>
  <c r="Z123" i="22"/>
  <c r="Y123" i="22"/>
  <c r="X123" i="22"/>
  <c r="W123" i="22"/>
  <c r="V123" i="22"/>
  <c r="U123" i="22"/>
  <c r="T123" i="22"/>
  <c r="S123" i="22"/>
  <c r="R123" i="22"/>
  <c r="Q123" i="22"/>
  <c r="P123" i="22"/>
  <c r="O123" i="22"/>
  <c r="N123" i="22"/>
  <c r="M123" i="22"/>
  <c r="L123" i="22"/>
  <c r="K123" i="22"/>
  <c r="J123" i="22"/>
  <c r="I123" i="22"/>
  <c r="H123" i="22"/>
  <c r="D123" i="22"/>
  <c r="C123" i="22"/>
  <c r="B123" i="22"/>
  <c r="AC122" i="22"/>
  <c r="AB122" i="22"/>
  <c r="AA122" i="22"/>
  <c r="Z122" i="22"/>
  <c r="Y122" i="22"/>
  <c r="X122" i="22"/>
  <c r="W122" i="22"/>
  <c r="V122" i="22"/>
  <c r="U122" i="22"/>
  <c r="T122" i="22"/>
  <c r="S122" i="22"/>
  <c r="R122" i="22"/>
  <c r="Q122" i="22"/>
  <c r="P122" i="22"/>
  <c r="O122" i="22"/>
  <c r="N122" i="22"/>
  <c r="M122" i="22"/>
  <c r="L122" i="22"/>
  <c r="K122" i="22"/>
  <c r="J122" i="22"/>
  <c r="I122" i="22"/>
  <c r="H122" i="22"/>
  <c r="D122" i="22"/>
  <c r="C122" i="22"/>
  <c r="B122" i="22"/>
  <c r="AC121" i="22"/>
  <c r="AB121" i="22"/>
  <c r="AA121" i="22"/>
  <c r="Z121" i="22"/>
  <c r="Y121" i="22"/>
  <c r="X121" i="22"/>
  <c r="W121" i="22"/>
  <c r="V121" i="22"/>
  <c r="U121" i="22"/>
  <c r="T121" i="22"/>
  <c r="S121" i="22"/>
  <c r="R121" i="22"/>
  <c r="Q121" i="22"/>
  <c r="P121" i="22"/>
  <c r="O121" i="22"/>
  <c r="N121" i="22"/>
  <c r="M121" i="22"/>
  <c r="L121" i="22"/>
  <c r="K121" i="22"/>
  <c r="J121" i="22"/>
  <c r="I121" i="22"/>
  <c r="H121" i="22"/>
  <c r="D121" i="22"/>
  <c r="C121" i="22"/>
  <c r="B121" i="22"/>
  <c r="AC120" i="22"/>
  <c r="AB120" i="22"/>
  <c r="AA120" i="22"/>
  <c r="Z120" i="22"/>
  <c r="Y120" i="22"/>
  <c r="X120" i="22"/>
  <c r="W120" i="22"/>
  <c r="V120" i="22"/>
  <c r="U120" i="22"/>
  <c r="T120" i="22"/>
  <c r="S120" i="22"/>
  <c r="R120" i="22"/>
  <c r="Q120" i="22"/>
  <c r="P120" i="22"/>
  <c r="O120" i="22"/>
  <c r="N120" i="22"/>
  <c r="M120" i="22"/>
  <c r="L120" i="22"/>
  <c r="K120" i="22"/>
  <c r="J120" i="22"/>
  <c r="I120" i="22"/>
  <c r="H120" i="22"/>
  <c r="D120" i="22"/>
  <c r="C120" i="22"/>
  <c r="B120" i="22"/>
  <c r="AC119" i="22"/>
  <c r="AB119" i="22"/>
  <c r="AA119" i="22"/>
  <c r="Z119" i="22"/>
  <c r="Y119" i="22"/>
  <c r="X119" i="22"/>
  <c r="W119" i="22"/>
  <c r="V119" i="22"/>
  <c r="U119" i="22"/>
  <c r="T119" i="22"/>
  <c r="S119" i="22"/>
  <c r="R119" i="22"/>
  <c r="Q119" i="22"/>
  <c r="P119" i="22"/>
  <c r="O119" i="22"/>
  <c r="N119" i="22"/>
  <c r="M119" i="22"/>
  <c r="L119" i="22"/>
  <c r="K119" i="22"/>
  <c r="J119" i="22"/>
  <c r="I119" i="22"/>
  <c r="H119" i="22"/>
  <c r="D119" i="22"/>
  <c r="C119" i="22"/>
  <c r="B119" i="22"/>
  <c r="AC118" i="22"/>
  <c r="AB118" i="22"/>
  <c r="AA118" i="22"/>
  <c r="Z118" i="22"/>
  <c r="Y118" i="22"/>
  <c r="X118" i="22"/>
  <c r="W118" i="22"/>
  <c r="V118" i="22"/>
  <c r="U118" i="22"/>
  <c r="T118" i="22"/>
  <c r="S118" i="22"/>
  <c r="R118" i="22"/>
  <c r="Q118" i="22"/>
  <c r="P118" i="22"/>
  <c r="O118" i="22"/>
  <c r="N118" i="22"/>
  <c r="M118" i="22"/>
  <c r="L118" i="22"/>
  <c r="K118" i="22"/>
  <c r="J118" i="22"/>
  <c r="I118" i="22"/>
  <c r="H118" i="22"/>
  <c r="D118" i="22"/>
  <c r="C118" i="22"/>
  <c r="B118" i="22"/>
  <c r="AC117" i="22"/>
  <c r="AB117" i="22"/>
  <c r="AA117" i="22"/>
  <c r="Z117" i="22"/>
  <c r="Y117" i="22"/>
  <c r="X117" i="22"/>
  <c r="W117" i="22"/>
  <c r="V117" i="22"/>
  <c r="U117" i="22"/>
  <c r="T117" i="22"/>
  <c r="S117" i="22"/>
  <c r="R117" i="22"/>
  <c r="Q117" i="22"/>
  <c r="P117" i="22"/>
  <c r="O117" i="22"/>
  <c r="N117" i="22"/>
  <c r="M117" i="22"/>
  <c r="L117" i="22"/>
  <c r="K117" i="22"/>
  <c r="J117" i="22"/>
  <c r="I117" i="22"/>
  <c r="H117" i="22"/>
  <c r="D117" i="22"/>
  <c r="C117" i="22"/>
  <c r="B117" i="22"/>
  <c r="AC116" i="22"/>
  <c r="AB116" i="22"/>
  <c r="AA116" i="22"/>
  <c r="Z116" i="22"/>
  <c r="Y116" i="22"/>
  <c r="X116" i="22"/>
  <c r="W116" i="22"/>
  <c r="V116" i="22"/>
  <c r="U116" i="22"/>
  <c r="T116" i="22"/>
  <c r="S116" i="22"/>
  <c r="R116" i="22"/>
  <c r="Q116" i="22"/>
  <c r="P116" i="22"/>
  <c r="O116" i="22"/>
  <c r="N116" i="22"/>
  <c r="M116" i="22"/>
  <c r="L116" i="22"/>
  <c r="K116" i="22"/>
  <c r="J116" i="22"/>
  <c r="I116" i="22"/>
  <c r="H116" i="22"/>
  <c r="D116" i="22"/>
  <c r="C116" i="22"/>
  <c r="B116" i="22"/>
  <c r="AC115" i="22"/>
  <c r="AB115" i="22"/>
  <c r="AA115" i="22"/>
  <c r="Z115" i="22"/>
  <c r="Y115" i="22"/>
  <c r="X115" i="22"/>
  <c r="W115" i="22"/>
  <c r="V115" i="22"/>
  <c r="U115" i="22"/>
  <c r="T115" i="22"/>
  <c r="S115" i="22"/>
  <c r="R115" i="22"/>
  <c r="Q115" i="22"/>
  <c r="P115" i="22"/>
  <c r="O115" i="22"/>
  <c r="N115" i="22"/>
  <c r="M115" i="22"/>
  <c r="L115" i="22"/>
  <c r="K115" i="22"/>
  <c r="J115" i="22"/>
  <c r="I115" i="22"/>
  <c r="H115" i="22"/>
  <c r="D115" i="22"/>
  <c r="C115" i="22"/>
  <c r="B115" i="22"/>
  <c r="AC114" i="22"/>
  <c r="AB114" i="22"/>
  <c r="AA114" i="22"/>
  <c r="Z114" i="22"/>
  <c r="Y114" i="22"/>
  <c r="X114" i="22"/>
  <c r="W114" i="22"/>
  <c r="V114" i="22"/>
  <c r="U114" i="22"/>
  <c r="T114" i="22"/>
  <c r="S114" i="22"/>
  <c r="R114" i="22"/>
  <c r="Q114" i="22"/>
  <c r="P114" i="22"/>
  <c r="O114" i="22"/>
  <c r="N114" i="22"/>
  <c r="M114" i="22"/>
  <c r="L114" i="22"/>
  <c r="K114" i="22"/>
  <c r="J114" i="22"/>
  <c r="I114" i="22"/>
  <c r="H114" i="22"/>
  <c r="D114" i="22"/>
  <c r="C114" i="22"/>
  <c r="B114" i="22"/>
  <c r="AC113" i="22"/>
  <c r="AB113" i="22"/>
  <c r="AA113" i="22"/>
  <c r="Z113" i="22"/>
  <c r="Y113" i="22"/>
  <c r="X113" i="22"/>
  <c r="W113" i="22"/>
  <c r="V113" i="22"/>
  <c r="U113" i="22"/>
  <c r="T113" i="22"/>
  <c r="S113" i="22"/>
  <c r="R113" i="22"/>
  <c r="Q113" i="22"/>
  <c r="P113" i="22"/>
  <c r="O113" i="22"/>
  <c r="N113" i="22"/>
  <c r="M113" i="22"/>
  <c r="L113" i="22"/>
  <c r="K113" i="22"/>
  <c r="J113" i="22"/>
  <c r="I113" i="22"/>
  <c r="H113" i="22"/>
  <c r="D113" i="22"/>
  <c r="C113" i="22"/>
  <c r="B113" i="22"/>
  <c r="AC112" i="22"/>
  <c r="AB112" i="22"/>
  <c r="AA112" i="22"/>
  <c r="Z112" i="22"/>
  <c r="Y112" i="22"/>
  <c r="X112" i="22"/>
  <c r="W112" i="22"/>
  <c r="V112" i="22"/>
  <c r="U112" i="22"/>
  <c r="T112" i="22"/>
  <c r="S112" i="22"/>
  <c r="R112" i="22"/>
  <c r="Q112" i="22"/>
  <c r="P112" i="22"/>
  <c r="O112" i="22"/>
  <c r="N112" i="22"/>
  <c r="M112" i="22"/>
  <c r="L112" i="22"/>
  <c r="K112" i="22"/>
  <c r="J112" i="22"/>
  <c r="I112" i="22"/>
  <c r="H112" i="22"/>
  <c r="D112" i="22"/>
  <c r="C112" i="22"/>
  <c r="B112" i="22"/>
  <c r="AC111" i="22"/>
  <c r="AB111" i="22"/>
  <c r="AA111" i="22"/>
  <c r="Z111" i="22"/>
  <c r="Y111" i="22"/>
  <c r="X111" i="22"/>
  <c r="W111" i="22"/>
  <c r="V111" i="22"/>
  <c r="U111" i="22"/>
  <c r="T111" i="22"/>
  <c r="S111" i="22"/>
  <c r="R111" i="22"/>
  <c r="Q111" i="22"/>
  <c r="P111" i="22"/>
  <c r="O111" i="22"/>
  <c r="N111" i="22"/>
  <c r="M111" i="22"/>
  <c r="L111" i="22"/>
  <c r="K111" i="22"/>
  <c r="J111" i="22"/>
  <c r="I111" i="22"/>
  <c r="H111" i="22"/>
  <c r="D111" i="22"/>
  <c r="C111" i="22"/>
  <c r="B111" i="22"/>
  <c r="AC110" i="22"/>
  <c r="AB110" i="22"/>
  <c r="AA110" i="22"/>
  <c r="Z110" i="22"/>
  <c r="Y110" i="22"/>
  <c r="X110" i="22"/>
  <c r="W110" i="22"/>
  <c r="V110" i="22"/>
  <c r="U110" i="22"/>
  <c r="T110" i="22"/>
  <c r="S110" i="22"/>
  <c r="R110" i="22"/>
  <c r="Q110" i="22"/>
  <c r="P110" i="22"/>
  <c r="O110" i="22"/>
  <c r="N110" i="22"/>
  <c r="M110" i="22"/>
  <c r="L110" i="22"/>
  <c r="K110" i="22"/>
  <c r="J110" i="22"/>
  <c r="I110" i="22"/>
  <c r="H110" i="22"/>
  <c r="D110" i="22"/>
  <c r="C110" i="22"/>
  <c r="B110" i="22"/>
  <c r="AC109" i="22"/>
  <c r="AB109" i="22"/>
  <c r="AA109" i="22"/>
  <c r="Z109" i="22"/>
  <c r="Y109" i="22"/>
  <c r="X109" i="22"/>
  <c r="W109" i="22"/>
  <c r="V109" i="22"/>
  <c r="U109" i="22"/>
  <c r="T109" i="22"/>
  <c r="S109" i="22"/>
  <c r="R109" i="22"/>
  <c r="Q109" i="22"/>
  <c r="P109" i="22"/>
  <c r="O109" i="22"/>
  <c r="N109" i="22"/>
  <c r="M109" i="22"/>
  <c r="L109" i="22"/>
  <c r="K109" i="22"/>
  <c r="J109" i="22"/>
  <c r="I109" i="22"/>
  <c r="H109" i="22"/>
  <c r="D109" i="22"/>
  <c r="C109" i="22"/>
  <c r="B109" i="22"/>
  <c r="AC108" i="22"/>
  <c r="AB108" i="22"/>
  <c r="AA108" i="22"/>
  <c r="Z108" i="22"/>
  <c r="Y108" i="22"/>
  <c r="X108" i="22"/>
  <c r="W108" i="22"/>
  <c r="V108" i="22"/>
  <c r="U108" i="22"/>
  <c r="T108" i="22"/>
  <c r="S108" i="22"/>
  <c r="R108" i="22"/>
  <c r="Q108" i="22"/>
  <c r="P108" i="22"/>
  <c r="O108" i="22"/>
  <c r="N108" i="22"/>
  <c r="M108" i="22"/>
  <c r="L108" i="22"/>
  <c r="K108" i="22"/>
  <c r="J108" i="22"/>
  <c r="I108" i="22"/>
  <c r="H108" i="22"/>
  <c r="D108" i="22"/>
  <c r="C108" i="22"/>
  <c r="B108" i="22"/>
  <c r="AC107" i="22"/>
  <c r="AB107" i="22"/>
  <c r="AA107" i="22"/>
  <c r="Z107" i="22"/>
  <c r="Y107" i="22"/>
  <c r="X107" i="22"/>
  <c r="W107" i="22"/>
  <c r="V107" i="22"/>
  <c r="U107" i="22"/>
  <c r="T107" i="22"/>
  <c r="S107" i="22"/>
  <c r="R107" i="22"/>
  <c r="Q107" i="22"/>
  <c r="P107" i="22"/>
  <c r="O107" i="22"/>
  <c r="N107" i="22"/>
  <c r="M107" i="22"/>
  <c r="L107" i="22"/>
  <c r="K107" i="22"/>
  <c r="J107" i="22"/>
  <c r="I107" i="22"/>
  <c r="H107" i="22"/>
  <c r="D107" i="22"/>
  <c r="C107" i="22"/>
  <c r="B107" i="22"/>
  <c r="AC106" i="22"/>
  <c r="AB106" i="22"/>
  <c r="AA106" i="22"/>
  <c r="Z106" i="22"/>
  <c r="Y106" i="22"/>
  <c r="X106" i="22"/>
  <c r="W106" i="22"/>
  <c r="V106" i="22"/>
  <c r="U106" i="22"/>
  <c r="T106" i="22"/>
  <c r="S106" i="22"/>
  <c r="R106" i="22"/>
  <c r="Q106" i="22"/>
  <c r="P106" i="22"/>
  <c r="O106" i="22"/>
  <c r="N106" i="22"/>
  <c r="M106" i="22"/>
  <c r="L106" i="22"/>
  <c r="K106" i="22"/>
  <c r="J106" i="22"/>
  <c r="I106" i="22"/>
  <c r="H106" i="22"/>
  <c r="D106" i="22"/>
  <c r="C106" i="22"/>
  <c r="B106" i="22"/>
  <c r="AC105" i="22"/>
  <c r="AB105" i="22"/>
  <c r="AA105" i="22"/>
  <c r="Z105" i="22"/>
  <c r="Y105" i="22"/>
  <c r="X105" i="22"/>
  <c r="W105" i="22"/>
  <c r="V105" i="22"/>
  <c r="U105" i="22"/>
  <c r="T105" i="22"/>
  <c r="S105" i="22"/>
  <c r="R105" i="22"/>
  <c r="Q105" i="22"/>
  <c r="P105" i="22"/>
  <c r="O105" i="22"/>
  <c r="N105" i="22"/>
  <c r="M105" i="22"/>
  <c r="L105" i="22"/>
  <c r="K105" i="22"/>
  <c r="J105" i="22"/>
  <c r="I105" i="22"/>
  <c r="H105" i="22"/>
  <c r="D105" i="22"/>
  <c r="C105" i="22"/>
  <c r="B105" i="22"/>
  <c r="AC104" i="22"/>
  <c r="AB104" i="22"/>
  <c r="AA104" i="22"/>
  <c r="Z104" i="22"/>
  <c r="Y104" i="22"/>
  <c r="X104" i="22"/>
  <c r="W104" i="22"/>
  <c r="V104" i="22"/>
  <c r="U104" i="22"/>
  <c r="T104" i="22"/>
  <c r="S104" i="22"/>
  <c r="R104" i="22"/>
  <c r="Q104" i="22"/>
  <c r="P104" i="22"/>
  <c r="O104" i="22"/>
  <c r="N104" i="22"/>
  <c r="M104" i="22"/>
  <c r="L104" i="22"/>
  <c r="K104" i="22"/>
  <c r="J104" i="22"/>
  <c r="I104" i="22"/>
  <c r="H104" i="22"/>
  <c r="D104" i="22"/>
  <c r="C104" i="22"/>
  <c r="B104" i="22"/>
  <c r="AC103" i="22"/>
  <c r="AB103" i="22"/>
  <c r="AA103" i="22"/>
  <c r="Z103" i="22"/>
  <c r="Y103" i="22"/>
  <c r="X103" i="22"/>
  <c r="W103" i="22"/>
  <c r="V103" i="22"/>
  <c r="U103" i="22"/>
  <c r="T103" i="22"/>
  <c r="S103" i="22"/>
  <c r="R103" i="22"/>
  <c r="Q103" i="22"/>
  <c r="P103" i="22"/>
  <c r="O103" i="22"/>
  <c r="N103" i="22"/>
  <c r="M103" i="22"/>
  <c r="L103" i="22"/>
  <c r="K103" i="22"/>
  <c r="J103" i="22"/>
  <c r="I103" i="22"/>
  <c r="H103" i="22"/>
  <c r="D103" i="22"/>
  <c r="C103" i="22"/>
  <c r="B103" i="22"/>
  <c r="AC102" i="22"/>
  <c r="AB102" i="22"/>
  <c r="AA102" i="22"/>
  <c r="Z102" i="22"/>
  <c r="Y102" i="22"/>
  <c r="X102" i="22"/>
  <c r="W102" i="22"/>
  <c r="V102" i="22"/>
  <c r="U102" i="22"/>
  <c r="T102" i="22"/>
  <c r="S102" i="22"/>
  <c r="R102" i="22"/>
  <c r="Q102" i="22"/>
  <c r="P102" i="22"/>
  <c r="O102" i="22"/>
  <c r="N102" i="22"/>
  <c r="M102" i="22"/>
  <c r="L102" i="22"/>
  <c r="K102" i="22"/>
  <c r="J102" i="22"/>
  <c r="I102" i="22"/>
  <c r="H102" i="22"/>
  <c r="D102" i="22"/>
  <c r="C102" i="22"/>
  <c r="B102" i="22"/>
  <c r="AC101" i="22"/>
  <c r="AB101" i="22"/>
  <c r="AA101" i="22"/>
  <c r="Z101" i="22"/>
  <c r="Y101" i="22"/>
  <c r="X101" i="22"/>
  <c r="W101" i="22"/>
  <c r="V101" i="22"/>
  <c r="U101" i="22"/>
  <c r="T101" i="22"/>
  <c r="S101" i="22"/>
  <c r="R101" i="22"/>
  <c r="Q101" i="22"/>
  <c r="P101" i="22"/>
  <c r="O101" i="22"/>
  <c r="N101" i="22"/>
  <c r="M101" i="22"/>
  <c r="L101" i="22"/>
  <c r="K101" i="22"/>
  <c r="J101" i="22"/>
  <c r="I101" i="22"/>
  <c r="H101" i="22"/>
  <c r="D101" i="22"/>
  <c r="C101" i="22"/>
  <c r="B101" i="22"/>
  <c r="AC100" i="22"/>
  <c r="AB100" i="22"/>
  <c r="AA100" i="22"/>
  <c r="Z100" i="22"/>
  <c r="Y100" i="22"/>
  <c r="X100" i="22"/>
  <c r="W100" i="22"/>
  <c r="V100" i="22"/>
  <c r="U100" i="22"/>
  <c r="T100" i="22"/>
  <c r="S100" i="22"/>
  <c r="R100" i="22"/>
  <c r="Q100" i="22"/>
  <c r="P100" i="22"/>
  <c r="O100" i="22"/>
  <c r="N100" i="22"/>
  <c r="M100" i="22"/>
  <c r="L100" i="22"/>
  <c r="K100" i="22"/>
  <c r="J100" i="22"/>
  <c r="I100" i="22"/>
  <c r="H100" i="22"/>
  <c r="D100" i="22"/>
  <c r="C100" i="22"/>
  <c r="B100" i="22"/>
  <c r="AC99" i="22"/>
  <c r="AB99" i="22"/>
  <c r="AA99" i="22"/>
  <c r="Z99" i="22"/>
  <c r="Y99" i="22"/>
  <c r="X99" i="22"/>
  <c r="W99" i="22"/>
  <c r="V99" i="22"/>
  <c r="U99" i="22"/>
  <c r="T99" i="22"/>
  <c r="S99" i="22"/>
  <c r="R99" i="22"/>
  <c r="Q99" i="22"/>
  <c r="P99" i="22"/>
  <c r="O99" i="22"/>
  <c r="N99" i="22"/>
  <c r="M99" i="22"/>
  <c r="L99" i="22"/>
  <c r="K99" i="22"/>
  <c r="J99" i="22"/>
  <c r="I99" i="22"/>
  <c r="H99" i="22"/>
  <c r="D99" i="22"/>
  <c r="C99" i="22"/>
  <c r="B99" i="22"/>
  <c r="AC98" i="22"/>
  <c r="AB98" i="22"/>
  <c r="AA98" i="22"/>
  <c r="Z98" i="22"/>
  <c r="Y98" i="22"/>
  <c r="X98" i="22"/>
  <c r="W98" i="22"/>
  <c r="V98" i="22"/>
  <c r="U98" i="22"/>
  <c r="T98" i="22"/>
  <c r="S98" i="22"/>
  <c r="R98" i="22"/>
  <c r="Q98" i="22"/>
  <c r="P98" i="22"/>
  <c r="O98" i="22"/>
  <c r="N98" i="22"/>
  <c r="M98" i="22"/>
  <c r="L98" i="22"/>
  <c r="K98" i="22"/>
  <c r="J98" i="22"/>
  <c r="I98" i="22"/>
  <c r="H98" i="22"/>
  <c r="D98" i="22"/>
  <c r="C98" i="22"/>
  <c r="B98" i="22"/>
  <c r="AC97" i="22"/>
  <c r="AB97" i="22"/>
  <c r="AA97" i="22"/>
  <c r="Z97" i="22"/>
  <c r="Y97" i="22"/>
  <c r="X97" i="22"/>
  <c r="W97" i="22"/>
  <c r="V97" i="22"/>
  <c r="U97" i="22"/>
  <c r="T97" i="22"/>
  <c r="S97" i="22"/>
  <c r="R97" i="22"/>
  <c r="Q97" i="22"/>
  <c r="P97" i="22"/>
  <c r="O97" i="22"/>
  <c r="N97" i="22"/>
  <c r="M97" i="22"/>
  <c r="L97" i="22"/>
  <c r="K97" i="22"/>
  <c r="J97" i="22"/>
  <c r="I97" i="22"/>
  <c r="H97" i="22"/>
  <c r="D97" i="22"/>
  <c r="C97" i="22"/>
  <c r="B97" i="22"/>
  <c r="AC96" i="22"/>
  <c r="AB96" i="22"/>
  <c r="AA96" i="22"/>
  <c r="Z96" i="22"/>
  <c r="Y96" i="22"/>
  <c r="X96" i="22"/>
  <c r="W96" i="22"/>
  <c r="V96" i="22"/>
  <c r="U96" i="22"/>
  <c r="T96" i="22"/>
  <c r="S96" i="22"/>
  <c r="R96" i="22"/>
  <c r="Q96" i="22"/>
  <c r="P96" i="22"/>
  <c r="O96" i="22"/>
  <c r="N96" i="22"/>
  <c r="M96" i="22"/>
  <c r="L96" i="22"/>
  <c r="K96" i="22"/>
  <c r="J96" i="22"/>
  <c r="I96" i="22"/>
  <c r="H96" i="22"/>
  <c r="D96" i="22"/>
  <c r="C96" i="22"/>
  <c r="B96" i="22"/>
  <c r="AC95" i="22"/>
  <c r="AB95" i="22"/>
  <c r="AA95" i="22"/>
  <c r="Z95" i="22"/>
  <c r="Y95" i="22"/>
  <c r="X95" i="22"/>
  <c r="W95" i="22"/>
  <c r="V95" i="22"/>
  <c r="U95" i="22"/>
  <c r="T95" i="22"/>
  <c r="S95" i="22"/>
  <c r="R95" i="22"/>
  <c r="Q95" i="22"/>
  <c r="P95" i="22"/>
  <c r="O95" i="22"/>
  <c r="N95" i="22"/>
  <c r="M95" i="22"/>
  <c r="L95" i="22"/>
  <c r="K95" i="22"/>
  <c r="J95" i="22"/>
  <c r="I95" i="22"/>
  <c r="H95" i="22"/>
  <c r="D95" i="22"/>
  <c r="C95" i="22"/>
  <c r="B95" i="22"/>
  <c r="AC94" i="22"/>
  <c r="AB94" i="22"/>
  <c r="AA94" i="22"/>
  <c r="Z94" i="22"/>
  <c r="Y94" i="22"/>
  <c r="X94" i="22"/>
  <c r="W94" i="22"/>
  <c r="V94" i="22"/>
  <c r="U94" i="22"/>
  <c r="T94" i="22"/>
  <c r="S94" i="22"/>
  <c r="R94" i="22"/>
  <c r="Q94" i="22"/>
  <c r="P94" i="22"/>
  <c r="O94" i="22"/>
  <c r="N94" i="22"/>
  <c r="M94" i="22"/>
  <c r="L94" i="22"/>
  <c r="K94" i="22"/>
  <c r="J94" i="22"/>
  <c r="I94" i="22"/>
  <c r="H94" i="22"/>
  <c r="D94" i="22"/>
  <c r="C94" i="22"/>
  <c r="B94" i="22"/>
  <c r="AC93" i="22"/>
  <c r="AB93" i="22"/>
  <c r="AA93" i="22"/>
  <c r="Z93" i="22"/>
  <c r="Y93" i="22"/>
  <c r="X93" i="22"/>
  <c r="W93" i="22"/>
  <c r="V93" i="22"/>
  <c r="U93" i="22"/>
  <c r="T93" i="22"/>
  <c r="S93" i="22"/>
  <c r="R93" i="22"/>
  <c r="Q93" i="22"/>
  <c r="P93" i="22"/>
  <c r="O93" i="22"/>
  <c r="N93" i="22"/>
  <c r="M93" i="22"/>
  <c r="L93" i="22"/>
  <c r="K93" i="22"/>
  <c r="J93" i="22"/>
  <c r="I93" i="22"/>
  <c r="H93" i="22"/>
  <c r="D93" i="22"/>
  <c r="C93" i="22"/>
  <c r="B93" i="22"/>
  <c r="AC92" i="22"/>
  <c r="AB92" i="22"/>
  <c r="AA92" i="22"/>
  <c r="Z92" i="22"/>
  <c r="Y92" i="22"/>
  <c r="X92" i="22"/>
  <c r="W92" i="22"/>
  <c r="V92" i="22"/>
  <c r="U92" i="22"/>
  <c r="T92" i="22"/>
  <c r="S92" i="22"/>
  <c r="R92" i="22"/>
  <c r="Q92" i="22"/>
  <c r="P92" i="22"/>
  <c r="O92" i="22"/>
  <c r="N92" i="22"/>
  <c r="M92" i="22"/>
  <c r="L92" i="22"/>
  <c r="K92" i="22"/>
  <c r="J92" i="22"/>
  <c r="I92" i="22"/>
  <c r="H92" i="22"/>
  <c r="D92" i="22"/>
  <c r="C92" i="22"/>
  <c r="B92" i="22"/>
  <c r="AC91" i="22"/>
  <c r="AB91" i="22"/>
  <c r="AA91" i="22"/>
  <c r="Z91" i="22"/>
  <c r="Y91" i="22"/>
  <c r="X91" i="22"/>
  <c r="W91" i="22"/>
  <c r="V91" i="22"/>
  <c r="U91" i="22"/>
  <c r="T91" i="22"/>
  <c r="S91" i="22"/>
  <c r="R91" i="22"/>
  <c r="Q91" i="22"/>
  <c r="P91" i="22"/>
  <c r="O91" i="22"/>
  <c r="N91" i="22"/>
  <c r="M91" i="22"/>
  <c r="L91" i="22"/>
  <c r="K91" i="22"/>
  <c r="J91" i="22"/>
  <c r="I91" i="22"/>
  <c r="H91" i="22"/>
  <c r="D91" i="22"/>
  <c r="C91" i="22"/>
  <c r="B91" i="22"/>
  <c r="AC90" i="22"/>
  <c r="AB90" i="22"/>
  <c r="AA90" i="22"/>
  <c r="Z90" i="22"/>
  <c r="Y90" i="22"/>
  <c r="X90" i="22"/>
  <c r="W90" i="22"/>
  <c r="V90" i="22"/>
  <c r="U90" i="22"/>
  <c r="T90" i="22"/>
  <c r="S90" i="22"/>
  <c r="R90" i="22"/>
  <c r="Q90" i="22"/>
  <c r="P90" i="22"/>
  <c r="O90" i="22"/>
  <c r="N90" i="22"/>
  <c r="M90" i="22"/>
  <c r="L90" i="22"/>
  <c r="K90" i="22"/>
  <c r="J90" i="22"/>
  <c r="I90" i="22"/>
  <c r="H90" i="22"/>
  <c r="D90" i="22"/>
  <c r="C90" i="22"/>
  <c r="B90" i="22"/>
  <c r="AC89" i="22"/>
  <c r="AB89" i="22"/>
  <c r="AA89" i="22"/>
  <c r="Z89" i="22"/>
  <c r="Y89" i="22"/>
  <c r="X89" i="22"/>
  <c r="W89" i="22"/>
  <c r="V89" i="22"/>
  <c r="U89" i="22"/>
  <c r="T89" i="22"/>
  <c r="S89" i="22"/>
  <c r="R89" i="22"/>
  <c r="Q89" i="22"/>
  <c r="P89" i="22"/>
  <c r="O89" i="22"/>
  <c r="N89" i="22"/>
  <c r="M89" i="22"/>
  <c r="L89" i="22"/>
  <c r="K89" i="22"/>
  <c r="J89" i="22"/>
  <c r="I89" i="22"/>
  <c r="H89" i="22"/>
  <c r="D89" i="22"/>
  <c r="C89" i="22"/>
  <c r="B89" i="22"/>
  <c r="AC88" i="22"/>
  <c r="AB88" i="22"/>
  <c r="AA88" i="22"/>
  <c r="Z88" i="22"/>
  <c r="Y88" i="22"/>
  <c r="X88" i="22"/>
  <c r="W88" i="22"/>
  <c r="V88" i="22"/>
  <c r="U88" i="22"/>
  <c r="T88" i="22"/>
  <c r="S88" i="22"/>
  <c r="R88" i="22"/>
  <c r="Q88" i="22"/>
  <c r="P88" i="22"/>
  <c r="O88" i="22"/>
  <c r="N88" i="22"/>
  <c r="M88" i="22"/>
  <c r="L88" i="22"/>
  <c r="K88" i="22"/>
  <c r="J88" i="22"/>
  <c r="I88" i="22"/>
  <c r="H88" i="22"/>
  <c r="D88" i="22"/>
  <c r="C88" i="22"/>
  <c r="B88" i="22"/>
  <c r="AC87" i="22"/>
  <c r="AB87" i="22"/>
  <c r="AA87" i="22"/>
  <c r="Z87" i="22"/>
  <c r="Y87" i="22"/>
  <c r="X87" i="22"/>
  <c r="W87" i="22"/>
  <c r="V87" i="22"/>
  <c r="U87" i="22"/>
  <c r="T87" i="22"/>
  <c r="S87" i="22"/>
  <c r="R87" i="22"/>
  <c r="Q87" i="22"/>
  <c r="P87" i="22"/>
  <c r="O87" i="22"/>
  <c r="N87" i="22"/>
  <c r="M87" i="22"/>
  <c r="L87" i="22"/>
  <c r="K87" i="22"/>
  <c r="J87" i="22"/>
  <c r="I87" i="22"/>
  <c r="H87" i="22"/>
  <c r="D87" i="22"/>
  <c r="C87" i="22"/>
  <c r="B87" i="22"/>
  <c r="AC86" i="22"/>
  <c r="AB86" i="22"/>
  <c r="AA86" i="22"/>
  <c r="Z86" i="22"/>
  <c r="Y86" i="22"/>
  <c r="X86" i="22"/>
  <c r="W86" i="22"/>
  <c r="V86" i="22"/>
  <c r="U86" i="22"/>
  <c r="T86" i="22"/>
  <c r="S86" i="22"/>
  <c r="R86" i="22"/>
  <c r="Q86" i="22"/>
  <c r="P86" i="22"/>
  <c r="O86" i="22"/>
  <c r="N86" i="22"/>
  <c r="M86" i="22"/>
  <c r="L86" i="22"/>
  <c r="K86" i="22"/>
  <c r="J86" i="22"/>
  <c r="I86" i="22"/>
  <c r="H86" i="22"/>
  <c r="D86" i="22"/>
  <c r="C86" i="22"/>
  <c r="B86" i="22"/>
  <c r="AC85" i="22"/>
  <c r="AB85" i="22"/>
  <c r="AA85" i="22"/>
  <c r="Z85" i="22"/>
  <c r="Y85" i="22"/>
  <c r="X85" i="22"/>
  <c r="W85" i="22"/>
  <c r="V85" i="22"/>
  <c r="U85" i="22"/>
  <c r="T85" i="22"/>
  <c r="S85" i="22"/>
  <c r="R85" i="22"/>
  <c r="Q85" i="22"/>
  <c r="P85" i="22"/>
  <c r="O85" i="22"/>
  <c r="N85" i="22"/>
  <c r="M85" i="22"/>
  <c r="L85" i="22"/>
  <c r="K85" i="22"/>
  <c r="J85" i="22"/>
  <c r="I85" i="22"/>
  <c r="H85" i="22"/>
  <c r="D85" i="22"/>
  <c r="C85" i="22"/>
  <c r="B85" i="22"/>
  <c r="AC84" i="22"/>
  <c r="AB84" i="22"/>
  <c r="AA84" i="22"/>
  <c r="Z84" i="22"/>
  <c r="Y84" i="22"/>
  <c r="X84" i="22"/>
  <c r="W84" i="22"/>
  <c r="V84" i="22"/>
  <c r="U84" i="22"/>
  <c r="T84" i="22"/>
  <c r="S84" i="22"/>
  <c r="R84" i="22"/>
  <c r="Q84" i="22"/>
  <c r="P84" i="22"/>
  <c r="O84" i="22"/>
  <c r="N84" i="22"/>
  <c r="M84" i="22"/>
  <c r="L84" i="22"/>
  <c r="K84" i="22"/>
  <c r="J84" i="22"/>
  <c r="I84" i="22"/>
  <c r="H84" i="22"/>
  <c r="D84" i="22"/>
  <c r="C84" i="22"/>
  <c r="B84" i="22"/>
  <c r="AC83" i="22"/>
  <c r="AB83" i="22"/>
  <c r="AA83" i="22"/>
  <c r="Z83" i="22"/>
  <c r="Y83" i="22"/>
  <c r="X83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K83" i="22"/>
  <c r="J83" i="22"/>
  <c r="I83" i="22"/>
  <c r="H83" i="22"/>
  <c r="D83" i="22"/>
  <c r="C83" i="22"/>
  <c r="B83" i="22"/>
  <c r="AC82" i="22"/>
  <c r="AB82" i="22"/>
  <c r="AA82" i="22"/>
  <c r="Z82" i="22"/>
  <c r="Y82" i="22"/>
  <c r="X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K82" i="22"/>
  <c r="J82" i="22"/>
  <c r="I82" i="22"/>
  <c r="H82" i="22"/>
  <c r="D82" i="22"/>
  <c r="C82" i="22"/>
  <c r="B82" i="22"/>
  <c r="AC81" i="22"/>
  <c r="AB81" i="22"/>
  <c r="AA81" i="22"/>
  <c r="Z81" i="22"/>
  <c r="Y81" i="22"/>
  <c r="X81" i="22"/>
  <c r="W81" i="22"/>
  <c r="V81" i="22"/>
  <c r="U81" i="22"/>
  <c r="T81" i="22"/>
  <c r="S81" i="22"/>
  <c r="R81" i="22"/>
  <c r="Q81" i="22"/>
  <c r="P81" i="22"/>
  <c r="O81" i="22"/>
  <c r="N81" i="22"/>
  <c r="M81" i="22"/>
  <c r="L81" i="22"/>
  <c r="K81" i="22"/>
  <c r="J81" i="22"/>
  <c r="I81" i="22"/>
  <c r="H81" i="22"/>
  <c r="D81" i="22"/>
  <c r="C81" i="22"/>
  <c r="B81" i="22"/>
  <c r="AC80" i="22"/>
  <c r="AB80" i="22"/>
  <c r="AA80" i="22"/>
  <c r="Z80" i="22"/>
  <c r="Y80" i="22"/>
  <c r="X80" i="22"/>
  <c r="W80" i="22"/>
  <c r="V80" i="22"/>
  <c r="U80" i="22"/>
  <c r="T80" i="22"/>
  <c r="S80" i="22"/>
  <c r="R80" i="22"/>
  <c r="Q80" i="22"/>
  <c r="P80" i="22"/>
  <c r="O80" i="22"/>
  <c r="N80" i="22"/>
  <c r="M80" i="22"/>
  <c r="L80" i="22"/>
  <c r="K80" i="22"/>
  <c r="J80" i="22"/>
  <c r="I80" i="22"/>
  <c r="H80" i="22"/>
  <c r="D80" i="22"/>
  <c r="C80" i="22"/>
  <c r="B80" i="22"/>
  <c r="AC79" i="22"/>
  <c r="AB79" i="22"/>
  <c r="AA79" i="22"/>
  <c r="Z79" i="22"/>
  <c r="Y79" i="22"/>
  <c r="X79" i="22"/>
  <c r="W79" i="22"/>
  <c r="V79" i="22"/>
  <c r="U79" i="22"/>
  <c r="T79" i="22"/>
  <c r="S79" i="22"/>
  <c r="R79" i="22"/>
  <c r="Q79" i="22"/>
  <c r="P79" i="22"/>
  <c r="O79" i="22"/>
  <c r="N79" i="22"/>
  <c r="M79" i="22"/>
  <c r="L79" i="22"/>
  <c r="K79" i="22"/>
  <c r="J79" i="22"/>
  <c r="I79" i="22"/>
  <c r="H79" i="22"/>
  <c r="D79" i="22"/>
  <c r="C79" i="22"/>
  <c r="B79" i="22"/>
  <c r="AC78" i="22"/>
  <c r="AB78" i="22"/>
  <c r="AA78" i="22"/>
  <c r="Z78" i="22"/>
  <c r="Y78" i="22"/>
  <c r="X78" i="22"/>
  <c r="W78" i="22"/>
  <c r="V78" i="22"/>
  <c r="U78" i="22"/>
  <c r="T78" i="22"/>
  <c r="S78" i="22"/>
  <c r="R78" i="22"/>
  <c r="Q78" i="22"/>
  <c r="P78" i="22"/>
  <c r="O78" i="22"/>
  <c r="N78" i="22"/>
  <c r="M78" i="22"/>
  <c r="L78" i="22"/>
  <c r="K78" i="22"/>
  <c r="J78" i="22"/>
  <c r="I78" i="22"/>
  <c r="H78" i="22"/>
  <c r="D78" i="22"/>
  <c r="C78" i="22"/>
  <c r="B78" i="22"/>
  <c r="AC77" i="22"/>
  <c r="AB77" i="22"/>
  <c r="AA77" i="22"/>
  <c r="Z77" i="22"/>
  <c r="Y77" i="22"/>
  <c r="X77" i="22"/>
  <c r="W77" i="22"/>
  <c r="V77" i="22"/>
  <c r="U77" i="22"/>
  <c r="T77" i="22"/>
  <c r="S77" i="22"/>
  <c r="R77" i="22"/>
  <c r="Q77" i="22"/>
  <c r="P77" i="22"/>
  <c r="O77" i="22"/>
  <c r="N77" i="22"/>
  <c r="M77" i="22"/>
  <c r="L77" i="22"/>
  <c r="K77" i="22"/>
  <c r="J77" i="22"/>
  <c r="I77" i="22"/>
  <c r="H77" i="22"/>
  <c r="D77" i="22"/>
  <c r="C77" i="22"/>
  <c r="B77" i="22"/>
  <c r="AC76" i="22"/>
  <c r="AB76" i="22"/>
  <c r="AA76" i="22"/>
  <c r="Z76" i="22"/>
  <c r="Y76" i="22"/>
  <c r="X76" i="22"/>
  <c r="W76" i="22"/>
  <c r="V76" i="22"/>
  <c r="U76" i="22"/>
  <c r="T76" i="22"/>
  <c r="S76" i="22"/>
  <c r="R76" i="22"/>
  <c r="Q76" i="22"/>
  <c r="P76" i="22"/>
  <c r="O76" i="22"/>
  <c r="N76" i="22"/>
  <c r="M76" i="22"/>
  <c r="L76" i="22"/>
  <c r="K76" i="22"/>
  <c r="J76" i="22"/>
  <c r="I76" i="22"/>
  <c r="H76" i="22"/>
  <c r="D76" i="22"/>
  <c r="C76" i="22"/>
  <c r="B76" i="22"/>
  <c r="AC75" i="22"/>
  <c r="AB75" i="22"/>
  <c r="AA75" i="22"/>
  <c r="Z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K75" i="22"/>
  <c r="J75" i="22"/>
  <c r="I75" i="22"/>
  <c r="H75" i="22"/>
  <c r="D75" i="22"/>
  <c r="C75" i="22"/>
  <c r="B75" i="22"/>
  <c r="AC74" i="22"/>
  <c r="AB74" i="22"/>
  <c r="AA74" i="22"/>
  <c r="Z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D74" i="22"/>
  <c r="C74" i="22"/>
  <c r="B74" i="22"/>
  <c r="AC73" i="22"/>
  <c r="AB73" i="22"/>
  <c r="AA73" i="22"/>
  <c r="Z73" i="22"/>
  <c r="Y73" i="22"/>
  <c r="X73" i="22"/>
  <c r="W73" i="22"/>
  <c r="V73" i="22"/>
  <c r="U73" i="22"/>
  <c r="T73" i="22"/>
  <c r="S73" i="22"/>
  <c r="R73" i="22"/>
  <c r="Q73" i="22"/>
  <c r="P73" i="22"/>
  <c r="O73" i="22"/>
  <c r="N73" i="22"/>
  <c r="M73" i="22"/>
  <c r="L73" i="22"/>
  <c r="K73" i="22"/>
  <c r="J73" i="22"/>
  <c r="I73" i="22"/>
  <c r="H73" i="22"/>
  <c r="D73" i="22"/>
  <c r="C73" i="22"/>
  <c r="B73" i="22"/>
  <c r="AC72" i="22"/>
  <c r="AB72" i="22"/>
  <c r="AA72" i="22"/>
  <c r="Z72" i="22"/>
  <c r="Y72" i="22"/>
  <c r="X72" i="22"/>
  <c r="W72" i="22"/>
  <c r="V72" i="22"/>
  <c r="U72" i="22"/>
  <c r="T72" i="22"/>
  <c r="S72" i="22"/>
  <c r="R72" i="22"/>
  <c r="Q72" i="22"/>
  <c r="P72" i="22"/>
  <c r="O72" i="22"/>
  <c r="N72" i="22"/>
  <c r="M72" i="22"/>
  <c r="L72" i="22"/>
  <c r="K72" i="22"/>
  <c r="J72" i="22"/>
  <c r="I72" i="22"/>
  <c r="H72" i="22"/>
  <c r="D72" i="22"/>
  <c r="C72" i="22"/>
  <c r="B72" i="22"/>
  <c r="AC71" i="22"/>
  <c r="AB71" i="22"/>
  <c r="AA71" i="22"/>
  <c r="Z71" i="22"/>
  <c r="Y71" i="22"/>
  <c r="X71" i="22"/>
  <c r="W71" i="22"/>
  <c r="V71" i="22"/>
  <c r="U71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D71" i="22"/>
  <c r="C71" i="22"/>
  <c r="B71" i="22"/>
  <c r="AC70" i="22"/>
  <c r="AB70" i="22"/>
  <c r="AA70" i="22"/>
  <c r="Z70" i="22"/>
  <c r="Y70" i="22"/>
  <c r="X70" i="22"/>
  <c r="W70" i="22"/>
  <c r="V70" i="22"/>
  <c r="U70" i="22"/>
  <c r="T70" i="22"/>
  <c r="S70" i="22"/>
  <c r="R70" i="22"/>
  <c r="Q70" i="22"/>
  <c r="P70" i="22"/>
  <c r="O70" i="22"/>
  <c r="N70" i="22"/>
  <c r="M70" i="22"/>
  <c r="L70" i="22"/>
  <c r="K70" i="22"/>
  <c r="J70" i="22"/>
  <c r="I70" i="22"/>
  <c r="H70" i="22"/>
  <c r="D70" i="22"/>
  <c r="C70" i="22"/>
  <c r="B70" i="22"/>
  <c r="AC69" i="22"/>
  <c r="AB69" i="22"/>
  <c r="AA69" i="22"/>
  <c r="Z69" i="22"/>
  <c r="Y69" i="22"/>
  <c r="X69" i="22"/>
  <c r="W69" i="22"/>
  <c r="V69" i="22"/>
  <c r="U69" i="22"/>
  <c r="T69" i="22"/>
  <c r="S69" i="22"/>
  <c r="R69" i="22"/>
  <c r="Q69" i="22"/>
  <c r="P69" i="22"/>
  <c r="O69" i="22"/>
  <c r="N69" i="22"/>
  <c r="M69" i="22"/>
  <c r="L69" i="22"/>
  <c r="K69" i="22"/>
  <c r="J69" i="22"/>
  <c r="I69" i="22"/>
  <c r="H69" i="22"/>
  <c r="D69" i="22"/>
  <c r="C69" i="22"/>
  <c r="B69" i="22"/>
  <c r="AC68" i="22"/>
  <c r="AB68" i="22"/>
  <c r="AA68" i="22"/>
  <c r="Z68" i="22"/>
  <c r="Y68" i="22"/>
  <c r="X68" i="22"/>
  <c r="W68" i="22"/>
  <c r="V68" i="22"/>
  <c r="U68" i="22"/>
  <c r="T68" i="22"/>
  <c r="S68" i="22"/>
  <c r="R68" i="22"/>
  <c r="Q68" i="22"/>
  <c r="P68" i="22"/>
  <c r="O68" i="22"/>
  <c r="N68" i="22"/>
  <c r="M68" i="22"/>
  <c r="L68" i="22"/>
  <c r="K68" i="22"/>
  <c r="J68" i="22"/>
  <c r="I68" i="22"/>
  <c r="H68" i="22"/>
  <c r="D68" i="22"/>
  <c r="C68" i="22"/>
  <c r="B68" i="22"/>
  <c r="AC67" i="22"/>
  <c r="AB67" i="22"/>
  <c r="AA67" i="22"/>
  <c r="Z67" i="22"/>
  <c r="Y67" i="22"/>
  <c r="X67" i="22"/>
  <c r="W67" i="22"/>
  <c r="V67" i="22"/>
  <c r="U67" i="22"/>
  <c r="T67" i="22"/>
  <c r="S67" i="22"/>
  <c r="R67" i="22"/>
  <c r="Q67" i="22"/>
  <c r="P67" i="22"/>
  <c r="O67" i="22"/>
  <c r="N67" i="22"/>
  <c r="M67" i="22"/>
  <c r="L67" i="22"/>
  <c r="K67" i="22"/>
  <c r="J67" i="22"/>
  <c r="I67" i="22"/>
  <c r="H67" i="22"/>
  <c r="D67" i="22"/>
  <c r="C67" i="22"/>
  <c r="B67" i="22"/>
  <c r="AC66" i="22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J66" i="22"/>
  <c r="I66" i="22"/>
  <c r="H66" i="22"/>
  <c r="D66" i="22"/>
  <c r="C66" i="22"/>
  <c r="B66" i="22"/>
  <c r="AC65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J65" i="22"/>
  <c r="I65" i="22"/>
  <c r="H65" i="22"/>
  <c r="D65" i="22"/>
  <c r="C65" i="22"/>
  <c r="B65" i="22"/>
  <c r="AC64" i="22"/>
  <c r="AB64" i="22"/>
  <c r="AA64" i="22"/>
  <c r="Z64" i="22"/>
  <c r="Y64" i="22"/>
  <c r="X64" i="22"/>
  <c r="W64" i="22"/>
  <c r="V64" i="22"/>
  <c r="U64" i="22"/>
  <c r="T64" i="22"/>
  <c r="S64" i="22"/>
  <c r="R64" i="22"/>
  <c r="Q64" i="22"/>
  <c r="P64" i="22"/>
  <c r="O64" i="22"/>
  <c r="N64" i="22"/>
  <c r="M64" i="22"/>
  <c r="L64" i="22"/>
  <c r="K64" i="22"/>
  <c r="J64" i="22"/>
  <c r="I64" i="22"/>
  <c r="H64" i="22"/>
  <c r="D64" i="22"/>
  <c r="C64" i="22"/>
  <c r="B64" i="22"/>
  <c r="AC63" i="22"/>
  <c r="AB63" i="22"/>
  <c r="AA63" i="22"/>
  <c r="Z63" i="22"/>
  <c r="Y63" i="22"/>
  <c r="X63" i="22"/>
  <c r="W63" i="22"/>
  <c r="V63" i="22"/>
  <c r="U63" i="22"/>
  <c r="T63" i="22"/>
  <c r="S63" i="22"/>
  <c r="R63" i="22"/>
  <c r="Q63" i="22"/>
  <c r="P63" i="22"/>
  <c r="O63" i="22"/>
  <c r="N63" i="22"/>
  <c r="M63" i="22"/>
  <c r="L63" i="22"/>
  <c r="K63" i="22"/>
  <c r="J63" i="22"/>
  <c r="I63" i="22"/>
  <c r="H63" i="22"/>
  <c r="D63" i="22"/>
  <c r="C63" i="22"/>
  <c r="B63" i="22"/>
  <c r="AC62" i="22"/>
  <c r="AB62" i="22"/>
  <c r="AA62" i="22"/>
  <c r="Z62" i="22"/>
  <c r="Y62" i="22"/>
  <c r="X62" i="22"/>
  <c r="W62" i="22"/>
  <c r="V62" i="22"/>
  <c r="U62" i="22"/>
  <c r="T62" i="22"/>
  <c r="S62" i="22"/>
  <c r="R62" i="22"/>
  <c r="Q62" i="22"/>
  <c r="P62" i="22"/>
  <c r="O62" i="22"/>
  <c r="N62" i="22"/>
  <c r="M62" i="22"/>
  <c r="L62" i="22"/>
  <c r="K62" i="22"/>
  <c r="J62" i="22"/>
  <c r="I62" i="22"/>
  <c r="H62" i="22"/>
  <c r="D62" i="22"/>
  <c r="C62" i="22"/>
  <c r="B62" i="22"/>
  <c r="AC61" i="22"/>
  <c r="AB61" i="22"/>
  <c r="AA61" i="22"/>
  <c r="Z61" i="22"/>
  <c r="Y61" i="22"/>
  <c r="X61" i="22"/>
  <c r="W61" i="22"/>
  <c r="V61" i="22"/>
  <c r="U61" i="22"/>
  <c r="T61" i="22"/>
  <c r="S61" i="22"/>
  <c r="R61" i="22"/>
  <c r="Q61" i="22"/>
  <c r="P61" i="22"/>
  <c r="O61" i="22"/>
  <c r="N61" i="22"/>
  <c r="M61" i="22"/>
  <c r="L61" i="22"/>
  <c r="K61" i="22"/>
  <c r="J61" i="22"/>
  <c r="I61" i="22"/>
  <c r="H61" i="22"/>
  <c r="D61" i="22"/>
  <c r="C61" i="22"/>
  <c r="B61" i="22"/>
  <c r="AC60" i="22"/>
  <c r="AB60" i="22"/>
  <c r="AA60" i="22"/>
  <c r="Z60" i="22"/>
  <c r="Y60" i="22"/>
  <c r="X60" i="22"/>
  <c r="W60" i="22"/>
  <c r="V60" i="22"/>
  <c r="U60" i="22"/>
  <c r="T60" i="22"/>
  <c r="S60" i="22"/>
  <c r="R60" i="22"/>
  <c r="Q60" i="22"/>
  <c r="P60" i="22"/>
  <c r="O60" i="22"/>
  <c r="N60" i="22"/>
  <c r="M60" i="22"/>
  <c r="L60" i="22"/>
  <c r="K60" i="22"/>
  <c r="J60" i="22"/>
  <c r="I60" i="22"/>
  <c r="H60" i="22"/>
  <c r="D60" i="22"/>
  <c r="C60" i="22"/>
  <c r="B60" i="22"/>
  <c r="AC59" i="22"/>
  <c r="AB59" i="22"/>
  <c r="AA59" i="22"/>
  <c r="Z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D59" i="22"/>
  <c r="C59" i="22"/>
  <c r="B59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58" i="22"/>
  <c r="J58" i="22"/>
  <c r="I58" i="22"/>
  <c r="H58" i="22"/>
  <c r="D58" i="22"/>
  <c r="C58" i="22"/>
  <c r="B58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K57" i="22"/>
  <c r="J57" i="22"/>
  <c r="I57" i="22"/>
  <c r="H57" i="22"/>
  <c r="D57" i="22"/>
  <c r="C57" i="22"/>
  <c r="B57" i="22"/>
  <c r="AC56" i="22"/>
  <c r="AB56" i="22"/>
  <c r="AA56" i="22"/>
  <c r="Z56" i="22"/>
  <c r="Y56" i="22"/>
  <c r="X56" i="22"/>
  <c r="W56" i="22"/>
  <c r="V56" i="22"/>
  <c r="U56" i="22"/>
  <c r="T56" i="22"/>
  <c r="S56" i="22"/>
  <c r="R56" i="22"/>
  <c r="Q56" i="22"/>
  <c r="P56" i="22"/>
  <c r="O56" i="22"/>
  <c r="N56" i="22"/>
  <c r="M56" i="22"/>
  <c r="L56" i="22"/>
  <c r="K56" i="22"/>
  <c r="J56" i="22"/>
  <c r="I56" i="22"/>
  <c r="H56" i="22"/>
  <c r="D56" i="22"/>
  <c r="C56" i="22"/>
  <c r="B56" i="22"/>
  <c r="AC55" i="22"/>
  <c r="AB55" i="22"/>
  <c r="AA55" i="22"/>
  <c r="Z55" i="22"/>
  <c r="Y55" i="22"/>
  <c r="X55" i="22"/>
  <c r="W55" i="22"/>
  <c r="V55" i="22"/>
  <c r="U55" i="22"/>
  <c r="T55" i="22"/>
  <c r="S55" i="22"/>
  <c r="R55" i="22"/>
  <c r="Q55" i="22"/>
  <c r="P55" i="22"/>
  <c r="O55" i="22"/>
  <c r="N55" i="22"/>
  <c r="M55" i="22"/>
  <c r="L55" i="22"/>
  <c r="K55" i="22"/>
  <c r="J55" i="22"/>
  <c r="I55" i="22"/>
  <c r="H55" i="22"/>
  <c r="D55" i="22"/>
  <c r="C55" i="22"/>
  <c r="B55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D54" i="22"/>
  <c r="C54" i="22"/>
  <c r="B54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D53" i="22"/>
  <c r="C53" i="22"/>
  <c r="B53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D52" i="22"/>
  <c r="C52" i="22"/>
  <c r="B52" i="22"/>
  <c r="AC51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D51" i="22"/>
  <c r="C51" i="22"/>
  <c r="B51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D50" i="22"/>
  <c r="C50" i="22"/>
  <c r="B50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D49" i="22"/>
  <c r="C49" i="22"/>
  <c r="B49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D48" i="22"/>
  <c r="C48" i="22"/>
  <c r="B48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D47" i="22"/>
  <c r="C47" i="22"/>
  <c r="B47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D46" i="22"/>
  <c r="C46" i="22"/>
  <c r="B46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D45" i="22"/>
  <c r="C45" i="22"/>
  <c r="B45" i="22"/>
  <c r="AC44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D44" i="22"/>
  <c r="C44" i="22"/>
  <c r="B44" i="22"/>
  <c r="AC43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D43" i="22"/>
  <c r="C43" i="22"/>
  <c r="B43" i="22"/>
  <c r="AC42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D42" i="22"/>
  <c r="C42" i="22"/>
  <c r="B42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D41" i="22"/>
  <c r="C41" i="22"/>
  <c r="B41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D40" i="22"/>
  <c r="C40" i="22"/>
  <c r="B40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D39" i="22"/>
  <c r="C39" i="22"/>
  <c r="B39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D38" i="22"/>
  <c r="C38" i="22"/>
  <c r="B38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D37" i="22"/>
  <c r="C37" i="22"/>
  <c r="B37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D36" i="22"/>
  <c r="C36" i="22"/>
  <c r="B36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D35" i="22"/>
  <c r="C35" i="22"/>
  <c r="B35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D34" i="22"/>
  <c r="C34" i="22"/>
  <c r="B34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D33" i="22"/>
  <c r="C33" i="22"/>
  <c r="B33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D32" i="22"/>
  <c r="C32" i="22"/>
  <c r="B32" i="22"/>
  <c r="AC31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D31" i="22"/>
  <c r="C31" i="22"/>
  <c r="B31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D30" i="22"/>
  <c r="C30" i="22"/>
  <c r="B30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D29" i="22"/>
  <c r="C29" i="22"/>
  <c r="B29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D28" i="22"/>
  <c r="C28" i="22"/>
  <c r="B28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D27" i="22"/>
  <c r="C27" i="22"/>
  <c r="B27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D26" i="22"/>
  <c r="C26" i="22"/>
  <c r="B26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D25" i="22"/>
  <c r="C25" i="22"/>
  <c r="B25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D24" i="22"/>
  <c r="C24" i="22"/>
  <c r="B24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D23" i="22"/>
  <c r="C23" i="22"/>
  <c r="B23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D22" i="22"/>
  <c r="C22" i="22"/>
  <c r="B22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D21" i="22"/>
  <c r="C21" i="22"/>
  <c r="B21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D20" i="22"/>
  <c r="C20" i="22"/>
  <c r="B20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D19" i="22"/>
  <c r="C19" i="22"/>
  <c r="B19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D18" i="22"/>
  <c r="C18" i="22"/>
  <c r="B18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D17" i="22"/>
  <c r="C17" i="22"/>
  <c r="B17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D16" i="22"/>
  <c r="C16" i="22"/>
  <c r="B16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D15" i="22"/>
  <c r="C15" i="22"/>
  <c r="B15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D14" i="22"/>
  <c r="C14" i="22"/>
  <c r="B14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D13" i="22"/>
  <c r="C13" i="22"/>
  <c r="B13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D12" i="22"/>
  <c r="C12" i="22"/>
  <c r="B12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D11" i="22"/>
  <c r="C11" i="22"/>
  <c r="B11" i="2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X79" i="12"/>
  <c r="I79" i="12"/>
  <c r="H79" i="12"/>
  <c r="G79" i="12"/>
  <c r="F79" i="12"/>
  <c r="C79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X78" i="12"/>
  <c r="I78" i="12"/>
  <c r="H78" i="12"/>
  <c r="G78" i="12"/>
  <c r="F78" i="12"/>
  <c r="C78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X77" i="12"/>
  <c r="I77" i="12"/>
  <c r="H77" i="12"/>
  <c r="G77" i="12"/>
  <c r="F77" i="12"/>
  <c r="C77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X76" i="12"/>
  <c r="I76" i="12"/>
  <c r="H76" i="12"/>
  <c r="G76" i="12"/>
  <c r="F76" i="12"/>
  <c r="C76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X75" i="12"/>
  <c r="I75" i="12"/>
  <c r="H75" i="12"/>
  <c r="G75" i="12"/>
  <c r="F75" i="12"/>
  <c r="C75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X74" i="12"/>
  <c r="I74" i="12"/>
  <c r="H74" i="12"/>
  <c r="G74" i="12"/>
  <c r="F74" i="12"/>
  <c r="C74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X73" i="12"/>
  <c r="I73" i="12"/>
  <c r="H73" i="12"/>
  <c r="G73" i="12"/>
  <c r="F73" i="12"/>
  <c r="C73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X72" i="12"/>
  <c r="I72" i="12"/>
  <c r="H72" i="12"/>
  <c r="G72" i="12"/>
  <c r="F72" i="12"/>
  <c r="C72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X71" i="12"/>
  <c r="I71" i="12"/>
  <c r="H71" i="12"/>
  <c r="G71" i="12"/>
  <c r="F71" i="12"/>
  <c r="C71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X70" i="12"/>
  <c r="I70" i="12"/>
  <c r="H70" i="12"/>
  <c r="G70" i="12"/>
  <c r="F70" i="12"/>
  <c r="C70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X69" i="12"/>
  <c r="I69" i="12"/>
  <c r="H69" i="12"/>
  <c r="G69" i="12"/>
  <c r="F69" i="12"/>
  <c r="C69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X68" i="12"/>
  <c r="I68" i="12"/>
  <c r="H68" i="12"/>
  <c r="G68" i="12"/>
  <c r="F68" i="12"/>
  <c r="C68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X67" i="12"/>
  <c r="I67" i="12"/>
  <c r="H67" i="12"/>
  <c r="G67" i="12"/>
  <c r="F67" i="12"/>
  <c r="C67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X66" i="12"/>
  <c r="I66" i="12"/>
  <c r="H66" i="12"/>
  <c r="G66" i="12"/>
  <c r="F66" i="12"/>
  <c r="C66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X65" i="12"/>
  <c r="I65" i="12"/>
  <c r="H65" i="12"/>
  <c r="G65" i="12"/>
  <c r="F65" i="12"/>
  <c r="C65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X64" i="12"/>
  <c r="I64" i="12"/>
  <c r="H64" i="12"/>
  <c r="G64" i="12"/>
  <c r="F64" i="12"/>
  <c r="C64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X63" i="12"/>
  <c r="I63" i="12"/>
  <c r="H63" i="12"/>
  <c r="G63" i="12"/>
  <c r="F63" i="12"/>
  <c r="C63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X62" i="12"/>
  <c r="I62" i="12"/>
  <c r="H62" i="12"/>
  <c r="G62" i="12"/>
  <c r="F62" i="12"/>
  <c r="C62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X61" i="12"/>
  <c r="I61" i="12"/>
  <c r="H61" i="12"/>
  <c r="G61" i="12"/>
  <c r="F61" i="12"/>
  <c r="C61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X60" i="12"/>
  <c r="I60" i="12"/>
  <c r="H60" i="12"/>
  <c r="G60" i="12"/>
  <c r="F60" i="12"/>
  <c r="C60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X59" i="12"/>
  <c r="I59" i="12"/>
  <c r="H59" i="12"/>
  <c r="G59" i="12"/>
  <c r="F59" i="12"/>
  <c r="C59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X58" i="12"/>
  <c r="I58" i="12"/>
  <c r="H58" i="12"/>
  <c r="G58" i="12"/>
  <c r="F58" i="12"/>
  <c r="C58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X57" i="12"/>
  <c r="I57" i="12"/>
  <c r="H57" i="12"/>
  <c r="G57" i="12"/>
  <c r="F57" i="12"/>
  <c r="C57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X56" i="12"/>
  <c r="I56" i="12"/>
  <c r="H56" i="12"/>
  <c r="G56" i="12"/>
  <c r="F56" i="12"/>
  <c r="C56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X55" i="12"/>
  <c r="I55" i="12"/>
  <c r="H55" i="12"/>
  <c r="G55" i="12"/>
  <c r="F55" i="12"/>
  <c r="C55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X54" i="12"/>
  <c r="I54" i="12"/>
  <c r="H54" i="12"/>
  <c r="G54" i="12"/>
  <c r="F54" i="12"/>
  <c r="C54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X53" i="12"/>
  <c r="I53" i="12"/>
  <c r="H53" i="12"/>
  <c r="G53" i="12"/>
  <c r="F53" i="12"/>
  <c r="C53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X52" i="12"/>
  <c r="I52" i="12"/>
  <c r="H52" i="12"/>
  <c r="G52" i="12"/>
  <c r="F52" i="12"/>
  <c r="C52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X51" i="12"/>
  <c r="I51" i="12"/>
  <c r="H51" i="12"/>
  <c r="G51" i="12"/>
  <c r="F51" i="12"/>
  <c r="C51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X50" i="12"/>
  <c r="I50" i="12"/>
  <c r="H50" i="12"/>
  <c r="G50" i="12"/>
  <c r="F50" i="12"/>
  <c r="C50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X49" i="12"/>
  <c r="I49" i="12"/>
  <c r="H49" i="12"/>
  <c r="G49" i="12"/>
  <c r="F49" i="12"/>
  <c r="C49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X48" i="12"/>
  <c r="I48" i="12"/>
  <c r="H48" i="12"/>
  <c r="G48" i="12"/>
  <c r="F48" i="12"/>
  <c r="C48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X47" i="12"/>
  <c r="I47" i="12"/>
  <c r="H47" i="12"/>
  <c r="G47" i="12"/>
  <c r="F47" i="12"/>
  <c r="C47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X46" i="12"/>
  <c r="I46" i="12"/>
  <c r="H46" i="12"/>
  <c r="G46" i="12"/>
  <c r="F46" i="12"/>
  <c r="C46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X45" i="12"/>
  <c r="I45" i="12"/>
  <c r="H45" i="12"/>
  <c r="G45" i="12"/>
  <c r="F45" i="12"/>
  <c r="C45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X44" i="12"/>
  <c r="I44" i="12"/>
  <c r="H44" i="12"/>
  <c r="G44" i="12"/>
  <c r="F44" i="12"/>
  <c r="C44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X43" i="12"/>
  <c r="I43" i="12"/>
  <c r="H43" i="12"/>
  <c r="G43" i="12"/>
  <c r="F43" i="12"/>
  <c r="C43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X42" i="12"/>
  <c r="I42" i="12"/>
  <c r="H42" i="12"/>
  <c r="G42" i="12"/>
  <c r="F42" i="12"/>
  <c r="C42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X41" i="12"/>
  <c r="I41" i="12"/>
  <c r="H41" i="12"/>
  <c r="G41" i="12"/>
  <c r="F41" i="12"/>
  <c r="C41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X40" i="12"/>
  <c r="I40" i="12"/>
  <c r="H40" i="12"/>
  <c r="G40" i="12"/>
  <c r="F40" i="12"/>
  <c r="C40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X39" i="12"/>
  <c r="I39" i="12"/>
  <c r="H39" i="12"/>
  <c r="G39" i="12"/>
  <c r="F39" i="12"/>
  <c r="C39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X38" i="12"/>
  <c r="I38" i="12"/>
  <c r="H38" i="12"/>
  <c r="G38" i="12"/>
  <c r="F38" i="12"/>
  <c r="C38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X37" i="12"/>
  <c r="I37" i="12"/>
  <c r="H37" i="12"/>
  <c r="G37" i="12"/>
  <c r="F37" i="12"/>
  <c r="C37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X36" i="12"/>
  <c r="I36" i="12"/>
  <c r="H36" i="12"/>
  <c r="G36" i="12"/>
  <c r="F36" i="12"/>
  <c r="C36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X35" i="12"/>
  <c r="I35" i="12"/>
  <c r="H35" i="12"/>
  <c r="G35" i="12"/>
  <c r="F35" i="12"/>
  <c r="C35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X34" i="12"/>
  <c r="I34" i="12"/>
  <c r="H34" i="12"/>
  <c r="G34" i="12"/>
  <c r="F34" i="12"/>
  <c r="C34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X33" i="12"/>
  <c r="I33" i="12"/>
  <c r="H33" i="12"/>
  <c r="G33" i="12"/>
  <c r="F33" i="12"/>
  <c r="C33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X32" i="12"/>
  <c r="I32" i="12"/>
  <c r="H32" i="12"/>
  <c r="G32" i="12"/>
  <c r="F32" i="12"/>
  <c r="C32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X31" i="12"/>
  <c r="I31" i="12"/>
  <c r="H31" i="12"/>
  <c r="G31" i="12"/>
  <c r="F31" i="12"/>
  <c r="C31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X30" i="12"/>
  <c r="I30" i="12"/>
  <c r="H30" i="12"/>
  <c r="G30" i="12"/>
  <c r="F30" i="12"/>
  <c r="C30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X29" i="12"/>
  <c r="I29" i="12"/>
  <c r="H29" i="12"/>
  <c r="G29" i="12"/>
  <c r="F29" i="12"/>
  <c r="C29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X28" i="12"/>
  <c r="I28" i="12"/>
  <c r="H28" i="12"/>
  <c r="G28" i="12"/>
  <c r="F28" i="12"/>
  <c r="C28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X27" i="12"/>
  <c r="I27" i="12"/>
  <c r="H27" i="12"/>
  <c r="G27" i="12"/>
  <c r="F27" i="12"/>
  <c r="C27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X26" i="12"/>
  <c r="I26" i="12"/>
  <c r="H26" i="12"/>
  <c r="G26" i="12"/>
  <c r="F26" i="12"/>
  <c r="C26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X25" i="12"/>
  <c r="I25" i="12"/>
  <c r="H25" i="12"/>
  <c r="G25" i="12"/>
  <c r="F25" i="12"/>
  <c r="C25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X24" i="12"/>
  <c r="I24" i="12"/>
  <c r="H24" i="12"/>
  <c r="G24" i="12"/>
  <c r="F24" i="12"/>
  <c r="C24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X23" i="12"/>
  <c r="I23" i="12"/>
  <c r="H23" i="12"/>
  <c r="G23" i="12"/>
  <c r="F23" i="12"/>
  <c r="C23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X22" i="12"/>
  <c r="I22" i="12"/>
  <c r="H22" i="12"/>
  <c r="G22" i="12"/>
  <c r="F22" i="12"/>
  <c r="C22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X21" i="12"/>
  <c r="I21" i="12"/>
  <c r="H21" i="12"/>
  <c r="G21" i="12"/>
  <c r="F21" i="12"/>
  <c r="C21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X20" i="12"/>
  <c r="I20" i="12"/>
  <c r="H20" i="12"/>
  <c r="G20" i="12"/>
  <c r="F20" i="12"/>
  <c r="C20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X19" i="12"/>
  <c r="I19" i="12"/>
  <c r="H19" i="12"/>
  <c r="G19" i="12"/>
  <c r="F19" i="12"/>
  <c r="C19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X18" i="12"/>
  <c r="I18" i="12"/>
  <c r="H18" i="12"/>
  <c r="G18" i="12"/>
  <c r="F18" i="12"/>
  <c r="C18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X17" i="12"/>
  <c r="I17" i="12"/>
  <c r="H17" i="12"/>
  <c r="G17" i="12"/>
  <c r="F17" i="12"/>
  <c r="C17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X16" i="12"/>
  <c r="I16" i="12"/>
  <c r="H16" i="12"/>
  <c r="G16" i="12"/>
  <c r="F16" i="12"/>
  <c r="C16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X15" i="12"/>
  <c r="I15" i="12"/>
  <c r="H15" i="12"/>
  <c r="G15" i="12"/>
  <c r="F15" i="12"/>
  <c r="C15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X14" i="12"/>
  <c r="I14" i="12"/>
  <c r="H14" i="12"/>
  <c r="G14" i="12"/>
  <c r="F14" i="12"/>
  <c r="C14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X13" i="12"/>
  <c r="I13" i="12"/>
  <c r="H13" i="12"/>
  <c r="G13" i="12"/>
  <c r="F13" i="12"/>
  <c r="C13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X12" i="12"/>
  <c r="I12" i="12"/>
  <c r="H12" i="12"/>
  <c r="G12" i="12"/>
  <c r="F12" i="12"/>
  <c r="C12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X11" i="12"/>
  <c r="I11" i="12"/>
  <c r="H11" i="12"/>
  <c r="G11" i="12"/>
  <c r="F11" i="12"/>
  <c r="C11" i="12"/>
  <c r="P294" i="8"/>
  <c r="O294" i="8"/>
  <c r="N294" i="8"/>
  <c r="M294" i="8"/>
  <c r="H294" i="8"/>
  <c r="G294" i="8"/>
  <c r="D294" i="8"/>
  <c r="C294" i="8"/>
  <c r="B294" i="8"/>
  <c r="P293" i="8"/>
  <c r="O293" i="8"/>
  <c r="N293" i="8"/>
  <c r="M293" i="8"/>
  <c r="H293" i="8"/>
  <c r="G293" i="8"/>
  <c r="D293" i="8"/>
  <c r="C293" i="8"/>
  <c r="B293" i="8"/>
  <c r="P292" i="8"/>
  <c r="O292" i="8"/>
  <c r="N292" i="8"/>
  <c r="M292" i="8"/>
  <c r="H292" i="8"/>
  <c r="G292" i="8"/>
  <c r="D292" i="8"/>
  <c r="C292" i="8"/>
  <c r="B292" i="8"/>
  <c r="P291" i="8"/>
  <c r="O291" i="8"/>
  <c r="N291" i="8"/>
  <c r="M291" i="8"/>
  <c r="H291" i="8"/>
  <c r="G291" i="8"/>
  <c r="D291" i="8"/>
  <c r="C291" i="8"/>
  <c r="B291" i="8"/>
  <c r="P290" i="8"/>
  <c r="O290" i="8"/>
  <c r="N290" i="8"/>
  <c r="M290" i="8"/>
  <c r="H290" i="8"/>
  <c r="G290" i="8"/>
  <c r="D290" i="8"/>
  <c r="C290" i="8"/>
  <c r="B290" i="8"/>
  <c r="P289" i="8"/>
  <c r="O289" i="8"/>
  <c r="N289" i="8"/>
  <c r="M289" i="8"/>
  <c r="H289" i="8"/>
  <c r="G289" i="8"/>
  <c r="D289" i="8"/>
  <c r="C289" i="8"/>
  <c r="B289" i="8"/>
  <c r="P288" i="8"/>
  <c r="O288" i="8"/>
  <c r="N288" i="8"/>
  <c r="M288" i="8"/>
  <c r="H288" i="8"/>
  <c r="G288" i="8"/>
  <c r="D288" i="8"/>
  <c r="C288" i="8"/>
  <c r="B288" i="8"/>
  <c r="P287" i="8"/>
  <c r="O287" i="8"/>
  <c r="N287" i="8"/>
  <c r="M287" i="8"/>
  <c r="H287" i="8"/>
  <c r="G287" i="8"/>
  <c r="D287" i="8"/>
  <c r="C287" i="8"/>
  <c r="B287" i="8"/>
  <c r="P286" i="8"/>
  <c r="O286" i="8"/>
  <c r="N286" i="8"/>
  <c r="M286" i="8"/>
  <c r="H286" i="8"/>
  <c r="G286" i="8"/>
  <c r="D286" i="8"/>
  <c r="C286" i="8"/>
  <c r="B286" i="8"/>
  <c r="P285" i="8"/>
  <c r="O285" i="8"/>
  <c r="N285" i="8"/>
  <c r="M285" i="8"/>
  <c r="H285" i="8"/>
  <c r="G285" i="8"/>
  <c r="D285" i="8"/>
  <c r="C285" i="8"/>
  <c r="B285" i="8"/>
  <c r="P284" i="8"/>
  <c r="O284" i="8"/>
  <c r="N284" i="8"/>
  <c r="M284" i="8"/>
  <c r="H284" i="8"/>
  <c r="G284" i="8"/>
  <c r="D284" i="8"/>
  <c r="C284" i="8"/>
  <c r="B284" i="8"/>
  <c r="P283" i="8"/>
  <c r="O283" i="8"/>
  <c r="N283" i="8"/>
  <c r="M283" i="8"/>
  <c r="H283" i="8"/>
  <c r="G283" i="8"/>
  <c r="D283" i="8"/>
  <c r="C283" i="8"/>
  <c r="B283" i="8"/>
  <c r="P282" i="8"/>
  <c r="O282" i="8"/>
  <c r="N282" i="8"/>
  <c r="M282" i="8"/>
  <c r="H282" i="8"/>
  <c r="G282" i="8"/>
  <c r="D282" i="8"/>
  <c r="C282" i="8"/>
  <c r="B282" i="8"/>
  <c r="P281" i="8"/>
  <c r="O281" i="8"/>
  <c r="N281" i="8"/>
  <c r="M281" i="8"/>
  <c r="H281" i="8"/>
  <c r="G281" i="8"/>
  <c r="D281" i="8"/>
  <c r="C281" i="8"/>
  <c r="B281" i="8"/>
  <c r="P280" i="8"/>
  <c r="O280" i="8"/>
  <c r="N280" i="8"/>
  <c r="M280" i="8"/>
  <c r="H280" i="8"/>
  <c r="G280" i="8"/>
  <c r="D280" i="8"/>
  <c r="C280" i="8"/>
  <c r="B280" i="8"/>
  <c r="P279" i="8"/>
  <c r="O279" i="8"/>
  <c r="N279" i="8"/>
  <c r="M279" i="8"/>
  <c r="H279" i="8"/>
  <c r="G279" i="8"/>
  <c r="D279" i="8"/>
  <c r="C279" i="8"/>
  <c r="B279" i="8"/>
  <c r="P278" i="8"/>
  <c r="O278" i="8"/>
  <c r="N278" i="8"/>
  <c r="M278" i="8"/>
  <c r="H278" i="8"/>
  <c r="G278" i="8"/>
  <c r="D278" i="8"/>
  <c r="C278" i="8"/>
  <c r="B278" i="8"/>
  <c r="P277" i="8"/>
  <c r="O277" i="8"/>
  <c r="N277" i="8"/>
  <c r="M277" i="8"/>
  <c r="H277" i="8"/>
  <c r="G277" i="8"/>
  <c r="D277" i="8"/>
  <c r="C277" i="8"/>
  <c r="B277" i="8"/>
  <c r="P276" i="8"/>
  <c r="O276" i="8"/>
  <c r="N276" i="8"/>
  <c r="M276" i="8"/>
  <c r="H276" i="8"/>
  <c r="G276" i="8"/>
  <c r="D276" i="8"/>
  <c r="C276" i="8"/>
  <c r="B276" i="8"/>
  <c r="P275" i="8"/>
  <c r="O275" i="8"/>
  <c r="N275" i="8"/>
  <c r="M275" i="8"/>
  <c r="H275" i="8"/>
  <c r="G275" i="8"/>
  <c r="D275" i="8"/>
  <c r="C275" i="8"/>
  <c r="B275" i="8"/>
  <c r="P274" i="8"/>
  <c r="O274" i="8"/>
  <c r="N274" i="8"/>
  <c r="M274" i="8"/>
  <c r="H274" i="8"/>
  <c r="G274" i="8"/>
  <c r="D274" i="8"/>
  <c r="C274" i="8"/>
  <c r="B274" i="8"/>
  <c r="P273" i="8"/>
  <c r="O273" i="8"/>
  <c r="N273" i="8"/>
  <c r="M273" i="8"/>
  <c r="H273" i="8"/>
  <c r="G273" i="8"/>
  <c r="D273" i="8"/>
  <c r="C273" i="8"/>
  <c r="B273" i="8"/>
  <c r="P272" i="8"/>
  <c r="O272" i="8"/>
  <c r="N272" i="8"/>
  <c r="M272" i="8"/>
  <c r="H272" i="8"/>
  <c r="G272" i="8"/>
  <c r="D272" i="8"/>
  <c r="C272" i="8"/>
  <c r="B272" i="8"/>
  <c r="P271" i="8"/>
  <c r="O271" i="8"/>
  <c r="N271" i="8"/>
  <c r="M271" i="8"/>
  <c r="H271" i="8"/>
  <c r="G271" i="8"/>
  <c r="D271" i="8"/>
  <c r="C271" i="8"/>
  <c r="B271" i="8"/>
  <c r="P270" i="8"/>
  <c r="O270" i="8"/>
  <c r="N270" i="8"/>
  <c r="M270" i="8"/>
  <c r="H270" i="8"/>
  <c r="G270" i="8"/>
  <c r="D270" i="8"/>
  <c r="C270" i="8"/>
  <c r="B270" i="8"/>
  <c r="P269" i="8"/>
  <c r="O269" i="8"/>
  <c r="N269" i="8"/>
  <c r="M269" i="8"/>
  <c r="H269" i="8"/>
  <c r="G269" i="8"/>
  <c r="D269" i="8"/>
  <c r="C269" i="8"/>
  <c r="B269" i="8"/>
  <c r="P268" i="8"/>
  <c r="O268" i="8"/>
  <c r="N268" i="8"/>
  <c r="M268" i="8"/>
  <c r="H268" i="8"/>
  <c r="G268" i="8"/>
  <c r="D268" i="8"/>
  <c r="C268" i="8"/>
  <c r="B268" i="8"/>
  <c r="P267" i="8"/>
  <c r="O267" i="8"/>
  <c r="N267" i="8"/>
  <c r="M267" i="8"/>
  <c r="H267" i="8"/>
  <c r="G267" i="8"/>
  <c r="D267" i="8"/>
  <c r="C267" i="8"/>
  <c r="B267" i="8"/>
  <c r="P266" i="8"/>
  <c r="O266" i="8"/>
  <c r="N266" i="8"/>
  <c r="M266" i="8"/>
  <c r="H266" i="8"/>
  <c r="G266" i="8"/>
  <c r="D266" i="8"/>
  <c r="C266" i="8"/>
  <c r="B266" i="8"/>
  <c r="P265" i="8"/>
  <c r="O265" i="8"/>
  <c r="N265" i="8"/>
  <c r="M265" i="8"/>
  <c r="H265" i="8"/>
  <c r="G265" i="8"/>
  <c r="D265" i="8"/>
  <c r="C265" i="8"/>
  <c r="B265" i="8"/>
  <c r="P264" i="8"/>
  <c r="O264" i="8"/>
  <c r="N264" i="8"/>
  <c r="M264" i="8"/>
  <c r="H264" i="8"/>
  <c r="G264" i="8"/>
  <c r="D264" i="8"/>
  <c r="C264" i="8"/>
  <c r="B264" i="8"/>
  <c r="P263" i="8"/>
  <c r="O263" i="8"/>
  <c r="N263" i="8"/>
  <c r="M263" i="8"/>
  <c r="H263" i="8"/>
  <c r="G263" i="8"/>
  <c r="D263" i="8"/>
  <c r="C263" i="8"/>
  <c r="B263" i="8"/>
  <c r="P262" i="8"/>
  <c r="O262" i="8"/>
  <c r="N262" i="8"/>
  <c r="M262" i="8"/>
  <c r="H262" i="8"/>
  <c r="G262" i="8"/>
  <c r="D262" i="8"/>
  <c r="C262" i="8"/>
  <c r="B262" i="8"/>
  <c r="P261" i="8"/>
  <c r="O261" i="8"/>
  <c r="N261" i="8"/>
  <c r="M261" i="8"/>
  <c r="H261" i="8"/>
  <c r="G261" i="8"/>
  <c r="D261" i="8"/>
  <c r="C261" i="8"/>
  <c r="B261" i="8"/>
  <c r="P260" i="8"/>
  <c r="O260" i="8"/>
  <c r="N260" i="8"/>
  <c r="M260" i="8"/>
  <c r="H260" i="8"/>
  <c r="G260" i="8"/>
  <c r="D260" i="8"/>
  <c r="C260" i="8"/>
  <c r="B260" i="8"/>
  <c r="P259" i="8"/>
  <c r="O259" i="8"/>
  <c r="N259" i="8"/>
  <c r="M259" i="8"/>
  <c r="H259" i="8"/>
  <c r="G259" i="8"/>
  <c r="D259" i="8"/>
  <c r="C259" i="8"/>
  <c r="B259" i="8"/>
  <c r="P258" i="8"/>
  <c r="O258" i="8"/>
  <c r="N258" i="8"/>
  <c r="M258" i="8"/>
  <c r="H258" i="8"/>
  <c r="G258" i="8"/>
  <c r="D258" i="8"/>
  <c r="C258" i="8"/>
  <c r="B258" i="8"/>
  <c r="P257" i="8"/>
  <c r="O257" i="8"/>
  <c r="N257" i="8"/>
  <c r="M257" i="8"/>
  <c r="H257" i="8"/>
  <c r="G257" i="8"/>
  <c r="D257" i="8"/>
  <c r="C257" i="8"/>
  <c r="B257" i="8"/>
  <c r="P256" i="8"/>
  <c r="O256" i="8"/>
  <c r="N256" i="8"/>
  <c r="M256" i="8"/>
  <c r="H256" i="8"/>
  <c r="G256" i="8"/>
  <c r="D256" i="8"/>
  <c r="C256" i="8"/>
  <c r="B256" i="8"/>
  <c r="P255" i="8"/>
  <c r="O255" i="8"/>
  <c r="N255" i="8"/>
  <c r="M255" i="8"/>
  <c r="H255" i="8"/>
  <c r="G255" i="8"/>
  <c r="D255" i="8"/>
  <c r="C255" i="8"/>
  <c r="B255" i="8"/>
  <c r="P254" i="8"/>
  <c r="O254" i="8"/>
  <c r="N254" i="8"/>
  <c r="M254" i="8"/>
  <c r="H254" i="8"/>
  <c r="G254" i="8"/>
  <c r="D254" i="8"/>
  <c r="C254" i="8"/>
  <c r="B254" i="8"/>
  <c r="P253" i="8"/>
  <c r="O253" i="8"/>
  <c r="N253" i="8"/>
  <c r="M253" i="8"/>
  <c r="H253" i="8"/>
  <c r="G253" i="8"/>
  <c r="D253" i="8"/>
  <c r="C253" i="8"/>
  <c r="B253" i="8"/>
  <c r="P252" i="8"/>
  <c r="O252" i="8"/>
  <c r="N252" i="8"/>
  <c r="M252" i="8"/>
  <c r="H252" i="8"/>
  <c r="G252" i="8"/>
  <c r="D252" i="8"/>
  <c r="C252" i="8"/>
  <c r="B252" i="8"/>
  <c r="P251" i="8"/>
  <c r="O251" i="8"/>
  <c r="N251" i="8"/>
  <c r="M251" i="8"/>
  <c r="H251" i="8"/>
  <c r="G251" i="8"/>
  <c r="D251" i="8"/>
  <c r="C251" i="8"/>
  <c r="B251" i="8"/>
  <c r="P250" i="8"/>
  <c r="O250" i="8"/>
  <c r="N250" i="8"/>
  <c r="M250" i="8"/>
  <c r="H250" i="8"/>
  <c r="G250" i="8"/>
  <c r="D250" i="8"/>
  <c r="C250" i="8"/>
  <c r="B250" i="8"/>
  <c r="P249" i="8"/>
  <c r="O249" i="8"/>
  <c r="N249" i="8"/>
  <c r="M249" i="8"/>
  <c r="H249" i="8"/>
  <c r="G249" i="8"/>
  <c r="D249" i="8"/>
  <c r="C249" i="8"/>
  <c r="B249" i="8"/>
  <c r="P248" i="8"/>
  <c r="O248" i="8"/>
  <c r="N248" i="8"/>
  <c r="M248" i="8"/>
  <c r="H248" i="8"/>
  <c r="G248" i="8"/>
  <c r="D248" i="8"/>
  <c r="C248" i="8"/>
  <c r="B248" i="8"/>
  <c r="P247" i="8"/>
  <c r="O247" i="8"/>
  <c r="N247" i="8"/>
  <c r="M247" i="8"/>
  <c r="H247" i="8"/>
  <c r="G247" i="8"/>
  <c r="D247" i="8"/>
  <c r="C247" i="8"/>
  <c r="B247" i="8"/>
  <c r="P246" i="8"/>
  <c r="O246" i="8"/>
  <c r="N246" i="8"/>
  <c r="M246" i="8"/>
  <c r="H246" i="8"/>
  <c r="G246" i="8"/>
  <c r="D246" i="8"/>
  <c r="C246" i="8"/>
  <c r="B246" i="8"/>
  <c r="P245" i="8"/>
  <c r="O245" i="8"/>
  <c r="N245" i="8"/>
  <c r="M245" i="8"/>
  <c r="H245" i="8"/>
  <c r="G245" i="8"/>
  <c r="D245" i="8"/>
  <c r="C245" i="8"/>
  <c r="B245" i="8"/>
  <c r="P244" i="8"/>
  <c r="O244" i="8"/>
  <c r="N244" i="8"/>
  <c r="M244" i="8"/>
  <c r="H244" i="8"/>
  <c r="G244" i="8"/>
  <c r="D244" i="8"/>
  <c r="C244" i="8"/>
  <c r="B244" i="8"/>
  <c r="P243" i="8"/>
  <c r="O243" i="8"/>
  <c r="N243" i="8"/>
  <c r="M243" i="8"/>
  <c r="H243" i="8"/>
  <c r="G243" i="8"/>
  <c r="D243" i="8"/>
  <c r="C243" i="8"/>
  <c r="B243" i="8"/>
  <c r="P242" i="8"/>
  <c r="O242" i="8"/>
  <c r="N242" i="8"/>
  <c r="M242" i="8"/>
  <c r="H242" i="8"/>
  <c r="G242" i="8"/>
  <c r="D242" i="8"/>
  <c r="C242" i="8"/>
  <c r="B242" i="8"/>
  <c r="P241" i="8"/>
  <c r="O241" i="8"/>
  <c r="N241" i="8"/>
  <c r="M241" i="8"/>
  <c r="H241" i="8"/>
  <c r="G241" i="8"/>
  <c r="D241" i="8"/>
  <c r="C241" i="8"/>
  <c r="B241" i="8"/>
  <c r="P240" i="8"/>
  <c r="O240" i="8"/>
  <c r="N240" i="8"/>
  <c r="M240" i="8"/>
  <c r="H240" i="8"/>
  <c r="G240" i="8"/>
  <c r="D240" i="8"/>
  <c r="C240" i="8"/>
  <c r="B240" i="8"/>
  <c r="P239" i="8"/>
  <c r="O239" i="8"/>
  <c r="N239" i="8"/>
  <c r="M239" i="8"/>
  <c r="H239" i="8"/>
  <c r="G239" i="8"/>
  <c r="D239" i="8"/>
  <c r="C239" i="8"/>
  <c r="B239" i="8"/>
  <c r="P238" i="8"/>
  <c r="O238" i="8"/>
  <c r="N238" i="8"/>
  <c r="M238" i="8"/>
  <c r="H238" i="8"/>
  <c r="G238" i="8"/>
  <c r="D238" i="8"/>
  <c r="C238" i="8"/>
  <c r="B238" i="8"/>
  <c r="P237" i="8"/>
  <c r="O237" i="8"/>
  <c r="N237" i="8"/>
  <c r="M237" i="8"/>
  <c r="H237" i="8"/>
  <c r="G237" i="8"/>
  <c r="D237" i="8"/>
  <c r="C237" i="8"/>
  <c r="B237" i="8"/>
  <c r="P236" i="8"/>
  <c r="O236" i="8"/>
  <c r="N236" i="8"/>
  <c r="M236" i="8"/>
  <c r="H236" i="8"/>
  <c r="G236" i="8"/>
  <c r="D236" i="8"/>
  <c r="C236" i="8"/>
  <c r="B236" i="8"/>
  <c r="P235" i="8"/>
  <c r="O235" i="8"/>
  <c r="N235" i="8"/>
  <c r="M235" i="8"/>
  <c r="H235" i="8"/>
  <c r="G235" i="8"/>
  <c r="D235" i="8"/>
  <c r="C235" i="8"/>
  <c r="B235" i="8"/>
  <c r="P234" i="8"/>
  <c r="O234" i="8"/>
  <c r="N234" i="8"/>
  <c r="M234" i="8"/>
  <c r="H234" i="8"/>
  <c r="G234" i="8"/>
  <c r="D234" i="8"/>
  <c r="C234" i="8"/>
  <c r="B234" i="8"/>
  <c r="P233" i="8"/>
  <c r="O233" i="8"/>
  <c r="N233" i="8"/>
  <c r="M233" i="8"/>
  <c r="H233" i="8"/>
  <c r="G233" i="8"/>
  <c r="D233" i="8"/>
  <c r="C233" i="8"/>
  <c r="B233" i="8"/>
  <c r="P232" i="8"/>
  <c r="O232" i="8"/>
  <c r="N232" i="8"/>
  <c r="M232" i="8"/>
  <c r="H232" i="8"/>
  <c r="G232" i="8"/>
  <c r="D232" i="8"/>
  <c r="C232" i="8"/>
  <c r="B232" i="8"/>
  <c r="P231" i="8"/>
  <c r="O231" i="8"/>
  <c r="N231" i="8"/>
  <c r="M231" i="8"/>
  <c r="H231" i="8"/>
  <c r="G231" i="8"/>
  <c r="D231" i="8"/>
  <c r="C231" i="8"/>
  <c r="B231" i="8"/>
  <c r="P230" i="8"/>
  <c r="O230" i="8"/>
  <c r="N230" i="8"/>
  <c r="M230" i="8"/>
  <c r="H230" i="8"/>
  <c r="G230" i="8"/>
  <c r="D230" i="8"/>
  <c r="C230" i="8"/>
  <c r="B230" i="8"/>
  <c r="P229" i="8"/>
  <c r="O229" i="8"/>
  <c r="N229" i="8"/>
  <c r="M229" i="8"/>
  <c r="H229" i="8"/>
  <c r="G229" i="8"/>
  <c r="D229" i="8"/>
  <c r="C229" i="8"/>
  <c r="B229" i="8"/>
  <c r="P228" i="8"/>
  <c r="O228" i="8"/>
  <c r="N228" i="8"/>
  <c r="M228" i="8"/>
  <c r="H228" i="8"/>
  <c r="G228" i="8"/>
  <c r="D228" i="8"/>
  <c r="C228" i="8"/>
  <c r="B228" i="8"/>
  <c r="P227" i="8"/>
  <c r="O227" i="8"/>
  <c r="N227" i="8"/>
  <c r="M227" i="8"/>
  <c r="H227" i="8"/>
  <c r="G227" i="8"/>
  <c r="D227" i="8"/>
  <c r="C227" i="8"/>
  <c r="B227" i="8"/>
  <c r="P226" i="8"/>
  <c r="O226" i="8"/>
  <c r="N226" i="8"/>
  <c r="M226" i="8"/>
  <c r="H226" i="8"/>
  <c r="G226" i="8"/>
  <c r="D226" i="8"/>
  <c r="C226" i="8"/>
  <c r="B226" i="8"/>
  <c r="P225" i="8"/>
  <c r="O225" i="8"/>
  <c r="N225" i="8"/>
  <c r="M225" i="8"/>
  <c r="H225" i="8"/>
  <c r="G225" i="8"/>
  <c r="D225" i="8"/>
  <c r="C225" i="8"/>
  <c r="B225" i="8"/>
  <c r="P224" i="8"/>
  <c r="O224" i="8"/>
  <c r="N224" i="8"/>
  <c r="M224" i="8"/>
  <c r="H224" i="8"/>
  <c r="G224" i="8"/>
  <c r="D224" i="8"/>
  <c r="C224" i="8"/>
  <c r="B224" i="8"/>
  <c r="P223" i="8"/>
  <c r="O223" i="8"/>
  <c r="N223" i="8"/>
  <c r="M223" i="8"/>
  <c r="H223" i="8"/>
  <c r="G223" i="8"/>
  <c r="D223" i="8"/>
  <c r="C223" i="8"/>
  <c r="B223" i="8"/>
  <c r="P222" i="8"/>
  <c r="O222" i="8"/>
  <c r="N222" i="8"/>
  <c r="M222" i="8"/>
  <c r="H222" i="8"/>
  <c r="G222" i="8"/>
  <c r="D222" i="8"/>
  <c r="C222" i="8"/>
  <c r="B222" i="8"/>
  <c r="P221" i="8"/>
  <c r="O221" i="8"/>
  <c r="N221" i="8"/>
  <c r="M221" i="8"/>
  <c r="H221" i="8"/>
  <c r="G221" i="8"/>
  <c r="D221" i="8"/>
  <c r="C221" i="8"/>
  <c r="B221" i="8"/>
  <c r="P220" i="8"/>
  <c r="O220" i="8"/>
  <c r="N220" i="8"/>
  <c r="M220" i="8"/>
  <c r="H220" i="8"/>
  <c r="G220" i="8"/>
  <c r="D220" i="8"/>
  <c r="C220" i="8"/>
  <c r="B220" i="8"/>
  <c r="P219" i="8"/>
  <c r="O219" i="8"/>
  <c r="N219" i="8"/>
  <c r="M219" i="8"/>
  <c r="H219" i="8"/>
  <c r="G219" i="8"/>
  <c r="D219" i="8"/>
  <c r="C219" i="8"/>
  <c r="B219" i="8"/>
  <c r="P218" i="8"/>
  <c r="O218" i="8"/>
  <c r="N218" i="8"/>
  <c r="M218" i="8"/>
  <c r="H218" i="8"/>
  <c r="G218" i="8"/>
  <c r="D218" i="8"/>
  <c r="C218" i="8"/>
  <c r="B218" i="8"/>
  <c r="P217" i="8"/>
  <c r="O217" i="8"/>
  <c r="N217" i="8"/>
  <c r="M217" i="8"/>
  <c r="H217" i="8"/>
  <c r="G217" i="8"/>
  <c r="D217" i="8"/>
  <c r="C217" i="8"/>
  <c r="B217" i="8"/>
  <c r="P216" i="8"/>
  <c r="O216" i="8"/>
  <c r="N216" i="8"/>
  <c r="M216" i="8"/>
  <c r="H216" i="8"/>
  <c r="G216" i="8"/>
  <c r="D216" i="8"/>
  <c r="C216" i="8"/>
  <c r="B216" i="8"/>
  <c r="P215" i="8"/>
  <c r="O215" i="8"/>
  <c r="N215" i="8"/>
  <c r="M215" i="8"/>
  <c r="H215" i="8"/>
  <c r="G215" i="8"/>
  <c r="D215" i="8"/>
  <c r="C215" i="8"/>
  <c r="B215" i="8"/>
  <c r="P214" i="8"/>
  <c r="O214" i="8"/>
  <c r="N214" i="8"/>
  <c r="M214" i="8"/>
  <c r="H214" i="8"/>
  <c r="G214" i="8"/>
  <c r="D214" i="8"/>
  <c r="C214" i="8"/>
  <c r="B214" i="8"/>
  <c r="P213" i="8"/>
  <c r="O213" i="8"/>
  <c r="N213" i="8"/>
  <c r="M213" i="8"/>
  <c r="H213" i="8"/>
  <c r="G213" i="8"/>
  <c r="D213" i="8"/>
  <c r="C213" i="8"/>
  <c r="B213" i="8"/>
  <c r="P212" i="8"/>
  <c r="O212" i="8"/>
  <c r="N212" i="8"/>
  <c r="M212" i="8"/>
  <c r="H212" i="8"/>
  <c r="G212" i="8"/>
  <c r="D212" i="8"/>
  <c r="C212" i="8"/>
  <c r="B212" i="8"/>
  <c r="P211" i="8"/>
  <c r="O211" i="8"/>
  <c r="N211" i="8"/>
  <c r="M211" i="8"/>
  <c r="H211" i="8"/>
  <c r="G211" i="8"/>
  <c r="D211" i="8"/>
  <c r="C211" i="8"/>
  <c r="B211" i="8"/>
  <c r="P210" i="8"/>
  <c r="O210" i="8"/>
  <c r="N210" i="8"/>
  <c r="M210" i="8"/>
  <c r="H210" i="8"/>
  <c r="G210" i="8"/>
  <c r="D210" i="8"/>
  <c r="C210" i="8"/>
  <c r="B210" i="8"/>
  <c r="P209" i="8"/>
  <c r="O209" i="8"/>
  <c r="N209" i="8"/>
  <c r="M209" i="8"/>
  <c r="H209" i="8"/>
  <c r="G209" i="8"/>
  <c r="D209" i="8"/>
  <c r="C209" i="8"/>
  <c r="B209" i="8"/>
  <c r="P208" i="8"/>
  <c r="O208" i="8"/>
  <c r="N208" i="8"/>
  <c r="M208" i="8"/>
  <c r="H208" i="8"/>
  <c r="G208" i="8"/>
  <c r="D208" i="8"/>
  <c r="C208" i="8"/>
  <c r="B208" i="8"/>
  <c r="P207" i="8"/>
  <c r="O207" i="8"/>
  <c r="N207" i="8"/>
  <c r="M207" i="8"/>
  <c r="H207" i="8"/>
  <c r="G207" i="8"/>
  <c r="D207" i="8"/>
  <c r="C207" i="8"/>
  <c r="B207" i="8"/>
  <c r="P206" i="8"/>
  <c r="O206" i="8"/>
  <c r="N206" i="8"/>
  <c r="M206" i="8"/>
  <c r="H206" i="8"/>
  <c r="G206" i="8"/>
  <c r="D206" i="8"/>
  <c r="C206" i="8"/>
  <c r="B206" i="8"/>
  <c r="P205" i="8"/>
  <c r="O205" i="8"/>
  <c r="N205" i="8"/>
  <c r="M205" i="8"/>
  <c r="H205" i="8"/>
  <c r="G205" i="8"/>
  <c r="D205" i="8"/>
  <c r="C205" i="8"/>
  <c r="B205" i="8"/>
  <c r="P204" i="8"/>
  <c r="O204" i="8"/>
  <c r="N204" i="8"/>
  <c r="M204" i="8"/>
  <c r="H204" i="8"/>
  <c r="G204" i="8"/>
  <c r="D204" i="8"/>
  <c r="C204" i="8"/>
  <c r="B204" i="8"/>
  <c r="P203" i="8"/>
  <c r="O203" i="8"/>
  <c r="N203" i="8"/>
  <c r="M203" i="8"/>
  <c r="H203" i="8"/>
  <c r="G203" i="8"/>
  <c r="D203" i="8"/>
  <c r="C203" i="8"/>
  <c r="B203" i="8"/>
  <c r="P202" i="8"/>
  <c r="O202" i="8"/>
  <c r="N202" i="8"/>
  <c r="M202" i="8"/>
  <c r="H202" i="8"/>
  <c r="G202" i="8"/>
  <c r="D202" i="8"/>
  <c r="C202" i="8"/>
  <c r="B202" i="8"/>
  <c r="P201" i="8"/>
  <c r="O201" i="8"/>
  <c r="N201" i="8"/>
  <c r="M201" i="8"/>
  <c r="H201" i="8"/>
  <c r="G201" i="8"/>
  <c r="D201" i="8"/>
  <c r="C201" i="8"/>
  <c r="B201" i="8"/>
  <c r="P200" i="8"/>
  <c r="O200" i="8"/>
  <c r="N200" i="8"/>
  <c r="M200" i="8"/>
  <c r="H200" i="8"/>
  <c r="G200" i="8"/>
  <c r="D200" i="8"/>
  <c r="C200" i="8"/>
  <c r="B200" i="8"/>
  <c r="P199" i="8"/>
  <c r="O199" i="8"/>
  <c r="N199" i="8"/>
  <c r="M199" i="8"/>
  <c r="H199" i="8"/>
  <c r="G199" i="8"/>
  <c r="D199" i="8"/>
  <c r="C199" i="8"/>
  <c r="B199" i="8"/>
  <c r="P198" i="8"/>
  <c r="O198" i="8"/>
  <c r="N198" i="8"/>
  <c r="M198" i="8"/>
  <c r="H198" i="8"/>
  <c r="G198" i="8"/>
  <c r="D198" i="8"/>
  <c r="C198" i="8"/>
  <c r="B198" i="8"/>
  <c r="P197" i="8"/>
  <c r="O197" i="8"/>
  <c r="N197" i="8"/>
  <c r="M197" i="8"/>
  <c r="H197" i="8"/>
  <c r="G197" i="8"/>
  <c r="D197" i="8"/>
  <c r="C197" i="8"/>
  <c r="B197" i="8"/>
  <c r="P196" i="8"/>
  <c r="O196" i="8"/>
  <c r="N196" i="8"/>
  <c r="M196" i="8"/>
  <c r="H196" i="8"/>
  <c r="G196" i="8"/>
  <c r="D196" i="8"/>
  <c r="C196" i="8"/>
  <c r="B196" i="8"/>
  <c r="P195" i="8"/>
  <c r="O195" i="8"/>
  <c r="N195" i="8"/>
  <c r="M195" i="8"/>
  <c r="H195" i="8"/>
  <c r="G195" i="8"/>
  <c r="D195" i="8"/>
  <c r="C195" i="8"/>
  <c r="B195" i="8"/>
  <c r="P194" i="8"/>
  <c r="O194" i="8"/>
  <c r="N194" i="8"/>
  <c r="M194" i="8"/>
  <c r="H194" i="8"/>
  <c r="G194" i="8"/>
  <c r="D194" i="8"/>
  <c r="C194" i="8"/>
  <c r="B194" i="8"/>
  <c r="P193" i="8"/>
  <c r="O193" i="8"/>
  <c r="N193" i="8"/>
  <c r="M193" i="8"/>
  <c r="H193" i="8"/>
  <c r="G193" i="8"/>
  <c r="D193" i="8"/>
  <c r="C193" i="8"/>
  <c r="B193" i="8"/>
  <c r="P192" i="8"/>
  <c r="O192" i="8"/>
  <c r="N192" i="8"/>
  <c r="M192" i="8"/>
  <c r="H192" i="8"/>
  <c r="G192" i="8"/>
  <c r="D192" i="8"/>
  <c r="C192" i="8"/>
  <c r="B192" i="8"/>
  <c r="P191" i="8"/>
  <c r="O191" i="8"/>
  <c r="N191" i="8"/>
  <c r="M191" i="8"/>
  <c r="H191" i="8"/>
  <c r="G191" i="8"/>
  <c r="D191" i="8"/>
  <c r="C191" i="8"/>
  <c r="B191" i="8"/>
  <c r="P190" i="8"/>
  <c r="O190" i="8"/>
  <c r="N190" i="8"/>
  <c r="M190" i="8"/>
  <c r="H190" i="8"/>
  <c r="G190" i="8"/>
  <c r="D190" i="8"/>
  <c r="C190" i="8"/>
  <c r="B190" i="8"/>
  <c r="P189" i="8"/>
  <c r="O189" i="8"/>
  <c r="N189" i="8"/>
  <c r="M189" i="8"/>
  <c r="H189" i="8"/>
  <c r="G189" i="8"/>
  <c r="D189" i="8"/>
  <c r="C189" i="8"/>
  <c r="B189" i="8"/>
  <c r="P188" i="8"/>
  <c r="O188" i="8"/>
  <c r="N188" i="8"/>
  <c r="M188" i="8"/>
  <c r="H188" i="8"/>
  <c r="G188" i="8"/>
  <c r="D188" i="8"/>
  <c r="C188" i="8"/>
  <c r="B188" i="8"/>
  <c r="P187" i="8"/>
  <c r="O187" i="8"/>
  <c r="N187" i="8"/>
  <c r="M187" i="8"/>
  <c r="H187" i="8"/>
  <c r="G187" i="8"/>
  <c r="D187" i="8"/>
  <c r="C187" i="8"/>
  <c r="B187" i="8"/>
  <c r="P186" i="8"/>
  <c r="O186" i="8"/>
  <c r="N186" i="8"/>
  <c r="M186" i="8"/>
  <c r="H186" i="8"/>
  <c r="G186" i="8"/>
  <c r="D186" i="8"/>
  <c r="C186" i="8"/>
  <c r="B186" i="8"/>
  <c r="P185" i="8"/>
  <c r="O185" i="8"/>
  <c r="N185" i="8"/>
  <c r="M185" i="8"/>
  <c r="H185" i="8"/>
  <c r="G185" i="8"/>
  <c r="D185" i="8"/>
  <c r="C185" i="8"/>
  <c r="B185" i="8"/>
  <c r="P184" i="8"/>
  <c r="O184" i="8"/>
  <c r="N184" i="8"/>
  <c r="M184" i="8"/>
  <c r="H184" i="8"/>
  <c r="G184" i="8"/>
  <c r="D184" i="8"/>
  <c r="C184" i="8"/>
  <c r="B184" i="8"/>
  <c r="P183" i="8"/>
  <c r="O183" i="8"/>
  <c r="N183" i="8"/>
  <c r="M183" i="8"/>
  <c r="H183" i="8"/>
  <c r="G183" i="8"/>
  <c r="D183" i="8"/>
  <c r="C183" i="8"/>
  <c r="B183" i="8"/>
  <c r="P182" i="8"/>
  <c r="O182" i="8"/>
  <c r="N182" i="8"/>
  <c r="M182" i="8"/>
  <c r="H182" i="8"/>
  <c r="G182" i="8"/>
  <c r="D182" i="8"/>
  <c r="C182" i="8"/>
  <c r="B182" i="8"/>
  <c r="P181" i="8"/>
  <c r="O181" i="8"/>
  <c r="N181" i="8"/>
  <c r="M181" i="8"/>
  <c r="H181" i="8"/>
  <c r="G181" i="8"/>
  <c r="D181" i="8"/>
  <c r="C181" i="8"/>
  <c r="B181" i="8"/>
  <c r="P180" i="8"/>
  <c r="O180" i="8"/>
  <c r="N180" i="8"/>
  <c r="M180" i="8"/>
  <c r="H180" i="8"/>
  <c r="G180" i="8"/>
  <c r="D180" i="8"/>
  <c r="C180" i="8"/>
  <c r="B180" i="8"/>
  <c r="P179" i="8"/>
  <c r="O179" i="8"/>
  <c r="N179" i="8"/>
  <c r="M179" i="8"/>
  <c r="H179" i="8"/>
  <c r="G179" i="8"/>
  <c r="D179" i="8"/>
  <c r="C179" i="8"/>
  <c r="B179" i="8"/>
  <c r="P178" i="8"/>
  <c r="O178" i="8"/>
  <c r="N178" i="8"/>
  <c r="M178" i="8"/>
  <c r="H178" i="8"/>
  <c r="G178" i="8"/>
  <c r="D178" i="8"/>
  <c r="C178" i="8"/>
  <c r="B178" i="8"/>
  <c r="P177" i="8"/>
  <c r="O177" i="8"/>
  <c r="N177" i="8"/>
  <c r="M177" i="8"/>
  <c r="H177" i="8"/>
  <c r="G177" i="8"/>
  <c r="D177" i="8"/>
  <c r="C177" i="8"/>
  <c r="B177" i="8"/>
  <c r="P176" i="8"/>
  <c r="O176" i="8"/>
  <c r="N176" i="8"/>
  <c r="M176" i="8"/>
  <c r="H176" i="8"/>
  <c r="G176" i="8"/>
  <c r="D176" i="8"/>
  <c r="C176" i="8"/>
  <c r="B176" i="8"/>
  <c r="P175" i="8"/>
  <c r="O175" i="8"/>
  <c r="N175" i="8"/>
  <c r="M175" i="8"/>
  <c r="H175" i="8"/>
  <c r="G175" i="8"/>
  <c r="D175" i="8"/>
  <c r="C175" i="8"/>
  <c r="B175" i="8"/>
  <c r="P174" i="8"/>
  <c r="O174" i="8"/>
  <c r="N174" i="8"/>
  <c r="M174" i="8"/>
  <c r="H174" i="8"/>
  <c r="G174" i="8"/>
  <c r="D174" i="8"/>
  <c r="C174" i="8"/>
  <c r="B174" i="8"/>
  <c r="P173" i="8"/>
  <c r="O173" i="8"/>
  <c r="N173" i="8"/>
  <c r="M173" i="8"/>
  <c r="H173" i="8"/>
  <c r="G173" i="8"/>
  <c r="D173" i="8"/>
  <c r="C173" i="8"/>
  <c r="B173" i="8"/>
  <c r="P172" i="8"/>
  <c r="O172" i="8"/>
  <c r="N172" i="8"/>
  <c r="M172" i="8"/>
  <c r="H172" i="8"/>
  <c r="G172" i="8"/>
  <c r="D172" i="8"/>
  <c r="C172" i="8"/>
  <c r="B172" i="8"/>
  <c r="P171" i="8"/>
  <c r="O171" i="8"/>
  <c r="N171" i="8"/>
  <c r="M171" i="8"/>
  <c r="H171" i="8"/>
  <c r="G171" i="8"/>
  <c r="D171" i="8"/>
  <c r="C171" i="8"/>
  <c r="B171" i="8"/>
  <c r="P170" i="8"/>
  <c r="O170" i="8"/>
  <c r="N170" i="8"/>
  <c r="M170" i="8"/>
  <c r="H170" i="8"/>
  <c r="G170" i="8"/>
  <c r="D170" i="8"/>
  <c r="C170" i="8"/>
  <c r="B170" i="8"/>
  <c r="P169" i="8"/>
  <c r="O169" i="8"/>
  <c r="N169" i="8"/>
  <c r="M169" i="8"/>
  <c r="H169" i="8"/>
  <c r="G169" i="8"/>
  <c r="D169" i="8"/>
  <c r="C169" i="8"/>
  <c r="B169" i="8"/>
  <c r="P168" i="8"/>
  <c r="O168" i="8"/>
  <c r="N168" i="8"/>
  <c r="M168" i="8"/>
  <c r="H168" i="8"/>
  <c r="G168" i="8"/>
  <c r="D168" i="8"/>
  <c r="C168" i="8"/>
  <c r="B168" i="8"/>
  <c r="P167" i="8"/>
  <c r="O167" i="8"/>
  <c r="N167" i="8"/>
  <c r="M167" i="8"/>
  <c r="H167" i="8"/>
  <c r="G167" i="8"/>
  <c r="D167" i="8"/>
  <c r="C167" i="8"/>
  <c r="B167" i="8"/>
  <c r="P166" i="8"/>
  <c r="O166" i="8"/>
  <c r="N166" i="8"/>
  <c r="M166" i="8"/>
  <c r="H166" i="8"/>
  <c r="G166" i="8"/>
  <c r="D166" i="8"/>
  <c r="C166" i="8"/>
  <c r="B166" i="8"/>
  <c r="P165" i="8"/>
  <c r="O165" i="8"/>
  <c r="N165" i="8"/>
  <c r="M165" i="8"/>
  <c r="H165" i="8"/>
  <c r="G165" i="8"/>
  <c r="D165" i="8"/>
  <c r="C165" i="8"/>
  <c r="B165" i="8"/>
  <c r="P164" i="8"/>
  <c r="O164" i="8"/>
  <c r="N164" i="8"/>
  <c r="M164" i="8"/>
  <c r="H164" i="8"/>
  <c r="G164" i="8"/>
  <c r="D164" i="8"/>
  <c r="C164" i="8"/>
  <c r="B164" i="8"/>
  <c r="P163" i="8"/>
  <c r="O163" i="8"/>
  <c r="N163" i="8"/>
  <c r="M163" i="8"/>
  <c r="H163" i="8"/>
  <c r="G163" i="8"/>
  <c r="D163" i="8"/>
  <c r="C163" i="8"/>
  <c r="B163" i="8"/>
  <c r="P162" i="8"/>
  <c r="O162" i="8"/>
  <c r="N162" i="8"/>
  <c r="M162" i="8"/>
  <c r="H162" i="8"/>
  <c r="G162" i="8"/>
  <c r="D162" i="8"/>
  <c r="C162" i="8"/>
  <c r="B162" i="8"/>
  <c r="P161" i="8"/>
  <c r="O161" i="8"/>
  <c r="N161" i="8"/>
  <c r="M161" i="8"/>
  <c r="H161" i="8"/>
  <c r="G161" i="8"/>
  <c r="D161" i="8"/>
  <c r="C161" i="8"/>
  <c r="B161" i="8"/>
  <c r="P160" i="8"/>
  <c r="O160" i="8"/>
  <c r="N160" i="8"/>
  <c r="M160" i="8"/>
  <c r="H160" i="8"/>
  <c r="G160" i="8"/>
  <c r="D160" i="8"/>
  <c r="C160" i="8"/>
  <c r="B160" i="8"/>
  <c r="P159" i="8"/>
  <c r="O159" i="8"/>
  <c r="N159" i="8"/>
  <c r="M159" i="8"/>
  <c r="H159" i="8"/>
  <c r="G159" i="8"/>
  <c r="D159" i="8"/>
  <c r="C159" i="8"/>
  <c r="B159" i="8"/>
  <c r="P158" i="8"/>
  <c r="O158" i="8"/>
  <c r="N158" i="8"/>
  <c r="M158" i="8"/>
  <c r="H158" i="8"/>
  <c r="G158" i="8"/>
  <c r="D158" i="8"/>
  <c r="C158" i="8"/>
  <c r="B158" i="8"/>
  <c r="P157" i="8"/>
  <c r="O157" i="8"/>
  <c r="N157" i="8"/>
  <c r="M157" i="8"/>
  <c r="H157" i="8"/>
  <c r="G157" i="8"/>
  <c r="D157" i="8"/>
  <c r="C157" i="8"/>
  <c r="B157" i="8"/>
  <c r="P156" i="8"/>
  <c r="O156" i="8"/>
  <c r="N156" i="8"/>
  <c r="M156" i="8"/>
  <c r="H156" i="8"/>
  <c r="G156" i="8"/>
  <c r="D156" i="8"/>
  <c r="C156" i="8"/>
  <c r="B156" i="8"/>
  <c r="P155" i="8"/>
  <c r="O155" i="8"/>
  <c r="N155" i="8"/>
  <c r="M155" i="8"/>
  <c r="H155" i="8"/>
  <c r="G155" i="8"/>
  <c r="D155" i="8"/>
  <c r="C155" i="8"/>
  <c r="B155" i="8"/>
  <c r="P154" i="8"/>
  <c r="O154" i="8"/>
  <c r="N154" i="8"/>
  <c r="M154" i="8"/>
  <c r="H154" i="8"/>
  <c r="G154" i="8"/>
  <c r="D154" i="8"/>
  <c r="C154" i="8"/>
  <c r="B154" i="8"/>
  <c r="P153" i="8"/>
  <c r="O153" i="8"/>
  <c r="N153" i="8"/>
  <c r="M153" i="8"/>
  <c r="H153" i="8"/>
  <c r="G153" i="8"/>
  <c r="D153" i="8"/>
  <c r="C153" i="8"/>
  <c r="B153" i="8"/>
  <c r="P152" i="8"/>
  <c r="O152" i="8"/>
  <c r="N152" i="8"/>
  <c r="M152" i="8"/>
  <c r="H152" i="8"/>
  <c r="G152" i="8"/>
  <c r="D152" i="8"/>
  <c r="C152" i="8"/>
  <c r="B152" i="8"/>
  <c r="P151" i="8"/>
  <c r="O151" i="8"/>
  <c r="N151" i="8"/>
  <c r="M151" i="8"/>
  <c r="H151" i="8"/>
  <c r="G151" i="8"/>
  <c r="D151" i="8"/>
  <c r="C151" i="8"/>
  <c r="B151" i="8"/>
  <c r="P150" i="8"/>
  <c r="O150" i="8"/>
  <c r="N150" i="8"/>
  <c r="M150" i="8"/>
  <c r="H150" i="8"/>
  <c r="G150" i="8"/>
  <c r="D150" i="8"/>
  <c r="C150" i="8"/>
  <c r="B150" i="8"/>
  <c r="P149" i="8"/>
  <c r="O149" i="8"/>
  <c r="N149" i="8"/>
  <c r="M149" i="8"/>
  <c r="H149" i="8"/>
  <c r="G149" i="8"/>
  <c r="D149" i="8"/>
  <c r="C149" i="8"/>
  <c r="B149" i="8"/>
  <c r="P148" i="8"/>
  <c r="O148" i="8"/>
  <c r="N148" i="8"/>
  <c r="M148" i="8"/>
  <c r="H148" i="8"/>
  <c r="G148" i="8"/>
  <c r="D148" i="8"/>
  <c r="C148" i="8"/>
  <c r="B148" i="8"/>
  <c r="P147" i="8"/>
  <c r="O147" i="8"/>
  <c r="N147" i="8"/>
  <c r="M147" i="8"/>
  <c r="H147" i="8"/>
  <c r="G147" i="8"/>
  <c r="D147" i="8"/>
  <c r="C147" i="8"/>
  <c r="B147" i="8"/>
  <c r="P146" i="8"/>
  <c r="O146" i="8"/>
  <c r="N146" i="8"/>
  <c r="M146" i="8"/>
  <c r="H146" i="8"/>
  <c r="G146" i="8"/>
  <c r="D146" i="8"/>
  <c r="C146" i="8"/>
  <c r="B146" i="8"/>
  <c r="P145" i="8"/>
  <c r="O145" i="8"/>
  <c r="N145" i="8"/>
  <c r="M145" i="8"/>
  <c r="H145" i="8"/>
  <c r="G145" i="8"/>
  <c r="D145" i="8"/>
  <c r="C145" i="8"/>
  <c r="B145" i="8"/>
  <c r="P144" i="8"/>
  <c r="O144" i="8"/>
  <c r="N144" i="8"/>
  <c r="M144" i="8"/>
  <c r="H144" i="8"/>
  <c r="G144" i="8"/>
  <c r="D144" i="8"/>
  <c r="C144" i="8"/>
  <c r="B144" i="8"/>
  <c r="P143" i="8"/>
  <c r="O143" i="8"/>
  <c r="N143" i="8"/>
  <c r="M143" i="8"/>
  <c r="H143" i="8"/>
  <c r="G143" i="8"/>
  <c r="D143" i="8"/>
  <c r="C143" i="8"/>
  <c r="B143" i="8"/>
  <c r="P142" i="8"/>
  <c r="O142" i="8"/>
  <c r="N142" i="8"/>
  <c r="M142" i="8"/>
  <c r="H142" i="8"/>
  <c r="G142" i="8"/>
  <c r="D142" i="8"/>
  <c r="C142" i="8"/>
  <c r="B142" i="8"/>
  <c r="P141" i="8"/>
  <c r="O141" i="8"/>
  <c r="N141" i="8"/>
  <c r="M141" i="8"/>
  <c r="H141" i="8"/>
  <c r="G141" i="8"/>
  <c r="D141" i="8"/>
  <c r="C141" i="8"/>
  <c r="B141" i="8"/>
  <c r="P140" i="8"/>
  <c r="O140" i="8"/>
  <c r="N140" i="8"/>
  <c r="M140" i="8"/>
  <c r="H140" i="8"/>
  <c r="G140" i="8"/>
  <c r="D140" i="8"/>
  <c r="C140" i="8"/>
  <c r="B140" i="8"/>
  <c r="P139" i="8"/>
  <c r="O139" i="8"/>
  <c r="N139" i="8"/>
  <c r="M139" i="8"/>
  <c r="H139" i="8"/>
  <c r="G139" i="8"/>
  <c r="D139" i="8"/>
  <c r="C139" i="8"/>
  <c r="B139" i="8"/>
  <c r="P138" i="8"/>
  <c r="O138" i="8"/>
  <c r="N138" i="8"/>
  <c r="M138" i="8"/>
  <c r="H138" i="8"/>
  <c r="G138" i="8"/>
  <c r="D138" i="8"/>
  <c r="C138" i="8"/>
  <c r="B138" i="8"/>
  <c r="P137" i="8"/>
  <c r="O137" i="8"/>
  <c r="N137" i="8"/>
  <c r="M137" i="8"/>
  <c r="H137" i="8"/>
  <c r="G137" i="8"/>
  <c r="D137" i="8"/>
  <c r="C137" i="8"/>
  <c r="B137" i="8"/>
  <c r="P136" i="8"/>
  <c r="O136" i="8"/>
  <c r="N136" i="8"/>
  <c r="M136" i="8"/>
  <c r="H136" i="8"/>
  <c r="G136" i="8"/>
  <c r="D136" i="8"/>
  <c r="C136" i="8"/>
  <c r="B136" i="8"/>
  <c r="P135" i="8"/>
  <c r="O135" i="8"/>
  <c r="N135" i="8"/>
  <c r="M135" i="8"/>
  <c r="H135" i="8"/>
  <c r="G135" i="8"/>
  <c r="D135" i="8"/>
  <c r="C135" i="8"/>
  <c r="B135" i="8"/>
  <c r="P134" i="8"/>
  <c r="O134" i="8"/>
  <c r="N134" i="8"/>
  <c r="M134" i="8"/>
  <c r="H134" i="8"/>
  <c r="G134" i="8"/>
  <c r="D134" i="8"/>
  <c r="C134" i="8"/>
  <c r="B134" i="8"/>
  <c r="P133" i="8"/>
  <c r="O133" i="8"/>
  <c r="N133" i="8"/>
  <c r="M133" i="8"/>
  <c r="H133" i="8"/>
  <c r="G133" i="8"/>
  <c r="D133" i="8"/>
  <c r="C133" i="8"/>
  <c r="B133" i="8"/>
  <c r="P132" i="8"/>
  <c r="O132" i="8"/>
  <c r="N132" i="8"/>
  <c r="M132" i="8"/>
  <c r="H132" i="8"/>
  <c r="G132" i="8"/>
  <c r="D132" i="8"/>
  <c r="C132" i="8"/>
  <c r="B132" i="8"/>
  <c r="P131" i="8"/>
  <c r="O131" i="8"/>
  <c r="N131" i="8"/>
  <c r="M131" i="8"/>
  <c r="H131" i="8"/>
  <c r="G131" i="8"/>
  <c r="D131" i="8"/>
  <c r="C131" i="8"/>
  <c r="B131" i="8"/>
  <c r="P130" i="8"/>
  <c r="O130" i="8"/>
  <c r="N130" i="8"/>
  <c r="M130" i="8"/>
  <c r="H130" i="8"/>
  <c r="G130" i="8"/>
  <c r="D130" i="8"/>
  <c r="C130" i="8"/>
  <c r="B130" i="8"/>
  <c r="P129" i="8"/>
  <c r="O129" i="8"/>
  <c r="N129" i="8"/>
  <c r="M129" i="8"/>
  <c r="H129" i="8"/>
  <c r="G129" i="8"/>
  <c r="D129" i="8"/>
  <c r="C129" i="8"/>
  <c r="B129" i="8"/>
  <c r="P128" i="8"/>
  <c r="O128" i="8"/>
  <c r="N128" i="8"/>
  <c r="M128" i="8"/>
  <c r="H128" i="8"/>
  <c r="G128" i="8"/>
  <c r="D128" i="8"/>
  <c r="C128" i="8"/>
  <c r="B128" i="8"/>
  <c r="P127" i="8"/>
  <c r="O127" i="8"/>
  <c r="N127" i="8"/>
  <c r="M127" i="8"/>
  <c r="H127" i="8"/>
  <c r="G127" i="8"/>
  <c r="D127" i="8"/>
  <c r="C127" i="8"/>
  <c r="B127" i="8"/>
  <c r="P126" i="8"/>
  <c r="O126" i="8"/>
  <c r="N126" i="8"/>
  <c r="M126" i="8"/>
  <c r="H126" i="8"/>
  <c r="G126" i="8"/>
  <c r="D126" i="8"/>
  <c r="C126" i="8"/>
  <c r="B126" i="8"/>
  <c r="P125" i="8"/>
  <c r="O125" i="8"/>
  <c r="N125" i="8"/>
  <c r="M125" i="8"/>
  <c r="H125" i="8"/>
  <c r="G125" i="8"/>
  <c r="D125" i="8"/>
  <c r="C125" i="8"/>
  <c r="B125" i="8"/>
  <c r="P124" i="8"/>
  <c r="O124" i="8"/>
  <c r="N124" i="8"/>
  <c r="M124" i="8"/>
  <c r="H124" i="8"/>
  <c r="G124" i="8"/>
  <c r="D124" i="8"/>
  <c r="C124" i="8"/>
  <c r="B124" i="8"/>
  <c r="P123" i="8"/>
  <c r="O123" i="8"/>
  <c r="N123" i="8"/>
  <c r="M123" i="8"/>
  <c r="H123" i="8"/>
  <c r="G123" i="8"/>
  <c r="D123" i="8"/>
  <c r="C123" i="8"/>
  <c r="B123" i="8"/>
  <c r="P122" i="8"/>
  <c r="O122" i="8"/>
  <c r="N122" i="8"/>
  <c r="M122" i="8"/>
  <c r="H122" i="8"/>
  <c r="G122" i="8"/>
  <c r="D122" i="8"/>
  <c r="C122" i="8"/>
  <c r="B122" i="8"/>
  <c r="P121" i="8"/>
  <c r="O121" i="8"/>
  <c r="N121" i="8"/>
  <c r="M121" i="8"/>
  <c r="H121" i="8"/>
  <c r="G121" i="8"/>
  <c r="D121" i="8"/>
  <c r="C121" i="8"/>
  <c r="B121" i="8"/>
  <c r="P120" i="8"/>
  <c r="O120" i="8"/>
  <c r="N120" i="8"/>
  <c r="M120" i="8"/>
  <c r="H120" i="8"/>
  <c r="G120" i="8"/>
  <c r="D120" i="8"/>
  <c r="C120" i="8"/>
  <c r="B120" i="8"/>
  <c r="P119" i="8"/>
  <c r="O119" i="8"/>
  <c r="N119" i="8"/>
  <c r="M119" i="8"/>
  <c r="H119" i="8"/>
  <c r="G119" i="8"/>
  <c r="D119" i="8"/>
  <c r="C119" i="8"/>
  <c r="B119" i="8"/>
  <c r="P118" i="8"/>
  <c r="O118" i="8"/>
  <c r="N118" i="8"/>
  <c r="M118" i="8"/>
  <c r="H118" i="8"/>
  <c r="G118" i="8"/>
  <c r="D118" i="8"/>
  <c r="C118" i="8"/>
  <c r="B118" i="8"/>
  <c r="P117" i="8"/>
  <c r="O117" i="8"/>
  <c r="N117" i="8"/>
  <c r="M117" i="8"/>
  <c r="H117" i="8"/>
  <c r="G117" i="8"/>
  <c r="D117" i="8"/>
  <c r="C117" i="8"/>
  <c r="B117" i="8"/>
  <c r="P116" i="8"/>
  <c r="O116" i="8"/>
  <c r="N116" i="8"/>
  <c r="M116" i="8"/>
  <c r="H116" i="8"/>
  <c r="G116" i="8"/>
  <c r="D116" i="8"/>
  <c r="C116" i="8"/>
  <c r="B116" i="8"/>
  <c r="P115" i="8"/>
  <c r="O115" i="8"/>
  <c r="N115" i="8"/>
  <c r="M115" i="8"/>
  <c r="H115" i="8"/>
  <c r="G115" i="8"/>
  <c r="D115" i="8"/>
  <c r="C115" i="8"/>
  <c r="B115" i="8"/>
  <c r="P114" i="8"/>
  <c r="O114" i="8"/>
  <c r="N114" i="8"/>
  <c r="M114" i="8"/>
  <c r="H114" i="8"/>
  <c r="G114" i="8"/>
  <c r="D114" i="8"/>
  <c r="C114" i="8"/>
  <c r="B114" i="8"/>
  <c r="P113" i="8"/>
  <c r="O113" i="8"/>
  <c r="N113" i="8"/>
  <c r="M113" i="8"/>
  <c r="H113" i="8"/>
  <c r="G113" i="8"/>
  <c r="D113" i="8"/>
  <c r="C113" i="8"/>
  <c r="B113" i="8"/>
  <c r="P112" i="8"/>
  <c r="O112" i="8"/>
  <c r="N112" i="8"/>
  <c r="M112" i="8"/>
  <c r="H112" i="8"/>
  <c r="G112" i="8"/>
  <c r="D112" i="8"/>
  <c r="C112" i="8"/>
  <c r="B112" i="8"/>
  <c r="P111" i="8"/>
  <c r="O111" i="8"/>
  <c r="N111" i="8"/>
  <c r="M111" i="8"/>
  <c r="H111" i="8"/>
  <c r="G111" i="8"/>
  <c r="D111" i="8"/>
  <c r="C111" i="8"/>
  <c r="B111" i="8"/>
  <c r="P110" i="8"/>
  <c r="O110" i="8"/>
  <c r="N110" i="8"/>
  <c r="M110" i="8"/>
  <c r="H110" i="8"/>
  <c r="G110" i="8"/>
  <c r="D110" i="8"/>
  <c r="C110" i="8"/>
  <c r="B110" i="8"/>
  <c r="P109" i="8"/>
  <c r="O109" i="8"/>
  <c r="N109" i="8"/>
  <c r="M109" i="8"/>
  <c r="H109" i="8"/>
  <c r="G109" i="8"/>
  <c r="D109" i="8"/>
  <c r="C109" i="8"/>
  <c r="B109" i="8"/>
  <c r="P108" i="8"/>
  <c r="O108" i="8"/>
  <c r="N108" i="8"/>
  <c r="M108" i="8"/>
  <c r="H108" i="8"/>
  <c r="G108" i="8"/>
  <c r="D108" i="8"/>
  <c r="C108" i="8"/>
  <c r="B108" i="8"/>
  <c r="P107" i="8"/>
  <c r="O107" i="8"/>
  <c r="N107" i="8"/>
  <c r="M107" i="8"/>
  <c r="H107" i="8"/>
  <c r="G107" i="8"/>
  <c r="D107" i="8"/>
  <c r="C107" i="8"/>
  <c r="B107" i="8"/>
  <c r="P106" i="8"/>
  <c r="O106" i="8"/>
  <c r="N106" i="8"/>
  <c r="M106" i="8"/>
  <c r="H106" i="8"/>
  <c r="G106" i="8"/>
  <c r="D106" i="8"/>
  <c r="C106" i="8"/>
  <c r="B106" i="8"/>
  <c r="P105" i="8"/>
  <c r="O105" i="8"/>
  <c r="N105" i="8"/>
  <c r="M105" i="8"/>
  <c r="H105" i="8"/>
  <c r="G105" i="8"/>
  <c r="D105" i="8"/>
  <c r="C105" i="8"/>
  <c r="B105" i="8"/>
  <c r="P104" i="8"/>
  <c r="O104" i="8"/>
  <c r="N104" i="8"/>
  <c r="M104" i="8"/>
  <c r="H104" i="8"/>
  <c r="G104" i="8"/>
  <c r="D104" i="8"/>
  <c r="C104" i="8"/>
  <c r="B104" i="8"/>
  <c r="P103" i="8"/>
  <c r="O103" i="8"/>
  <c r="N103" i="8"/>
  <c r="M103" i="8"/>
  <c r="H103" i="8"/>
  <c r="G103" i="8"/>
  <c r="D103" i="8"/>
  <c r="C103" i="8"/>
  <c r="B103" i="8"/>
  <c r="P102" i="8"/>
  <c r="O102" i="8"/>
  <c r="N102" i="8"/>
  <c r="M102" i="8"/>
  <c r="H102" i="8"/>
  <c r="G102" i="8"/>
  <c r="D102" i="8"/>
  <c r="C102" i="8"/>
  <c r="B102" i="8"/>
  <c r="P101" i="8"/>
  <c r="O101" i="8"/>
  <c r="N101" i="8"/>
  <c r="M101" i="8"/>
  <c r="H101" i="8"/>
  <c r="G101" i="8"/>
  <c r="D101" i="8"/>
  <c r="C101" i="8"/>
  <c r="B101" i="8"/>
  <c r="P100" i="8"/>
  <c r="O100" i="8"/>
  <c r="N100" i="8"/>
  <c r="M100" i="8"/>
  <c r="H100" i="8"/>
  <c r="G100" i="8"/>
  <c r="D100" i="8"/>
  <c r="C100" i="8"/>
  <c r="B100" i="8"/>
  <c r="P99" i="8"/>
  <c r="O99" i="8"/>
  <c r="N99" i="8"/>
  <c r="M99" i="8"/>
  <c r="H99" i="8"/>
  <c r="G99" i="8"/>
  <c r="D99" i="8"/>
  <c r="C99" i="8"/>
  <c r="B99" i="8"/>
  <c r="P98" i="8"/>
  <c r="O98" i="8"/>
  <c r="N98" i="8"/>
  <c r="M98" i="8"/>
  <c r="H98" i="8"/>
  <c r="G98" i="8"/>
  <c r="D98" i="8"/>
  <c r="C98" i="8"/>
  <c r="B98" i="8"/>
  <c r="P97" i="8"/>
  <c r="O97" i="8"/>
  <c r="N97" i="8"/>
  <c r="M97" i="8"/>
  <c r="H97" i="8"/>
  <c r="G97" i="8"/>
  <c r="D97" i="8"/>
  <c r="C97" i="8"/>
  <c r="B97" i="8"/>
  <c r="P96" i="8"/>
  <c r="O96" i="8"/>
  <c r="N96" i="8"/>
  <c r="M96" i="8"/>
  <c r="H96" i="8"/>
  <c r="G96" i="8"/>
  <c r="D96" i="8"/>
  <c r="C96" i="8"/>
  <c r="B96" i="8"/>
  <c r="P95" i="8"/>
  <c r="O95" i="8"/>
  <c r="N95" i="8"/>
  <c r="M95" i="8"/>
  <c r="H95" i="8"/>
  <c r="G95" i="8"/>
  <c r="D95" i="8"/>
  <c r="C95" i="8"/>
  <c r="B95" i="8"/>
  <c r="P94" i="8"/>
  <c r="O94" i="8"/>
  <c r="N94" i="8"/>
  <c r="M94" i="8"/>
  <c r="H94" i="8"/>
  <c r="G94" i="8"/>
  <c r="D94" i="8"/>
  <c r="C94" i="8"/>
  <c r="B94" i="8"/>
  <c r="P93" i="8"/>
  <c r="O93" i="8"/>
  <c r="N93" i="8"/>
  <c r="M93" i="8"/>
  <c r="H93" i="8"/>
  <c r="G93" i="8"/>
  <c r="D93" i="8"/>
  <c r="C93" i="8"/>
  <c r="B93" i="8"/>
  <c r="P92" i="8"/>
  <c r="O92" i="8"/>
  <c r="N92" i="8"/>
  <c r="M92" i="8"/>
  <c r="H92" i="8"/>
  <c r="G92" i="8"/>
  <c r="D92" i="8"/>
  <c r="C92" i="8"/>
  <c r="B92" i="8"/>
  <c r="P91" i="8"/>
  <c r="O91" i="8"/>
  <c r="N91" i="8"/>
  <c r="M91" i="8"/>
  <c r="H91" i="8"/>
  <c r="G91" i="8"/>
  <c r="D91" i="8"/>
  <c r="C91" i="8"/>
  <c r="B91" i="8"/>
  <c r="P90" i="8"/>
  <c r="O90" i="8"/>
  <c r="N90" i="8"/>
  <c r="M90" i="8"/>
  <c r="H90" i="8"/>
  <c r="G90" i="8"/>
  <c r="D90" i="8"/>
  <c r="C90" i="8"/>
  <c r="B90" i="8"/>
  <c r="P89" i="8"/>
  <c r="O89" i="8"/>
  <c r="N89" i="8"/>
  <c r="M89" i="8"/>
  <c r="H89" i="8"/>
  <c r="G89" i="8"/>
  <c r="D89" i="8"/>
  <c r="C89" i="8"/>
  <c r="B89" i="8"/>
  <c r="P88" i="8"/>
  <c r="O88" i="8"/>
  <c r="N88" i="8"/>
  <c r="M88" i="8"/>
  <c r="H88" i="8"/>
  <c r="G88" i="8"/>
  <c r="D88" i="8"/>
  <c r="C88" i="8"/>
  <c r="B88" i="8"/>
  <c r="P87" i="8"/>
  <c r="O87" i="8"/>
  <c r="N87" i="8"/>
  <c r="M87" i="8"/>
  <c r="H87" i="8"/>
  <c r="G87" i="8"/>
  <c r="D87" i="8"/>
  <c r="C87" i="8"/>
  <c r="B87" i="8"/>
  <c r="P86" i="8"/>
  <c r="O86" i="8"/>
  <c r="N86" i="8"/>
  <c r="M86" i="8"/>
  <c r="H86" i="8"/>
  <c r="G86" i="8"/>
  <c r="D86" i="8"/>
  <c r="C86" i="8"/>
  <c r="B86" i="8"/>
  <c r="P85" i="8"/>
  <c r="O85" i="8"/>
  <c r="N85" i="8"/>
  <c r="M85" i="8"/>
  <c r="H85" i="8"/>
  <c r="G85" i="8"/>
  <c r="D85" i="8"/>
  <c r="C85" i="8"/>
  <c r="B85" i="8"/>
  <c r="P84" i="8"/>
  <c r="O84" i="8"/>
  <c r="N84" i="8"/>
  <c r="M84" i="8"/>
  <c r="H84" i="8"/>
  <c r="G84" i="8"/>
  <c r="D84" i="8"/>
  <c r="C84" i="8"/>
  <c r="B84" i="8"/>
  <c r="P83" i="8"/>
  <c r="O83" i="8"/>
  <c r="N83" i="8"/>
  <c r="M83" i="8"/>
  <c r="H83" i="8"/>
  <c r="G83" i="8"/>
  <c r="D83" i="8"/>
  <c r="C83" i="8"/>
  <c r="B83" i="8"/>
  <c r="P82" i="8"/>
  <c r="O82" i="8"/>
  <c r="N82" i="8"/>
  <c r="M82" i="8"/>
  <c r="H82" i="8"/>
  <c r="G82" i="8"/>
  <c r="D82" i="8"/>
  <c r="C82" i="8"/>
  <c r="B82" i="8"/>
  <c r="P81" i="8"/>
  <c r="O81" i="8"/>
  <c r="N81" i="8"/>
  <c r="M81" i="8"/>
  <c r="H81" i="8"/>
  <c r="G81" i="8"/>
  <c r="D81" i="8"/>
  <c r="C81" i="8"/>
  <c r="B81" i="8"/>
  <c r="P80" i="8"/>
  <c r="O80" i="8"/>
  <c r="N80" i="8"/>
  <c r="M80" i="8"/>
  <c r="H80" i="8"/>
  <c r="G80" i="8"/>
  <c r="D80" i="8"/>
  <c r="C80" i="8"/>
  <c r="B80" i="8"/>
  <c r="P79" i="8"/>
  <c r="O79" i="8"/>
  <c r="N79" i="8"/>
  <c r="M79" i="8"/>
  <c r="H79" i="8"/>
  <c r="G79" i="8"/>
  <c r="D79" i="8"/>
  <c r="C79" i="8"/>
  <c r="B79" i="8"/>
  <c r="P78" i="8"/>
  <c r="O78" i="8"/>
  <c r="N78" i="8"/>
  <c r="M78" i="8"/>
  <c r="H78" i="8"/>
  <c r="G78" i="8"/>
  <c r="D78" i="8"/>
  <c r="C78" i="8"/>
  <c r="B78" i="8"/>
  <c r="P77" i="8"/>
  <c r="O77" i="8"/>
  <c r="N77" i="8"/>
  <c r="M77" i="8"/>
  <c r="H77" i="8"/>
  <c r="G77" i="8"/>
  <c r="D77" i="8"/>
  <c r="C77" i="8"/>
  <c r="B77" i="8"/>
  <c r="P76" i="8"/>
  <c r="O76" i="8"/>
  <c r="N76" i="8"/>
  <c r="M76" i="8"/>
  <c r="H76" i="8"/>
  <c r="G76" i="8"/>
  <c r="D76" i="8"/>
  <c r="C76" i="8"/>
  <c r="B76" i="8"/>
  <c r="P75" i="8"/>
  <c r="O75" i="8"/>
  <c r="N75" i="8"/>
  <c r="M75" i="8"/>
  <c r="H75" i="8"/>
  <c r="G75" i="8"/>
  <c r="D75" i="8"/>
  <c r="C75" i="8"/>
  <c r="B75" i="8"/>
  <c r="P74" i="8"/>
  <c r="O74" i="8"/>
  <c r="N74" i="8"/>
  <c r="M74" i="8"/>
  <c r="H74" i="8"/>
  <c r="G74" i="8"/>
  <c r="D74" i="8"/>
  <c r="C74" i="8"/>
  <c r="B74" i="8"/>
  <c r="P73" i="8"/>
  <c r="O73" i="8"/>
  <c r="N73" i="8"/>
  <c r="M73" i="8"/>
  <c r="H73" i="8"/>
  <c r="G73" i="8"/>
  <c r="D73" i="8"/>
  <c r="C73" i="8"/>
  <c r="B73" i="8"/>
  <c r="P72" i="8"/>
  <c r="O72" i="8"/>
  <c r="N72" i="8"/>
  <c r="M72" i="8"/>
  <c r="H72" i="8"/>
  <c r="G72" i="8"/>
  <c r="D72" i="8"/>
  <c r="C72" i="8"/>
  <c r="B72" i="8"/>
  <c r="P71" i="8"/>
  <c r="O71" i="8"/>
  <c r="N71" i="8"/>
  <c r="M71" i="8"/>
  <c r="H71" i="8"/>
  <c r="G71" i="8"/>
  <c r="D71" i="8"/>
  <c r="C71" i="8"/>
  <c r="B71" i="8"/>
  <c r="P70" i="8"/>
  <c r="O70" i="8"/>
  <c r="N70" i="8"/>
  <c r="M70" i="8"/>
  <c r="H70" i="8"/>
  <c r="G70" i="8"/>
  <c r="D70" i="8"/>
  <c r="C70" i="8"/>
  <c r="B70" i="8"/>
  <c r="P69" i="8"/>
  <c r="O69" i="8"/>
  <c r="N69" i="8"/>
  <c r="M69" i="8"/>
  <c r="H69" i="8"/>
  <c r="G69" i="8"/>
  <c r="D69" i="8"/>
  <c r="C69" i="8"/>
  <c r="B69" i="8"/>
  <c r="P68" i="8"/>
  <c r="O68" i="8"/>
  <c r="N68" i="8"/>
  <c r="M68" i="8"/>
  <c r="H68" i="8"/>
  <c r="G68" i="8"/>
  <c r="D68" i="8"/>
  <c r="C68" i="8"/>
  <c r="B68" i="8"/>
  <c r="P67" i="8"/>
  <c r="O67" i="8"/>
  <c r="N67" i="8"/>
  <c r="M67" i="8"/>
  <c r="H67" i="8"/>
  <c r="G67" i="8"/>
  <c r="D67" i="8"/>
  <c r="C67" i="8"/>
  <c r="B67" i="8"/>
  <c r="P66" i="8"/>
  <c r="O66" i="8"/>
  <c r="N66" i="8"/>
  <c r="M66" i="8"/>
  <c r="H66" i="8"/>
  <c r="G66" i="8"/>
  <c r="D66" i="8"/>
  <c r="C66" i="8"/>
  <c r="B66" i="8"/>
  <c r="P65" i="8"/>
  <c r="O65" i="8"/>
  <c r="N65" i="8"/>
  <c r="M65" i="8"/>
  <c r="H65" i="8"/>
  <c r="G65" i="8"/>
  <c r="D65" i="8"/>
  <c r="C65" i="8"/>
  <c r="B65" i="8"/>
  <c r="P64" i="8"/>
  <c r="O64" i="8"/>
  <c r="N64" i="8"/>
  <c r="M64" i="8"/>
  <c r="H64" i="8"/>
  <c r="G64" i="8"/>
  <c r="D64" i="8"/>
  <c r="C64" i="8"/>
  <c r="B64" i="8"/>
  <c r="P63" i="8"/>
  <c r="O63" i="8"/>
  <c r="N63" i="8"/>
  <c r="M63" i="8"/>
  <c r="H63" i="8"/>
  <c r="G63" i="8"/>
  <c r="D63" i="8"/>
  <c r="C63" i="8"/>
  <c r="B63" i="8"/>
  <c r="P62" i="8"/>
  <c r="O62" i="8"/>
  <c r="N62" i="8"/>
  <c r="M62" i="8"/>
  <c r="H62" i="8"/>
  <c r="G62" i="8"/>
  <c r="D62" i="8"/>
  <c r="C62" i="8"/>
  <c r="B62" i="8"/>
  <c r="P61" i="8"/>
  <c r="O61" i="8"/>
  <c r="N61" i="8"/>
  <c r="M61" i="8"/>
  <c r="H61" i="8"/>
  <c r="G61" i="8"/>
  <c r="D61" i="8"/>
  <c r="C61" i="8"/>
  <c r="B61" i="8"/>
  <c r="P60" i="8"/>
  <c r="O60" i="8"/>
  <c r="N60" i="8"/>
  <c r="M60" i="8"/>
  <c r="H60" i="8"/>
  <c r="G60" i="8"/>
  <c r="D60" i="8"/>
  <c r="C60" i="8"/>
  <c r="B60" i="8"/>
  <c r="P59" i="8"/>
  <c r="O59" i="8"/>
  <c r="N59" i="8"/>
  <c r="M59" i="8"/>
  <c r="H59" i="8"/>
  <c r="G59" i="8"/>
  <c r="D59" i="8"/>
  <c r="C59" i="8"/>
  <c r="B59" i="8"/>
  <c r="P58" i="8"/>
  <c r="O58" i="8"/>
  <c r="N58" i="8"/>
  <c r="M58" i="8"/>
  <c r="H58" i="8"/>
  <c r="G58" i="8"/>
  <c r="D58" i="8"/>
  <c r="C58" i="8"/>
  <c r="B58" i="8"/>
  <c r="P57" i="8"/>
  <c r="O57" i="8"/>
  <c r="N57" i="8"/>
  <c r="M57" i="8"/>
  <c r="H57" i="8"/>
  <c r="G57" i="8"/>
  <c r="D57" i="8"/>
  <c r="C57" i="8"/>
  <c r="B57" i="8"/>
  <c r="P56" i="8"/>
  <c r="O56" i="8"/>
  <c r="N56" i="8"/>
  <c r="M56" i="8"/>
  <c r="H56" i="8"/>
  <c r="G56" i="8"/>
  <c r="D56" i="8"/>
  <c r="C56" i="8"/>
  <c r="B56" i="8"/>
  <c r="P55" i="8"/>
  <c r="O55" i="8"/>
  <c r="N55" i="8"/>
  <c r="M55" i="8"/>
  <c r="H55" i="8"/>
  <c r="G55" i="8"/>
  <c r="D55" i="8"/>
  <c r="C55" i="8"/>
  <c r="B55" i="8"/>
  <c r="P54" i="8"/>
  <c r="O54" i="8"/>
  <c r="N54" i="8"/>
  <c r="M54" i="8"/>
  <c r="H54" i="8"/>
  <c r="G54" i="8"/>
  <c r="D54" i="8"/>
  <c r="C54" i="8"/>
  <c r="B54" i="8"/>
  <c r="P53" i="8"/>
  <c r="O53" i="8"/>
  <c r="N53" i="8"/>
  <c r="M53" i="8"/>
  <c r="H53" i="8"/>
  <c r="G53" i="8"/>
  <c r="D53" i="8"/>
  <c r="C53" i="8"/>
  <c r="B53" i="8"/>
  <c r="P52" i="8"/>
  <c r="O52" i="8"/>
  <c r="N52" i="8"/>
  <c r="M52" i="8"/>
  <c r="H52" i="8"/>
  <c r="G52" i="8"/>
  <c r="D52" i="8"/>
  <c r="C52" i="8"/>
  <c r="B52" i="8"/>
  <c r="P51" i="8"/>
  <c r="O51" i="8"/>
  <c r="N51" i="8"/>
  <c r="M51" i="8"/>
  <c r="H51" i="8"/>
  <c r="G51" i="8"/>
  <c r="D51" i="8"/>
  <c r="C51" i="8"/>
  <c r="B51" i="8"/>
  <c r="P50" i="8"/>
  <c r="O50" i="8"/>
  <c r="N50" i="8"/>
  <c r="M50" i="8"/>
  <c r="H50" i="8"/>
  <c r="G50" i="8"/>
  <c r="D50" i="8"/>
  <c r="C50" i="8"/>
  <c r="B50" i="8"/>
  <c r="P49" i="8"/>
  <c r="O49" i="8"/>
  <c r="N49" i="8"/>
  <c r="M49" i="8"/>
  <c r="H49" i="8"/>
  <c r="G49" i="8"/>
  <c r="D49" i="8"/>
  <c r="C49" i="8"/>
  <c r="B49" i="8"/>
  <c r="P48" i="8"/>
  <c r="O48" i="8"/>
  <c r="N48" i="8"/>
  <c r="M48" i="8"/>
  <c r="H48" i="8"/>
  <c r="G48" i="8"/>
  <c r="D48" i="8"/>
  <c r="C48" i="8"/>
  <c r="B48" i="8"/>
  <c r="P47" i="8"/>
  <c r="O47" i="8"/>
  <c r="N47" i="8"/>
  <c r="M47" i="8"/>
  <c r="H47" i="8"/>
  <c r="G47" i="8"/>
  <c r="D47" i="8"/>
  <c r="C47" i="8"/>
  <c r="B47" i="8"/>
  <c r="P46" i="8"/>
  <c r="O46" i="8"/>
  <c r="N46" i="8"/>
  <c r="M46" i="8"/>
  <c r="H46" i="8"/>
  <c r="G46" i="8"/>
  <c r="D46" i="8"/>
  <c r="C46" i="8"/>
  <c r="B46" i="8"/>
  <c r="P45" i="8"/>
  <c r="O45" i="8"/>
  <c r="N45" i="8"/>
  <c r="M45" i="8"/>
  <c r="H45" i="8"/>
  <c r="G45" i="8"/>
  <c r="D45" i="8"/>
  <c r="C45" i="8"/>
  <c r="B45" i="8"/>
  <c r="P44" i="8"/>
  <c r="O44" i="8"/>
  <c r="N44" i="8"/>
  <c r="M44" i="8"/>
  <c r="H44" i="8"/>
  <c r="G44" i="8"/>
  <c r="D44" i="8"/>
  <c r="C44" i="8"/>
  <c r="B44" i="8"/>
  <c r="P43" i="8"/>
  <c r="O43" i="8"/>
  <c r="N43" i="8"/>
  <c r="M43" i="8"/>
  <c r="H43" i="8"/>
  <c r="G43" i="8"/>
  <c r="D43" i="8"/>
  <c r="C43" i="8"/>
  <c r="B43" i="8"/>
  <c r="P42" i="8"/>
  <c r="O42" i="8"/>
  <c r="N42" i="8"/>
  <c r="M42" i="8"/>
  <c r="H42" i="8"/>
  <c r="G42" i="8"/>
  <c r="D42" i="8"/>
  <c r="C42" i="8"/>
  <c r="B42" i="8"/>
  <c r="P41" i="8"/>
  <c r="O41" i="8"/>
  <c r="N41" i="8"/>
  <c r="M41" i="8"/>
  <c r="H41" i="8"/>
  <c r="G41" i="8"/>
  <c r="D41" i="8"/>
  <c r="C41" i="8"/>
  <c r="B41" i="8"/>
  <c r="P40" i="8"/>
  <c r="O40" i="8"/>
  <c r="N40" i="8"/>
  <c r="M40" i="8"/>
  <c r="H40" i="8"/>
  <c r="G40" i="8"/>
  <c r="D40" i="8"/>
  <c r="C40" i="8"/>
  <c r="B40" i="8"/>
  <c r="P39" i="8"/>
  <c r="O39" i="8"/>
  <c r="N39" i="8"/>
  <c r="M39" i="8"/>
  <c r="H39" i="8"/>
  <c r="G39" i="8"/>
  <c r="D39" i="8"/>
  <c r="C39" i="8"/>
  <c r="B39" i="8"/>
  <c r="P38" i="8"/>
  <c r="O38" i="8"/>
  <c r="N38" i="8"/>
  <c r="M38" i="8"/>
  <c r="H38" i="8"/>
  <c r="G38" i="8"/>
  <c r="D38" i="8"/>
  <c r="C38" i="8"/>
  <c r="B38" i="8"/>
  <c r="P37" i="8"/>
  <c r="O37" i="8"/>
  <c r="N37" i="8"/>
  <c r="M37" i="8"/>
  <c r="H37" i="8"/>
  <c r="G37" i="8"/>
  <c r="D37" i="8"/>
  <c r="C37" i="8"/>
  <c r="B37" i="8"/>
  <c r="P36" i="8"/>
  <c r="O36" i="8"/>
  <c r="N36" i="8"/>
  <c r="M36" i="8"/>
  <c r="H36" i="8"/>
  <c r="G36" i="8"/>
  <c r="D36" i="8"/>
  <c r="C36" i="8"/>
  <c r="B36" i="8"/>
  <c r="P35" i="8"/>
  <c r="O35" i="8"/>
  <c r="N35" i="8"/>
  <c r="M35" i="8"/>
  <c r="H35" i="8"/>
  <c r="G35" i="8"/>
  <c r="D35" i="8"/>
  <c r="C35" i="8"/>
  <c r="B35" i="8"/>
  <c r="P34" i="8"/>
  <c r="O34" i="8"/>
  <c r="N34" i="8"/>
  <c r="M34" i="8"/>
  <c r="H34" i="8"/>
  <c r="G34" i="8"/>
  <c r="D34" i="8"/>
  <c r="C34" i="8"/>
  <c r="B34" i="8"/>
  <c r="P33" i="8"/>
  <c r="O33" i="8"/>
  <c r="N33" i="8"/>
  <c r="M33" i="8"/>
  <c r="H33" i="8"/>
  <c r="G33" i="8"/>
  <c r="D33" i="8"/>
  <c r="C33" i="8"/>
  <c r="B33" i="8"/>
  <c r="P32" i="8"/>
  <c r="O32" i="8"/>
  <c r="N32" i="8"/>
  <c r="M32" i="8"/>
  <c r="H32" i="8"/>
  <c r="G32" i="8"/>
  <c r="D32" i="8"/>
  <c r="C32" i="8"/>
  <c r="B32" i="8"/>
  <c r="P31" i="8"/>
  <c r="O31" i="8"/>
  <c r="N31" i="8"/>
  <c r="M31" i="8"/>
  <c r="H31" i="8"/>
  <c r="G31" i="8"/>
  <c r="D31" i="8"/>
  <c r="C31" i="8"/>
  <c r="B31" i="8"/>
  <c r="P30" i="8"/>
  <c r="O30" i="8"/>
  <c r="N30" i="8"/>
  <c r="M30" i="8"/>
  <c r="H30" i="8"/>
  <c r="G30" i="8"/>
  <c r="D30" i="8"/>
  <c r="C30" i="8"/>
  <c r="B30" i="8"/>
  <c r="P29" i="8"/>
  <c r="O29" i="8"/>
  <c r="N29" i="8"/>
  <c r="M29" i="8"/>
  <c r="H29" i="8"/>
  <c r="G29" i="8"/>
  <c r="D29" i="8"/>
  <c r="C29" i="8"/>
  <c r="B29" i="8"/>
  <c r="P28" i="8"/>
  <c r="O28" i="8"/>
  <c r="N28" i="8"/>
  <c r="M28" i="8"/>
  <c r="H28" i="8"/>
  <c r="G28" i="8"/>
  <c r="D28" i="8"/>
  <c r="C28" i="8"/>
  <c r="B28" i="8"/>
  <c r="P27" i="8"/>
  <c r="O27" i="8"/>
  <c r="N27" i="8"/>
  <c r="M27" i="8"/>
  <c r="H27" i="8"/>
  <c r="G27" i="8"/>
  <c r="D27" i="8"/>
  <c r="C27" i="8"/>
  <c r="B27" i="8"/>
  <c r="P26" i="8"/>
  <c r="O26" i="8"/>
  <c r="N26" i="8"/>
  <c r="M26" i="8"/>
  <c r="H26" i="8"/>
  <c r="G26" i="8"/>
  <c r="D26" i="8"/>
  <c r="C26" i="8"/>
  <c r="B26" i="8"/>
  <c r="P25" i="8"/>
  <c r="O25" i="8"/>
  <c r="N25" i="8"/>
  <c r="M25" i="8"/>
  <c r="H25" i="8"/>
  <c r="G25" i="8"/>
  <c r="D25" i="8"/>
  <c r="C25" i="8"/>
  <c r="B25" i="8"/>
  <c r="P24" i="8"/>
  <c r="O24" i="8"/>
  <c r="N24" i="8"/>
  <c r="M24" i="8"/>
  <c r="H24" i="8"/>
  <c r="G24" i="8"/>
  <c r="D24" i="8"/>
  <c r="C24" i="8"/>
  <c r="B24" i="8"/>
  <c r="P23" i="8"/>
  <c r="O23" i="8"/>
  <c r="N23" i="8"/>
  <c r="M23" i="8"/>
  <c r="H23" i="8"/>
  <c r="G23" i="8"/>
  <c r="D23" i="8"/>
  <c r="C23" i="8"/>
  <c r="B23" i="8"/>
  <c r="P22" i="8"/>
  <c r="O22" i="8"/>
  <c r="N22" i="8"/>
  <c r="M22" i="8"/>
  <c r="H22" i="8"/>
  <c r="G22" i="8"/>
  <c r="D22" i="8"/>
  <c r="C22" i="8"/>
  <c r="B22" i="8"/>
  <c r="P21" i="8"/>
  <c r="O21" i="8"/>
  <c r="N21" i="8"/>
  <c r="M21" i="8"/>
  <c r="H21" i="8"/>
  <c r="G21" i="8"/>
  <c r="D21" i="8"/>
  <c r="C21" i="8"/>
  <c r="B21" i="8"/>
  <c r="P20" i="8"/>
  <c r="O20" i="8"/>
  <c r="N20" i="8"/>
  <c r="M20" i="8"/>
  <c r="H20" i="8"/>
  <c r="G20" i="8"/>
  <c r="D20" i="8"/>
  <c r="C20" i="8"/>
  <c r="B20" i="8"/>
  <c r="P19" i="8"/>
  <c r="O19" i="8"/>
  <c r="N19" i="8"/>
  <c r="M19" i="8"/>
  <c r="H19" i="8"/>
  <c r="G19" i="8"/>
  <c r="D19" i="8"/>
  <c r="C19" i="8"/>
  <c r="B19" i="8"/>
  <c r="P18" i="8"/>
  <c r="O18" i="8"/>
  <c r="N18" i="8"/>
  <c r="M18" i="8"/>
  <c r="H18" i="8"/>
  <c r="G18" i="8"/>
  <c r="D18" i="8"/>
  <c r="C18" i="8"/>
  <c r="B18" i="8"/>
  <c r="P17" i="8"/>
  <c r="O17" i="8"/>
  <c r="N17" i="8"/>
  <c r="M17" i="8"/>
  <c r="H17" i="8"/>
  <c r="G17" i="8"/>
  <c r="D17" i="8"/>
  <c r="C17" i="8"/>
  <c r="B17" i="8"/>
  <c r="P16" i="8"/>
  <c r="O16" i="8"/>
  <c r="N16" i="8"/>
  <c r="M16" i="8"/>
  <c r="H16" i="8"/>
  <c r="G16" i="8"/>
  <c r="D16" i="8"/>
  <c r="C16" i="8"/>
  <c r="B16" i="8"/>
  <c r="P15" i="8"/>
  <c r="O15" i="8"/>
  <c r="N15" i="8"/>
  <c r="M15" i="8"/>
  <c r="H15" i="8"/>
  <c r="G15" i="8"/>
  <c r="D15" i="8"/>
  <c r="C15" i="8"/>
  <c r="B15" i="8"/>
  <c r="P14" i="8"/>
  <c r="O14" i="8"/>
  <c r="N14" i="8"/>
  <c r="M14" i="8"/>
  <c r="H14" i="8"/>
  <c r="G14" i="8"/>
  <c r="D14" i="8"/>
  <c r="C14" i="8"/>
  <c r="B14" i="8"/>
  <c r="P13" i="8"/>
  <c r="O13" i="8"/>
  <c r="N13" i="8"/>
  <c r="M13" i="8"/>
  <c r="H13" i="8"/>
  <c r="G13" i="8"/>
  <c r="D13" i="8"/>
  <c r="C13" i="8"/>
  <c r="B13" i="8"/>
  <c r="P12" i="8"/>
  <c r="O12" i="8"/>
  <c r="N12" i="8"/>
  <c r="M12" i="8"/>
  <c r="H12" i="8"/>
  <c r="G12" i="8"/>
  <c r="D12" i="8"/>
  <c r="C12" i="8"/>
  <c r="B12" i="8"/>
  <c r="P11" i="8"/>
  <c r="O11" i="8"/>
  <c r="N11" i="8"/>
  <c r="M11" i="8"/>
  <c r="H11" i="8"/>
  <c r="G11" i="8"/>
  <c r="D11" i="8"/>
  <c r="C11" i="8"/>
  <c r="B11" i="8"/>
  <c r="G11" i="29"/>
  <c r="F11" i="29"/>
  <c r="E11" i="29"/>
  <c r="D11" i="29"/>
  <c r="C11" i="29"/>
  <c r="B11" i="29"/>
  <c r="A11" i="29"/>
  <c r="P4" i="40"/>
  <c r="C4" i="40"/>
  <c r="P3" i="40"/>
  <c r="C3" i="40"/>
  <c r="C2" i="40"/>
  <c r="C1" i="40"/>
  <c r="P4" i="39"/>
  <c r="C4" i="39"/>
  <c r="P3" i="39"/>
  <c r="C3" i="39"/>
  <c r="C2" i="39"/>
  <c r="C1" i="39"/>
  <c r="N4" i="38"/>
  <c r="C4" i="38"/>
  <c r="N3" i="38"/>
  <c r="C3" i="38"/>
  <c r="C2" i="38"/>
  <c r="C1" i="38"/>
  <c r="K4" i="37"/>
  <c r="C4" i="37"/>
  <c r="K3" i="37"/>
  <c r="C3" i="37"/>
  <c r="C2" i="37"/>
  <c r="C1" i="37"/>
  <c r="K4" i="29"/>
  <c r="K3" i="29"/>
  <c r="C4" i="29"/>
  <c r="C3" i="29"/>
  <c r="C2" i="29"/>
  <c r="C1" i="8"/>
  <c r="C1" i="29"/>
  <c r="M4" i="36"/>
  <c r="C4" i="36"/>
  <c r="M3" i="36"/>
  <c r="C3" i="36"/>
  <c r="C2" i="36"/>
  <c r="C1" i="36"/>
  <c r="M4" i="35"/>
  <c r="C4" i="35"/>
  <c r="M3" i="35"/>
  <c r="C3" i="35"/>
  <c r="C2" i="35"/>
  <c r="C1" i="35"/>
  <c r="W4" i="34"/>
  <c r="C4" i="34"/>
  <c r="W3" i="34"/>
  <c r="C3" i="34"/>
  <c r="C2" i="34"/>
  <c r="C1" i="34"/>
  <c r="Q4" i="33"/>
  <c r="C4" i="33"/>
  <c r="Q3" i="33"/>
  <c r="C3" i="33"/>
  <c r="C2" i="33"/>
  <c r="C1" i="33"/>
  <c r="P4" i="32"/>
  <c r="C4" i="32"/>
  <c r="P3" i="32"/>
  <c r="C3" i="32"/>
  <c r="C2" i="32"/>
  <c r="C1" i="32"/>
  <c r="T4" i="31"/>
  <c r="C4" i="31"/>
  <c r="T3" i="31"/>
  <c r="C3" i="31"/>
  <c r="C2" i="31"/>
  <c r="C1" i="31"/>
  <c r="M4" i="30"/>
  <c r="C4" i="30"/>
  <c r="M3" i="30"/>
  <c r="C3" i="30"/>
  <c r="C2" i="30"/>
  <c r="C1" i="30"/>
  <c r="P4" i="27"/>
  <c r="P3" i="27"/>
  <c r="C4" i="27"/>
  <c r="C3" i="27"/>
  <c r="C2" i="27"/>
  <c r="C1" i="27"/>
  <c r="C1" i="26"/>
  <c r="M4" i="28"/>
  <c r="C4" i="28"/>
  <c r="M3" i="28"/>
  <c r="C3" i="28"/>
  <c r="C2" i="28"/>
  <c r="C1" i="28"/>
  <c r="K4" i="26"/>
  <c r="C4" i="26"/>
  <c r="K3" i="26"/>
  <c r="C3" i="26"/>
  <c r="C2" i="26"/>
  <c r="N4" i="25"/>
  <c r="C4" i="25"/>
  <c r="N3" i="25"/>
  <c r="C3" i="25"/>
  <c r="C2" i="25"/>
  <c r="C1" i="25"/>
  <c r="O4" i="24"/>
  <c r="C4" i="24"/>
  <c r="O3" i="24"/>
  <c r="C3" i="24"/>
  <c r="C2" i="24"/>
  <c r="C1" i="24"/>
  <c r="S4" i="23"/>
  <c r="C4" i="23"/>
  <c r="S3" i="23"/>
  <c r="C3" i="23"/>
  <c r="C2" i="23"/>
  <c r="C1" i="23"/>
  <c r="Q4" i="22"/>
  <c r="C4" i="22"/>
  <c r="Q3" i="22"/>
  <c r="C3" i="22"/>
  <c r="C2" i="22"/>
  <c r="C1" i="22"/>
  <c r="C1" i="21"/>
  <c r="C2" i="21"/>
  <c r="C3" i="21"/>
  <c r="O3" i="21"/>
  <c r="C4" i="21"/>
  <c r="O4" i="21"/>
  <c r="C1" i="20"/>
  <c r="C2" i="20"/>
  <c r="C3" i="20"/>
  <c r="K3" i="20"/>
  <c r="C4" i="20"/>
  <c r="K4" i="20"/>
  <c r="C1" i="19"/>
  <c r="C2" i="19"/>
  <c r="C3" i="19"/>
  <c r="J3" i="19"/>
  <c r="C4" i="19"/>
  <c r="J4" i="19"/>
  <c r="C1" i="18"/>
  <c r="C2" i="18"/>
  <c r="C3" i="18"/>
  <c r="O3" i="18"/>
  <c r="C4" i="18"/>
  <c r="O4" i="18"/>
  <c r="C1" i="17"/>
  <c r="C2" i="17"/>
  <c r="C3" i="17"/>
  <c r="O3" i="17"/>
  <c r="C4" i="17"/>
  <c r="O4" i="17"/>
  <c r="C1" i="16"/>
  <c r="C2" i="16"/>
  <c r="C3" i="16"/>
  <c r="P3" i="16"/>
  <c r="C4" i="16"/>
  <c r="P4" i="16"/>
  <c r="C1" i="15"/>
  <c r="C2" i="15"/>
  <c r="C3" i="15"/>
  <c r="K3" i="15"/>
  <c r="C4" i="15"/>
  <c r="K4" i="15"/>
  <c r="C1" i="14"/>
  <c r="C2" i="14"/>
  <c r="C3" i="14"/>
  <c r="K3" i="14"/>
  <c r="C4" i="14"/>
  <c r="K4" i="14"/>
  <c r="D1" i="13"/>
  <c r="D2" i="13"/>
  <c r="D3" i="13"/>
  <c r="K3" i="13"/>
  <c r="D4" i="13"/>
  <c r="K4" i="13"/>
  <c r="C1" i="12"/>
  <c r="C2" i="12"/>
  <c r="C3" i="12"/>
  <c r="K3" i="12"/>
  <c r="C4" i="12"/>
  <c r="K4" i="12"/>
  <c r="K10" i="12"/>
  <c r="C1" i="11"/>
  <c r="C2" i="11"/>
  <c r="C3" i="11"/>
  <c r="I3" i="11"/>
  <c r="C4" i="11"/>
  <c r="I4" i="11"/>
  <c r="C2" i="8"/>
  <c r="C3" i="8"/>
  <c r="O3" i="8"/>
  <c r="C4" i="8"/>
  <c r="O4" i="8"/>
  <c r="C1" i="6"/>
  <c r="C2" i="6"/>
  <c r="C3" i="6"/>
  <c r="K3" i="6"/>
  <c r="C4" i="6"/>
  <c r="K4" i="6"/>
  <c r="C1" i="5"/>
  <c r="C2" i="5"/>
  <c r="C3" i="5"/>
  <c r="K3" i="5"/>
  <c r="C4" i="5"/>
  <c r="K4" i="5"/>
</calcChain>
</file>

<file path=xl/comments1.xml><?xml version="1.0" encoding="utf-8"?>
<comments xmlns="http://schemas.openxmlformats.org/spreadsheetml/2006/main">
  <authors>
    <author>fei.gao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50 hz
60 hz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0 UNKNOWN
1 Inches
2 Points
3 Feet
4 Yards
5 Miles
6 NauticalMiles
7 Millimeters
8 Centimeters
9 Meters
10 Kilometers
11 DecimalDegrees
12 Decimeters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 xml:space="preserve">0 – Web Mercator
1 – Spherical Mercator </t>
        </r>
      </text>
    </comment>
  </commentList>
</comments>
</file>

<file path=xl/comments10.xml><?xml version="1.0" encoding="utf-8"?>
<comments xmlns="http://schemas.openxmlformats.org/spreadsheetml/2006/main">
  <authors>
    <author>fei.gao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KVA
MVA
VA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fei.gao</author>
  </authors>
  <commentList>
    <comment ref="AM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fei.gao</author>
  </authors>
  <commentList>
    <comment ref="AB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fei.gao</author>
  </authors>
  <commentList>
    <comment ref="AL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fei.gao</author>
  </authors>
  <commentList>
    <comment ref="AA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fei.gao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fei.gao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fei.gao</author>
  </authors>
  <commentList>
    <comment ref="AQ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fei.gao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fei.gao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fei.gao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fei.gao</author>
  </authors>
  <commentList>
    <comment ref="X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fei.gao</author>
  </authors>
  <commentList>
    <comment ref="AY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fei.gao</author>
  </authors>
  <commentList>
    <comment ref="AE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fei.gao</author>
  </authors>
  <commentList>
    <comment ref="AL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fei.gao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fei.gao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fei.gao</author>
  </authors>
  <commentList>
    <comment ref="V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fei.gao</author>
  </authors>
  <commentList>
    <comment ref="AC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fei.gao</author>
  </authors>
  <commentList>
    <comment ref="Y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fei.gao</author>
  </authors>
  <commentList>
    <comment ref="AM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fei.gao</author>
  </authors>
  <commentList>
    <comment ref="AN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fei.gao</author>
  </authors>
  <commentList>
    <comment ref="BE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fei.gao</author>
  </authors>
  <commentList>
    <comment ref="BS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fei.gao</author>
  </authors>
  <commentList>
    <comment ref="S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fei.gao</author>
  </authors>
  <commentList>
    <comment ref="AS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fei.gao</author>
  </authors>
  <commentList>
    <comment ref="BK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fei.gao</author>
  </authors>
  <commentList>
    <comment ref="W8" authorId="0" shapeId="0">
      <text>
        <r>
          <rPr>
            <b/>
            <sz val="9"/>
            <color indexed="81"/>
            <rFont val="Tahoma"/>
            <family val="2"/>
          </rPr>
          <t>Transmission=15
Sub Transmission=16
Primary UG=17
Primary OH=17
Secondary UG=18
Secondary OH=18
Load UG=19
Load OH=19
Street Light=20
None=21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<sst xmlns="http://schemas.openxmlformats.org/spreadsheetml/2006/main" count="11913" uniqueCount="6517">
  <si>
    <t>Min DF (%)</t>
  </si>
  <si>
    <t>[Dmin]</t>
  </si>
  <si>
    <t>Max DF (%)</t>
  </si>
  <si>
    <t>[Dmax]</t>
  </si>
  <si>
    <t>ANSI or IEC</t>
  </si>
  <si>
    <t>[Standard]</t>
  </si>
  <si>
    <t>Bus Type</t>
  </si>
  <si>
    <t>[RatingType]</t>
  </si>
  <si>
    <t>Cont Rating (A)</t>
  </si>
  <si>
    <t>Bracing Symm RMS (kA)</t>
  </si>
  <si>
    <t>Bracing Asymm RMS (kA)</t>
  </si>
  <si>
    <t xml:space="preserve">Bracing Peak IEC (kA) </t>
  </si>
  <si>
    <t>Comment</t>
  </si>
  <si>
    <t>BUS DATA</t>
  </si>
  <si>
    <t>INDUCTION MOTOR DATA</t>
  </si>
  <si>
    <t>SYNCHRONOUS MOTOR DATA</t>
  </si>
  <si>
    <t>_eF=Round((120*Frequency/_eN[Poles]), 0)</t>
  </si>
  <si>
    <t>_eF=Round((120*Frequency/_eN[Poles])*(1 - _eN[RatedSlip]/100), 0)</t>
  </si>
  <si>
    <t>_eF=Round(_eN[RatedSlip], 1)</t>
  </si>
  <si>
    <t xml:space="preserve">ParentType </t>
  </si>
  <si>
    <t xml:space="preserve">ParentIID </t>
  </si>
  <si>
    <t xml:space="preserve">ParentExtRef </t>
  </si>
  <si>
    <t xml:space="preserve">ParentName </t>
  </si>
  <si>
    <t xml:space="preserve">CableLibFlag </t>
  </si>
  <si>
    <t xml:space="preserve">PdeAction </t>
  </si>
  <si>
    <t xml:space="preserve">PdeDumpster </t>
  </si>
  <si>
    <t xml:space="preserve">PdeNewID </t>
  </si>
  <si>
    <t xml:space="preserve">PdeStatus </t>
  </si>
  <si>
    <t xml:space="preserve">PdeConfig </t>
  </si>
  <si>
    <t xml:space="preserve">LocX </t>
  </si>
  <si>
    <t xml:space="preserve">LocY </t>
  </si>
  <si>
    <t xml:space="preserve">ExtRef </t>
  </si>
  <si>
    <t xml:space="preserve">FixedLoc </t>
  </si>
  <si>
    <t xml:space="preserve">Hidden </t>
  </si>
  <si>
    <t xml:space="preserve">MetafileName </t>
  </si>
  <si>
    <t xml:space="preserve">Orientation </t>
  </si>
  <si>
    <t xml:space="preserve">SymbolSize </t>
  </si>
  <si>
    <t xml:space="preserve">SymbolType </t>
  </si>
  <si>
    <t xml:space="preserve">LocT </t>
  </si>
  <si>
    <t xml:space="preserve">LocL </t>
  </si>
  <si>
    <t xml:space="preserve">LocB </t>
  </si>
  <si>
    <t xml:space="preserve">LocR </t>
  </si>
  <si>
    <t xml:space="preserve">Color </t>
  </si>
  <si>
    <t xml:space="preserve">Mirrored </t>
  </si>
  <si>
    <t xml:space="preserve">Locked </t>
  </si>
  <si>
    <t xml:space="preserve">CSDGroup </t>
  </si>
  <si>
    <t xml:space="preserve">GUID_SPEL </t>
  </si>
  <si>
    <t xml:space="preserve">GUID_GIS </t>
  </si>
  <si>
    <t xml:space="preserve">GUID_EXC </t>
  </si>
  <si>
    <t xml:space="preserve">GUID_ACC </t>
  </si>
  <si>
    <t xml:space="preserve">GUID_EDPP </t>
  </si>
  <si>
    <t xml:space="preserve">OtiGUID </t>
  </si>
  <si>
    <t xml:space="preserve">Purged </t>
  </si>
  <si>
    <t xml:space="preserve">AlteredBy </t>
  </si>
  <si>
    <t xml:space="preserve">AlteredTime </t>
  </si>
  <si>
    <t xml:space="preserve">AmpacityAllowable </t>
  </si>
  <si>
    <t xml:space="preserve">AuxNeutralCableAccess </t>
  </si>
  <si>
    <t xml:space="preserve">AuxNeutralCabSize </t>
  </si>
  <si>
    <t xml:space="preserve">AuxNeutralLibDataAccessed </t>
  </si>
  <si>
    <t xml:space="preserve">AuxNeutralLibDataModified </t>
  </si>
  <si>
    <t xml:space="preserve">AuxProtectivCableAccess </t>
  </si>
  <si>
    <t xml:space="preserve">AuxProtectivCabSize </t>
  </si>
  <si>
    <t xml:space="preserve">AuxProtectivLibDataAccessed </t>
  </si>
  <si>
    <t xml:space="preserve">AuxProtectivLibDataModified </t>
  </si>
  <si>
    <t xml:space="preserve">BaseTemp </t>
  </si>
  <si>
    <t xml:space="preserve">CableAccess </t>
  </si>
  <si>
    <t xml:space="preserve">CableLengthUnit </t>
  </si>
  <si>
    <t xml:space="preserve">CableLoading </t>
  </si>
  <si>
    <t xml:space="preserve">CableODValue </t>
  </si>
  <si>
    <t xml:space="preserve">CableSizing </t>
  </si>
  <si>
    <t xml:space="preserve">CableType </t>
  </si>
  <si>
    <t xml:space="preserve">CabSize </t>
  </si>
  <si>
    <t xml:space="preserve">CheckedBy </t>
  </si>
  <si>
    <t xml:space="preserve">CheckedTime </t>
  </si>
  <si>
    <t xml:space="preserve">Checker_DRating </t>
  </si>
  <si>
    <t xml:space="preserve">Checker_FRDAmpacity </t>
  </si>
  <si>
    <t xml:space="preserve">Checker_Misc </t>
  </si>
  <si>
    <t xml:space="preserve">Checker_Sizing </t>
  </si>
  <si>
    <t xml:space="preserve">CheckerCommentPage </t>
  </si>
  <si>
    <t xml:space="preserve">CheckerConfiguration </t>
  </si>
  <si>
    <t xml:space="preserve">CheckerConfiguration2 </t>
  </si>
  <si>
    <t xml:space="preserve">CheckerFRDAmpacity2 </t>
  </si>
  <si>
    <t xml:space="preserve">CheckerProtect2 </t>
  </si>
  <si>
    <t xml:space="preserve">CheckerReliablePage </t>
  </si>
  <si>
    <t xml:space="preserve">CheckerRemarksPage </t>
  </si>
  <si>
    <t xml:space="preserve">DataRevs </t>
  </si>
  <si>
    <t xml:space="preserve">DCCable </t>
  </si>
  <si>
    <t xml:space="preserve">DynLinkToLib </t>
  </si>
  <si>
    <t xml:space="preserve">EquipID </t>
  </si>
  <si>
    <t xml:space="preserve">EquipmentCable </t>
  </si>
  <si>
    <t xml:space="preserve">FromBus </t>
  </si>
  <si>
    <t xml:space="preserve">ID </t>
  </si>
  <si>
    <t xml:space="preserve">IID </t>
  </si>
  <si>
    <t xml:space="preserve">ImpedanceUnits </t>
  </si>
  <si>
    <t xml:space="preserve">InService </t>
  </si>
  <si>
    <t xml:space="preserve">InServiceState </t>
  </si>
  <si>
    <t xml:space="preserve">Issue </t>
  </si>
  <si>
    <t xml:space="preserve">LengthValue </t>
  </si>
  <si>
    <t xml:space="preserve">LibDataAccessed </t>
  </si>
  <si>
    <t xml:space="preserve">LibDataModified </t>
  </si>
  <si>
    <t xml:space="preserve">LoadingAmp </t>
  </si>
  <si>
    <t xml:space="preserve">MaxTempValue </t>
  </si>
  <si>
    <t xml:space="preserve">MinimumVst </t>
  </si>
  <si>
    <t xml:space="preserve">MinTempValue </t>
  </si>
  <si>
    <t xml:space="preserve">NeutralCableAccess </t>
  </si>
  <si>
    <t xml:space="preserve">NeutralCabSize </t>
  </si>
  <si>
    <t xml:space="preserve">NeutralLibDataAccessed </t>
  </si>
  <si>
    <t xml:space="preserve">NeutralLibDataModified </t>
  </si>
  <si>
    <t xml:space="preserve">NumberOfWires </t>
  </si>
  <si>
    <t xml:space="preserve">OhmsPerLengthUnit </t>
  </si>
  <si>
    <t xml:space="preserve">OhmsPerLengthValue </t>
  </si>
  <si>
    <t xml:space="preserve">OperatingLoad </t>
  </si>
  <si>
    <t xml:space="preserve">OperatingLoadPhaseA </t>
  </si>
  <si>
    <t xml:space="preserve">OperatingLoadPhaseB </t>
  </si>
  <si>
    <t xml:space="preserve">OperatingLoadPhaseC </t>
  </si>
  <si>
    <t xml:space="preserve">Phase </t>
  </si>
  <si>
    <t xml:space="preserve">PhaseValue </t>
  </si>
  <si>
    <t xml:space="preserve">ProtectiveCableAccess </t>
  </si>
  <si>
    <t xml:space="preserve">ProtectiveCabSize </t>
  </si>
  <si>
    <t xml:space="preserve">ProtectiveLibDataAccessed </t>
  </si>
  <si>
    <t xml:space="preserve">ProtectiveLibDataModified </t>
  </si>
  <si>
    <t xml:space="preserve">Revision </t>
  </si>
  <si>
    <t xml:space="preserve">RPosValue </t>
  </si>
  <si>
    <t xml:space="preserve">RZeroValue </t>
  </si>
  <si>
    <t xml:space="preserve">SCTimeInSec </t>
  </si>
  <si>
    <t xml:space="preserve">ShieldingType </t>
  </si>
  <si>
    <t xml:space="preserve">SizingFlag </t>
  </si>
  <si>
    <t xml:space="preserve">ToBus </t>
  </si>
  <si>
    <t xml:space="preserve">Tolerance </t>
  </si>
  <si>
    <t xml:space="preserve">TransparentCable </t>
  </si>
  <si>
    <t xml:space="preserve">UGSFixedCurrent </t>
  </si>
  <si>
    <t xml:space="preserve">UGSFixedSize </t>
  </si>
  <si>
    <t xml:space="preserve">VoltageDrop </t>
  </si>
  <si>
    <t xml:space="preserve">XPosValue </t>
  </si>
  <si>
    <t xml:space="preserve">XZeroValue </t>
  </si>
  <si>
    <t xml:space="preserve">YPosValue </t>
  </si>
  <si>
    <t xml:space="preserve">YZeroValue </t>
  </si>
  <si>
    <t xml:space="preserve">Current0 </t>
  </si>
  <si>
    <t xml:space="preserve">Current1 </t>
  </si>
  <si>
    <t xml:space="preserve">Current10 </t>
  </si>
  <si>
    <t xml:space="preserve">Current11 </t>
  </si>
  <si>
    <t xml:space="preserve">Current12 </t>
  </si>
  <si>
    <t xml:space="preserve">Current13 </t>
  </si>
  <si>
    <t xml:space="preserve">Current14 </t>
  </si>
  <si>
    <t xml:space="preserve">Current15 </t>
  </si>
  <si>
    <t xml:space="preserve">Current16 </t>
  </si>
  <si>
    <t xml:space="preserve">Current17 </t>
  </si>
  <si>
    <t xml:space="preserve">Current18 </t>
  </si>
  <si>
    <t xml:space="preserve">Current19 </t>
  </si>
  <si>
    <t xml:space="preserve">Current2 </t>
  </si>
  <si>
    <t xml:space="preserve">Current3 </t>
  </si>
  <si>
    <t xml:space="preserve">Current4 </t>
  </si>
  <si>
    <t xml:space="preserve">Current5 </t>
  </si>
  <si>
    <t xml:space="preserve">Current6 </t>
  </si>
  <si>
    <t xml:space="preserve">Current7 </t>
  </si>
  <si>
    <t xml:space="preserve">Current8 </t>
  </si>
  <si>
    <t xml:space="preserve">Current9 </t>
  </si>
  <si>
    <t xml:space="preserve">Time0 </t>
  </si>
  <si>
    <t xml:space="preserve">Time1 </t>
  </si>
  <si>
    <t xml:space="preserve">Time10 </t>
  </si>
  <si>
    <t xml:space="preserve">Time11 </t>
  </si>
  <si>
    <t xml:space="preserve">Time12 </t>
  </si>
  <si>
    <t xml:space="preserve">Time13 </t>
  </si>
  <si>
    <t xml:space="preserve">Time14 </t>
  </si>
  <si>
    <t xml:space="preserve">Time15 </t>
  </si>
  <si>
    <t xml:space="preserve">Time16 </t>
  </si>
  <si>
    <t xml:space="preserve">Time17 </t>
  </si>
  <si>
    <t xml:space="preserve">Time18 </t>
  </si>
  <si>
    <t xml:space="preserve">Time19 </t>
  </si>
  <si>
    <t xml:space="preserve">Time2 </t>
  </si>
  <si>
    <t xml:space="preserve">Time3 </t>
  </si>
  <si>
    <t xml:space="preserve">Time4 </t>
  </si>
  <si>
    <t xml:space="preserve">Time5 </t>
  </si>
  <si>
    <t xml:space="preserve">Time6 </t>
  </si>
  <si>
    <t xml:space="preserve">Time7 </t>
  </si>
  <si>
    <t xml:space="preserve">Time8 </t>
  </si>
  <si>
    <t xml:space="preserve">Time9 </t>
  </si>
  <si>
    <t xml:space="preserve">AllowableAmpOpt </t>
  </si>
  <si>
    <t xml:space="preserve">AmpacityBase </t>
  </si>
  <si>
    <t xml:space="preserve">AmpacityDerated </t>
  </si>
  <si>
    <t xml:space="preserve">AmpacityUGS </t>
  </si>
  <si>
    <t xml:space="preserve">AmpacityUserDef </t>
  </si>
  <si>
    <t xml:space="preserve">Application </t>
  </si>
  <si>
    <t xml:space="preserve">Armor </t>
  </si>
  <si>
    <t xml:space="preserve">ArmorCurrentValue </t>
  </si>
  <si>
    <t xml:space="preserve">ArmorR </t>
  </si>
  <si>
    <t xml:space="preserve">ArmorX </t>
  </si>
  <si>
    <t xml:space="preserve">AuxCableBunched </t>
  </si>
  <si>
    <t xml:space="preserve">AuxCableFixed </t>
  </si>
  <si>
    <t xml:space="preserve">AuxNeutral </t>
  </si>
  <si>
    <t xml:space="preserve">AuxNeutralConductorNum </t>
  </si>
  <si>
    <t xml:space="preserve">AuxNeutralConductorType </t>
  </si>
  <si>
    <t xml:space="preserve">AuxNeutralInsulation </t>
  </si>
  <si>
    <t xml:space="preserve">AuxNeutralR </t>
  </si>
  <si>
    <t xml:space="preserve">AuxNeutralX </t>
  </si>
  <si>
    <t xml:space="preserve">AuxProtective </t>
  </si>
  <si>
    <t xml:space="preserve">AuxProtectiveConductorNum </t>
  </si>
  <si>
    <t xml:space="preserve">AuxProtectiveConductorType </t>
  </si>
  <si>
    <t xml:space="preserve">AuxProtectiveInsulation </t>
  </si>
  <si>
    <t xml:space="preserve">AuxProtectiveR </t>
  </si>
  <si>
    <t xml:space="preserve">AuxProtectiveX </t>
  </si>
  <si>
    <t xml:space="preserve">BaseAGConduit </t>
  </si>
  <si>
    <t xml:space="preserve">BaseAGTrays </t>
  </si>
  <si>
    <t xml:space="preserve">BasekV </t>
  </si>
  <si>
    <t xml:space="preserve">BaseUGBurried </t>
  </si>
  <si>
    <t xml:space="preserve">BaseUGDuct </t>
  </si>
  <si>
    <t xml:space="preserve">BoolFieldsCable </t>
  </si>
  <si>
    <t xml:space="preserve">BottomCover </t>
  </si>
  <si>
    <t xml:space="preserve">BS3036Fuse </t>
  </si>
  <si>
    <t xml:space="preserve">BS7671_17SubType </t>
  </si>
  <si>
    <t xml:space="preserve">BS7671SubType </t>
  </si>
  <si>
    <t xml:space="preserve">BSLayout </t>
  </si>
  <si>
    <t xml:space="preserve">Calc3PhkA_Min </t>
  </si>
  <si>
    <t xml:space="preserve">CalcLGkA </t>
  </si>
  <si>
    <t xml:space="preserve">CalcLGkA_Max </t>
  </si>
  <si>
    <t xml:space="preserve">CalcLLGkA </t>
  </si>
  <si>
    <t xml:space="preserve">CalcLLGkA_Max </t>
  </si>
  <si>
    <t xml:space="preserve">CalcLLkA </t>
  </si>
  <si>
    <t xml:space="preserve">CalcLLkA_Max </t>
  </si>
  <si>
    <t xml:space="preserve">CalcSCkA </t>
  </si>
  <si>
    <t xml:space="preserve">CalcStandard </t>
  </si>
  <si>
    <t xml:space="preserve">CalcXOverR </t>
  </si>
  <si>
    <t xml:space="preserve">CfFactor </t>
  </si>
  <si>
    <t xml:space="preserve">CheckerProtect </t>
  </si>
  <si>
    <t xml:space="preserve">CircuitClearance </t>
  </si>
  <si>
    <t xml:space="preserve">Coating </t>
  </si>
  <si>
    <t xml:space="preserve">CoatingACF </t>
  </si>
  <si>
    <t xml:space="preserve">CoatingConfig </t>
  </si>
  <si>
    <t xml:space="preserve">CoatingLibAccessed </t>
  </si>
  <si>
    <t xml:space="preserve">CoatingManufacturer </t>
  </si>
  <si>
    <t xml:space="preserve">CoatingMaterial </t>
  </si>
  <si>
    <t xml:space="preserve">CondODValue </t>
  </si>
  <si>
    <t xml:space="preserve">ConductorsPerLocation </t>
  </si>
  <si>
    <t xml:space="preserve">CumulativeEffect </t>
  </si>
  <si>
    <t xml:space="preserve">Description </t>
  </si>
  <si>
    <t xml:space="preserve">DesignMF </t>
  </si>
  <si>
    <t xml:space="preserve">DeviceBritishStandard </t>
  </si>
  <si>
    <t xml:space="preserve">EN50122 </t>
  </si>
  <si>
    <t xml:space="preserve">EN50122Voltage </t>
  </si>
  <si>
    <t xml:space="preserve">EndConnection </t>
  </si>
  <si>
    <t xml:space="preserve">EquipmentName </t>
  </si>
  <si>
    <t xml:space="preserve">EquipmentType </t>
  </si>
  <si>
    <t xml:space="preserve">ExcludeSecondEarthFault </t>
  </si>
  <si>
    <t xml:space="preserve">FactorkOpt </t>
  </si>
  <si>
    <t>LVCB DATA</t>
  </si>
  <si>
    <t>LVCB</t>
  </si>
  <si>
    <t xml:space="preserve">ansiCurrent </t>
  </si>
  <si>
    <t xml:space="preserve">ansiInterrupting </t>
  </si>
  <si>
    <t xml:space="preserve">AnsiIntrWithoutInst </t>
  </si>
  <si>
    <t xml:space="preserve">ansiTestPF </t>
  </si>
  <si>
    <t xml:space="preserve">ansiVoltage </t>
  </si>
  <si>
    <t xml:space="preserve">CheckerH1 </t>
  </si>
  <si>
    <t xml:space="preserve">CheckerInterlockPage </t>
  </si>
  <si>
    <t xml:space="preserve">CheckerPageSetting </t>
  </si>
  <si>
    <t xml:space="preserve">CheckerSC </t>
  </si>
  <si>
    <t xml:space="preserve">ElectricalStandard </t>
  </si>
  <si>
    <t xml:space="preserve">ElectroMechInst </t>
  </si>
  <si>
    <t xml:space="preserve">ElectroMechInstPickup </t>
  </si>
  <si>
    <t xml:space="preserve">ElectroMechInstPickup_Label </t>
  </si>
  <si>
    <t xml:space="preserve">ElectroMechLT </t>
  </si>
  <si>
    <t xml:space="preserve">ElectroMechLTBand </t>
  </si>
  <si>
    <t xml:space="preserve">ElectroMechLTBand_Label </t>
  </si>
  <si>
    <t xml:space="preserve">ElectroMechLTPickup </t>
  </si>
  <si>
    <t xml:space="preserve">ElectroMechLTPickup_Label </t>
  </si>
  <si>
    <t xml:space="preserve">ElectroMechST </t>
  </si>
  <si>
    <t xml:space="preserve">ElectroMechSTBand </t>
  </si>
  <si>
    <t xml:space="preserve">ElectroMechSTBand_Label </t>
  </si>
  <si>
    <t xml:space="preserve">ElectroMechSTHBand </t>
  </si>
  <si>
    <t xml:space="preserve">ElectroMechSTHBand_Label </t>
  </si>
  <si>
    <t xml:space="preserve">ElectroMechSTPickup </t>
  </si>
  <si>
    <t xml:space="preserve">ElectroMechSTPickup_Label </t>
  </si>
  <si>
    <t xml:space="preserve">FromElement </t>
  </si>
  <si>
    <t xml:space="preserve">Fused </t>
  </si>
  <si>
    <t xml:space="preserve">iecBreaking </t>
  </si>
  <si>
    <t xml:space="preserve">iecCurrent </t>
  </si>
  <si>
    <t xml:space="preserve">iecMaking </t>
  </si>
  <si>
    <t xml:space="preserve">IecServiceBreaking </t>
  </si>
  <si>
    <t xml:space="preserve">iecTimeDelay </t>
  </si>
  <si>
    <t xml:space="preserve">iecVoltage </t>
  </si>
  <si>
    <t xml:space="preserve">Ithr </t>
  </si>
  <si>
    <t xml:space="preserve">Limiter </t>
  </si>
  <si>
    <t xml:space="preserve">McpPickup </t>
  </si>
  <si>
    <t xml:space="preserve">McpPickup_Label </t>
  </si>
  <si>
    <t xml:space="preserve">McpPickupRange </t>
  </si>
  <si>
    <t xml:space="preserve">RCShortCircuitCurrent </t>
  </si>
  <si>
    <t xml:space="preserve">SizeID </t>
  </si>
  <si>
    <t xml:space="preserve">SstGrd </t>
  </si>
  <si>
    <t xml:space="preserve">SstGrdBand </t>
  </si>
  <si>
    <t xml:space="preserve">SstGrdBand_Label </t>
  </si>
  <si>
    <t xml:space="preserve">SstGrdBand_Tag </t>
  </si>
  <si>
    <t xml:space="preserve">SstGrdCurve_Name </t>
  </si>
  <si>
    <t xml:space="preserve">SstGrdCurve_Tag </t>
  </si>
  <si>
    <t xml:space="preserve">SstGrdI2t </t>
  </si>
  <si>
    <t xml:space="preserve">SstGrdPickup </t>
  </si>
  <si>
    <t xml:space="preserve">SstGrdPickup_Label </t>
  </si>
  <si>
    <t xml:space="preserve">SstGrdPickup_Tag </t>
  </si>
  <si>
    <t xml:space="preserve">SstMaintenanceGrd </t>
  </si>
  <si>
    <t xml:space="preserve">SstMaintenanceGrdPickup </t>
  </si>
  <si>
    <t xml:space="preserve">SstMaintenanceGrdPickup_Label </t>
  </si>
  <si>
    <t xml:space="preserve">SstMaintenanceGrdPickup_Tag </t>
  </si>
  <si>
    <t xml:space="preserve">SstMaintenancePh </t>
  </si>
  <si>
    <t xml:space="preserve">SstMaintenancePhPickup </t>
  </si>
  <si>
    <t xml:space="preserve">SstMaintenancePhPickup_Label </t>
  </si>
  <si>
    <t xml:space="preserve">SstMaintenancePhPickup_Tag </t>
  </si>
  <si>
    <t xml:space="preserve">SstPhInst </t>
  </si>
  <si>
    <t xml:space="preserve">SstPhInstOverride </t>
  </si>
  <si>
    <t xml:space="preserve">SstPhInstPickup </t>
  </si>
  <si>
    <t xml:space="preserve">SstPhInstPickup_Label </t>
  </si>
  <si>
    <t xml:space="preserve">SstPhInstPickup_Tag </t>
  </si>
  <si>
    <t xml:space="preserve">SstPhLT </t>
  </si>
  <si>
    <t xml:space="preserve">SstPhLTBand </t>
  </si>
  <si>
    <t xml:space="preserve">SstPhLTBand_Label </t>
  </si>
  <si>
    <t xml:space="preserve">SstPhLTBand_Tag </t>
  </si>
  <si>
    <t xml:space="preserve">SstPhLTCurve_Name </t>
  </si>
  <si>
    <t xml:space="preserve">SstPhLTCurve_Tag </t>
  </si>
  <si>
    <t xml:space="preserve">SstPhLTPickup </t>
  </si>
  <si>
    <t xml:space="preserve">SstPhLTPickup_Label </t>
  </si>
  <si>
    <t xml:space="preserve">SstPhLTPickup_Tag </t>
  </si>
  <si>
    <t xml:space="preserve">SstPhST </t>
  </si>
  <si>
    <t xml:space="preserve">SstPhSTBand </t>
  </si>
  <si>
    <t xml:space="preserve">SstPhSTBand_Label </t>
  </si>
  <si>
    <t xml:space="preserve">SstPhSTBand_Tag </t>
  </si>
  <si>
    <t xml:space="preserve">SstPhSTCurve_Name </t>
  </si>
  <si>
    <t xml:space="preserve">SstPhSTCurve_Tag </t>
  </si>
  <si>
    <t xml:space="preserve">SstPhSTI2t </t>
  </si>
  <si>
    <t xml:space="preserve">SstPhSTPickup </t>
  </si>
  <si>
    <t xml:space="preserve">SstPhSTPickup_Label </t>
  </si>
  <si>
    <t xml:space="preserve">SstPhSTPickup_Tag </t>
  </si>
  <si>
    <t xml:space="preserve">SstRatingPlug </t>
  </si>
  <si>
    <t xml:space="preserve">Status </t>
  </si>
  <si>
    <t xml:space="preserve">ThermalMagGrdPickup </t>
  </si>
  <si>
    <t xml:space="preserve">ThermalMagGrdTimeDelay </t>
  </si>
  <si>
    <t xml:space="preserve">ThermalMagMagTrip </t>
  </si>
  <si>
    <t xml:space="preserve">ThermalMagMagTrip_Label </t>
  </si>
  <si>
    <t xml:space="preserve">ThermalMagThermalTrip </t>
  </si>
  <si>
    <t xml:space="preserve">Tkr </t>
  </si>
  <si>
    <t xml:space="preserve">ToElement </t>
  </si>
  <si>
    <t xml:space="preserve">TripDeviceMFR </t>
  </si>
  <si>
    <t xml:space="preserve">TripDeviceModel </t>
  </si>
  <si>
    <t xml:space="preserve">TripDeviceSizeID </t>
  </si>
  <si>
    <t xml:space="preserve">TripDeviceTypeName </t>
  </si>
  <si>
    <t xml:space="preserve">TypeOfBreaker </t>
  </si>
  <si>
    <t xml:space="preserve">CBTripDeviceState </t>
  </si>
  <si>
    <t xml:space="preserve">IsPostClose </t>
  </si>
  <si>
    <t xml:space="preserve">IsPostOpen </t>
  </si>
  <si>
    <t xml:space="preserve">IsPreClose </t>
  </si>
  <si>
    <t xml:space="preserve">IsPreOpen </t>
  </si>
  <si>
    <t xml:space="preserve">Logic_Comment </t>
  </si>
  <si>
    <t xml:space="preserve">Override </t>
  </si>
  <si>
    <t xml:space="preserve">FaultArrow3Phase </t>
  </si>
  <si>
    <t xml:space="preserve">FaultArrow3PhaseMin </t>
  </si>
  <si>
    <t xml:space="preserve">FaultArrowLG </t>
  </si>
  <si>
    <t xml:space="preserve">FaultArrowLGMin </t>
  </si>
  <si>
    <t xml:space="preserve">SymRMS </t>
  </si>
  <si>
    <t xml:space="preserve">TotalAsym3PhasekA </t>
  </si>
  <si>
    <t xml:space="preserve">TotalAsymLGkA </t>
  </si>
  <si>
    <t xml:space="preserve">TotalSym3PhasekA </t>
  </si>
  <si>
    <t xml:space="preserve">TotalSym3PhasekAMin </t>
  </si>
  <si>
    <t xml:space="preserve">TotalSymLGkA </t>
  </si>
  <si>
    <t xml:space="preserve">TotalSymLGkAMin </t>
  </si>
  <si>
    <t xml:space="preserve">UDBasekVMin </t>
  </si>
  <si>
    <t xml:space="preserve">UDGroundkA </t>
  </si>
  <si>
    <t xml:space="preserve">UDGroundkAMin </t>
  </si>
  <si>
    <t xml:space="preserve">UDPhasekA </t>
  </si>
  <si>
    <t xml:space="preserve">UDPhasekAMin </t>
  </si>
  <si>
    <t>From Element</t>
  </si>
  <si>
    <t>To Element</t>
  </si>
  <si>
    <t>Status</t>
  </si>
  <si>
    <t>Info</t>
  </si>
  <si>
    <t>_eF=IF(_eN[ElectricalStandard] = 0, "ANSI", "IEC")</t>
  </si>
  <si>
    <t>Type</t>
  </si>
  <si>
    <t>_eF=CHOOSE((_eN[TypeOfBreaker] + 1), "Molded Case", "Power", "Insulated Case")</t>
  </si>
  <si>
    <t>Size</t>
  </si>
  <si>
    <t>[SizeID]</t>
  </si>
  <si>
    <t>Test PF (%)</t>
  </si>
  <si>
    <t>Ratings</t>
  </si>
  <si>
    <t>ANSI</t>
  </si>
  <si>
    <t>Amps</t>
  </si>
  <si>
    <t>Int. kA</t>
  </si>
  <si>
    <t>_eF=Round(_eN[Tkr], 1)</t>
  </si>
  <si>
    <t>Tkr (s)</t>
  </si>
  <si>
    <t>ST w/s (kA)</t>
  </si>
  <si>
    <t>Fused</t>
  </si>
  <si>
    <t>_eF=IF(_eN[Fused] = 0, "No", "Yes")</t>
  </si>
  <si>
    <t xml:space="preserve">FDRTag </t>
  </si>
  <si>
    <t xml:space="preserve">FillPercentage </t>
  </si>
  <si>
    <t xml:space="preserve">FireStop </t>
  </si>
  <si>
    <t xml:space="preserve">FireStopACF </t>
  </si>
  <si>
    <t xml:space="preserve">FireStopConfig </t>
  </si>
  <si>
    <t xml:space="preserve">FireStopLibAccessed </t>
  </si>
  <si>
    <t xml:space="preserve">FireStopManufacturer </t>
  </si>
  <si>
    <t xml:space="preserve">FireStopMaterial </t>
  </si>
  <si>
    <t xml:space="preserve">FireWrap </t>
  </si>
  <si>
    <t xml:space="preserve">FireWrapACF </t>
  </si>
  <si>
    <t xml:space="preserve">FireWrapConfig </t>
  </si>
  <si>
    <t xml:space="preserve">FireWrapLibAccessed </t>
  </si>
  <si>
    <t xml:space="preserve">FireWrapManufacturer </t>
  </si>
  <si>
    <t xml:space="preserve">FireWrapMaterial </t>
  </si>
  <si>
    <t xml:space="preserve">FullLoadAmp </t>
  </si>
  <si>
    <t xml:space="preserve">GroundFinalTempOpt </t>
  </si>
  <si>
    <t xml:space="preserve">GroundInitialTempOpt </t>
  </si>
  <si>
    <t xml:space="preserve">GroundPlotI2T </t>
  </si>
  <si>
    <t xml:space="preserve">GroundUserFinalTemp </t>
  </si>
  <si>
    <t xml:space="preserve">GroundUserInitialTemp </t>
  </si>
  <si>
    <t xml:space="preserve">GroupingEffect </t>
  </si>
  <si>
    <t xml:space="preserve">IEC60364SubType </t>
  </si>
  <si>
    <t xml:space="preserve">IncludeArmorZ </t>
  </si>
  <si>
    <t xml:space="preserve">IniTempOpt </t>
  </si>
  <si>
    <t xml:space="preserve">InstallationByOpt </t>
  </si>
  <si>
    <t xml:space="preserve">InsulationLength </t>
  </si>
  <si>
    <t xml:space="preserve">InsulThickness </t>
  </si>
  <si>
    <t xml:space="preserve">JacketThickness </t>
  </si>
  <si>
    <t xml:space="preserve">JacketType </t>
  </si>
  <si>
    <t xml:space="preserve">LeakageI </t>
  </si>
  <si>
    <t xml:space="preserve">LoadDiversity </t>
  </si>
  <si>
    <t xml:space="preserve">LoadFactor </t>
  </si>
  <si>
    <t xml:space="preserve">LocalRToGround </t>
  </si>
  <si>
    <t xml:space="preserve">MainCableFixed </t>
  </si>
  <si>
    <t xml:space="preserve">MaintainedSpacing </t>
  </si>
  <si>
    <t xml:space="preserve">MaxSWPres </t>
  </si>
  <si>
    <t xml:space="preserve">MaxTension </t>
  </si>
  <si>
    <t xml:space="preserve">NEC </t>
  </si>
  <si>
    <t xml:space="preserve">NECTaAdjust </t>
  </si>
  <si>
    <t xml:space="preserve">Neutral </t>
  </si>
  <si>
    <t xml:space="preserve">NeutralConductorNum </t>
  </si>
  <si>
    <t xml:space="preserve">NeutralConductorType </t>
  </si>
  <si>
    <t xml:space="preserve">NeutralFinalTempOpt </t>
  </si>
  <si>
    <t xml:space="preserve">NeutralGrounding </t>
  </si>
  <si>
    <t xml:space="preserve">NeutralInitialTempOpt </t>
  </si>
  <si>
    <t xml:space="preserve">NeutralInsulation </t>
  </si>
  <si>
    <t xml:space="preserve">NeutralPlotI2T </t>
  </si>
  <si>
    <t xml:space="preserve">NeutralR </t>
  </si>
  <si>
    <t xml:space="preserve">NeutralUserFinalTemp </t>
  </si>
  <si>
    <t xml:space="preserve">NeutralUserInitialTemp </t>
  </si>
  <si>
    <t xml:space="preserve">NeutralX </t>
  </si>
  <si>
    <t xml:space="preserve">NoOfCircuit </t>
  </si>
  <si>
    <t xml:space="preserve">NoOfTrays </t>
  </si>
  <si>
    <t xml:space="preserve">NumberOfColumns </t>
  </si>
  <si>
    <t xml:space="preserve">NumberOfRows </t>
  </si>
  <si>
    <t xml:space="preserve">OtherHarmonic </t>
  </si>
  <si>
    <t xml:space="preserve">OvercurrentDeviceRating </t>
  </si>
  <si>
    <t xml:space="preserve">OverloadProtectionGID </t>
  </si>
  <si>
    <t xml:space="preserve">OverloadProtectionIID </t>
  </si>
  <si>
    <t xml:space="preserve">OverloadProtectionOpt </t>
  </si>
  <si>
    <t xml:space="preserve">PhaseFinalTempOpt </t>
  </si>
  <si>
    <t xml:space="preserve">PhaseInitialTempOpt </t>
  </si>
  <si>
    <t xml:space="preserve">PhasePlotI2T </t>
  </si>
  <si>
    <t xml:space="preserve">PhaseUserFinalTemp </t>
  </si>
  <si>
    <t xml:space="preserve">PhaseUserInitialTemp </t>
  </si>
  <si>
    <t xml:space="preserve">PinSCkA </t>
  </si>
  <si>
    <t xml:space="preserve">PlotConductorsPerPhase </t>
  </si>
  <si>
    <t xml:space="preserve">PlotStandard </t>
  </si>
  <si>
    <t xml:space="preserve">ProjectionMF </t>
  </si>
  <si>
    <t xml:space="preserve">Protective </t>
  </si>
  <si>
    <t xml:space="preserve">ProtectiveConductorNum </t>
  </si>
  <si>
    <t xml:space="preserve">ProtectiveConductorType </t>
  </si>
  <si>
    <t xml:space="preserve">ProtectiveGroundingR </t>
  </si>
  <si>
    <t xml:space="preserve">ProtectiveGroundingX </t>
  </si>
  <si>
    <t xml:space="preserve">ProtectiveInsulation </t>
  </si>
  <si>
    <t xml:space="preserve">RacewayType </t>
  </si>
  <si>
    <t xml:space="preserve">RatedRCDCurrent </t>
  </si>
  <si>
    <t xml:space="preserve">RCDBS7671_17Type </t>
  </si>
  <si>
    <t xml:space="preserve">RCDGroundGID </t>
  </si>
  <si>
    <t xml:space="preserve">RCDGroundIID </t>
  </si>
  <si>
    <t xml:space="preserve">RCDOpt </t>
  </si>
  <si>
    <t xml:space="preserve">Rdc25Value </t>
  </si>
  <si>
    <t xml:space="preserve">RHO </t>
  </si>
  <si>
    <t xml:space="preserve">SCCurrentOpt </t>
  </si>
  <si>
    <t xml:space="preserve">SCDeviceRating </t>
  </si>
  <si>
    <t xml:space="preserve">SCIEpsilon </t>
  </si>
  <si>
    <t xml:space="preserve">SCkA </t>
  </si>
  <si>
    <t xml:space="preserve">SCLGTimeInSec </t>
  </si>
  <si>
    <t xml:space="preserve">SCProtectionGID </t>
  </si>
  <si>
    <t xml:space="preserve">SCProtectionIID </t>
  </si>
  <si>
    <t xml:space="preserve">SCProtectionOpt </t>
  </si>
  <si>
    <t xml:space="preserve">SheathThickness </t>
  </si>
  <si>
    <t xml:space="preserve">SheathType </t>
  </si>
  <si>
    <t xml:space="preserve">ShockProtectionOpt </t>
  </si>
  <si>
    <t xml:space="preserve">SimultaneouslyOverloading </t>
  </si>
  <si>
    <t xml:space="preserve">SpacedCableLayout </t>
  </si>
  <si>
    <t xml:space="preserve">SpacingOpt </t>
  </si>
  <si>
    <t xml:space="preserve">Structure </t>
  </si>
  <si>
    <t xml:space="preserve">StructureR </t>
  </si>
  <si>
    <t xml:space="preserve">StructureX </t>
  </si>
  <si>
    <t xml:space="preserve">SystemGroundingType </t>
  </si>
  <si>
    <t xml:space="preserve">Ta </t>
  </si>
  <si>
    <t xml:space="preserve">Tc </t>
  </si>
  <si>
    <t xml:space="preserve">ThermalInsulationApplied </t>
  </si>
  <si>
    <t xml:space="preserve">ThirdHarmonic </t>
  </si>
  <si>
    <t xml:space="preserve">TimeUnit </t>
  </si>
  <si>
    <t xml:space="preserve">TopCover </t>
  </si>
  <si>
    <t xml:space="preserve">TrayDepth </t>
  </si>
  <si>
    <t xml:space="preserve">TrayWidth </t>
  </si>
  <si>
    <t xml:space="preserve">TrefoilCableLayout </t>
  </si>
  <si>
    <t xml:space="preserve">TripleHarmonic </t>
  </si>
  <si>
    <t xml:space="preserve">UseMaxPhaseI </t>
  </si>
  <si>
    <t xml:space="preserve">User3PhkA_Min </t>
  </si>
  <si>
    <t xml:space="preserve">UserDefRCDTime </t>
  </si>
  <si>
    <t xml:space="preserve">UserLGkA </t>
  </si>
  <si>
    <t xml:space="preserve">UserLGkA_Max </t>
  </si>
  <si>
    <t xml:space="preserve">UserLLGkA </t>
  </si>
  <si>
    <t xml:space="preserve">UserLLGkA_Max </t>
  </si>
  <si>
    <t xml:space="preserve">UserLLkA </t>
  </si>
  <si>
    <t xml:space="preserve">UserLLkA_Max </t>
  </si>
  <si>
    <t xml:space="preserve">UserPDNominalAmp </t>
  </si>
  <si>
    <t xml:space="preserve">UserPDOperatingAmp </t>
  </si>
  <si>
    <t xml:space="preserve">UserXOverR </t>
  </si>
  <si>
    <t xml:space="preserve">VerticalTrayLayout </t>
  </si>
  <si>
    <t xml:space="preserve">WarehouseInfo </t>
  </si>
  <si>
    <t xml:space="preserve">Weight </t>
  </si>
  <si>
    <t xml:space="preserve">MFRName </t>
  </si>
  <si>
    <t xml:space="preserve">OneLineDWG </t>
  </si>
  <si>
    <t xml:space="preserve">PurchasingDate </t>
  </si>
  <si>
    <t xml:space="preserve">ReferenceDWG </t>
  </si>
  <si>
    <t xml:space="preserve">UserField1 </t>
  </si>
  <si>
    <t xml:space="preserve">UserField2 </t>
  </si>
  <si>
    <t xml:space="preserve">UserField3 </t>
  </si>
  <si>
    <t xml:space="preserve">UserField4 </t>
  </si>
  <si>
    <t xml:space="preserve">UserField5 </t>
  </si>
  <si>
    <t xml:space="preserve">UserField6 </t>
  </si>
  <si>
    <t xml:space="preserve">UserField7 </t>
  </si>
  <si>
    <t xml:space="preserve">CommentText </t>
  </si>
  <si>
    <t xml:space="preserve">FailureRate </t>
  </si>
  <si>
    <t xml:space="preserve">LibRating </t>
  </si>
  <si>
    <t xml:space="preserve">LibSource </t>
  </si>
  <si>
    <t xml:space="preserve">LibType </t>
  </si>
  <si>
    <t xml:space="preserve">LoadSector </t>
  </si>
  <si>
    <t xml:space="preserve">MTTR </t>
  </si>
  <si>
    <t xml:space="preserve">NoOfLoads </t>
  </si>
  <si>
    <t xml:space="preserve">OutageRate </t>
  </si>
  <si>
    <t xml:space="preserve">OutageTime </t>
  </si>
  <si>
    <t xml:space="preserve">PermFailureRate </t>
  </si>
  <si>
    <t xml:space="preserve">ReplaceTime </t>
  </si>
  <si>
    <t xml:space="preserve">SpareAvail </t>
  </si>
  <si>
    <t xml:space="preserve">SwitchTime </t>
  </si>
  <si>
    <t xml:space="preserve">UnitLength </t>
  </si>
  <si>
    <t>CABLE DATA</t>
  </si>
  <si>
    <t xml:space="preserve"> Unit System (English or Metric)</t>
  </si>
  <si>
    <t>Conductor Type (Al or Cu)</t>
  </si>
  <si>
    <t>Installation (Mag/Non-Mag/Overhead)</t>
  </si>
  <si>
    <t>Cable Voltage (kV)</t>
  </si>
  <si>
    <t>% Class</t>
  </si>
  <si>
    <t>Cable Source</t>
  </si>
  <si>
    <t>Insulation</t>
  </si>
  <si>
    <t>#/Cable</t>
  </si>
  <si>
    <t>Cable Size</t>
  </si>
  <si>
    <t>Library Unit Length</t>
  </si>
  <si>
    <t>Library Length Unit</t>
  </si>
  <si>
    <r>
      <t>Base Temperature (</t>
    </r>
    <r>
      <rPr>
        <b/>
        <sz val="10"/>
        <rFont val="Arial"/>
        <family val="2"/>
      </rPr>
      <t>º</t>
    </r>
    <r>
      <rPr>
        <b/>
        <sz val="10"/>
        <rFont val="Arial"/>
        <family val="2"/>
      </rPr>
      <t>C)</t>
    </r>
  </si>
  <si>
    <t>Cable Length</t>
  </si>
  <si>
    <t>Cable Length Unit</t>
  </si>
  <si>
    <t>[CableLengthUnit]</t>
  </si>
  <si>
    <t>Tolerance (%)</t>
  </si>
  <si>
    <r>
      <t>Temperature (</t>
    </r>
    <r>
      <rPr>
        <b/>
        <sz val="10"/>
        <rFont val="Arial"/>
        <family val="2"/>
      </rPr>
      <t>º</t>
    </r>
    <r>
      <rPr>
        <b/>
        <sz val="10"/>
        <rFont val="Arial"/>
        <family val="2"/>
      </rPr>
      <t>C)</t>
    </r>
  </si>
  <si>
    <t xml:space="preserve"> Min.</t>
  </si>
  <si>
    <t xml:space="preserve"> Max.</t>
  </si>
  <si>
    <t>R</t>
  </si>
  <si>
    <t>Y</t>
  </si>
  <si>
    <t>Positive Sequence</t>
  </si>
  <si>
    <t>Cable Impedance per Conductor</t>
  </si>
  <si>
    <t>Zero Sequence</t>
  </si>
  <si>
    <t>Impedance Unit</t>
  </si>
  <si>
    <t>Device4_WorksheetName</t>
  </si>
  <si>
    <t>Device4_XmlTag</t>
  </si>
  <si>
    <t>Device4_DataAddress</t>
  </si>
  <si>
    <t>_eF=Round(_eN[Tolerance],2)</t>
  </si>
  <si>
    <t>_eF=Round(_eN[MinTempValue], 1)</t>
  </si>
  <si>
    <t>_eF=Round(_eN[MaxTempValue], 1)</t>
  </si>
  <si>
    <t>_eF=Round(_eN[RPosValue], 3)</t>
  </si>
  <si>
    <t>_eF=Round(_eN[XPosValue], 3)</t>
  </si>
  <si>
    <t>_eF=Round(_eN[YPosValue], 5)</t>
  </si>
  <si>
    <t>[CommentText]</t>
  </si>
  <si>
    <t>CA_Frequency</t>
  </si>
  <si>
    <t>CA_Length</t>
  </si>
  <si>
    <t>CA_Temperature</t>
  </si>
  <si>
    <t>CA_Installation</t>
  </si>
  <si>
    <t>CA_NoofConductors</t>
  </si>
  <si>
    <t>CA_ConductorType</t>
  </si>
  <si>
    <t>CA_PercentClass</t>
  </si>
  <si>
    <t>CA_RatedkV</t>
  </si>
  <si>
    <t>CA_AGAmpacityTc    </t>
  </si>
  <si>
    <t>CA_AGAmpacityTa</t>
  </si>
  <si>
    <t>CA_UGAmpacityRHO</t>
  </si>
  <si>
    <t>CA_UGAmpacityTc</t>
  </si>
  <si>
    <t>CA_UGAmpacityTa</t>
  </si>
  <si>
    <t>CA_UnitSystem</t>
  </si>
  <si>
    <t>CA_Insulation</t>
  </si>
  <si>
    <t>CA_Source</t>
  </si>
  <si>
    <t>[CA_UnitSystem]</t>
  </si>
  <si>
    <t>[CA_ConductorType]</t>
  </si>
  <si>
    <t>[CA_Installation]</t>
  </si>
  <si>
    <t>[CA_RatedkV]</t>
  </si>
  <si>
    <t>[CA_PercentClass]</t>
  </si>
  <si>
    <t>[CA_Source]</t>
  </si>
  <si>
    <t>[CA_Insulation]</t>
  </si>
  <si>
    <t>[CA_NoofConductors]</t>
  </si>
  <si>
    <t>[CA_Length]</t>
  </si>
  <si>
    <t>[CA_Temperature]</t>
  </si>
  <si>
    <t>2W-Transformer</t>
  </si>
  <si>
    <t>Device5_WorksheetName</t>
  </si>
  <si>
    <t>Device5_XmlTag</t>
  </si>
  <si>
    <t>Device5_DataAddress</t>
  </si>
  <si>
    <t xml:space="preserve">ansiLibModified </t>
  </si>
  <si>
    <t xml:space="preserve">AnsiMaxMVA </t>
  </si>
  <si>
    <t xml:space="preserve">AnsiMVA </t>
  </si>
  <si>
    <t xml:space="preserve">AnsiPosXR </t>
  </si>
  <si>
    <t xml:space="preserve">AnsiPosZ </t>
  </si>
  <si>
    <t xml:space="preserve">AnsiZeroXoverR </t>
  </si>
  <si>
    <t xml:space="preserve">AnsiZeroZ </t>
  </si>
  <si>
    <t xml:space="preserve">CenterTap </t>
  </si>
  <si>
    <t xml:space="preserve">CheckerConnect </t>
  </si>
  <si>
    <t xml:space="preserve">CheckerGroundingPage </t>
  </si>
  <si>
    <t xml:space="preserve">CheckerHarmonicPage </t>
  </si>
  <si>
    <t xml:space="preserve">CheckerImpedance2 </t>
  </si>
  <si>
    <t xml:space="preserve">CheckerImpedance3 </t>
  </si>
  <si>
    <t xml:space="preserve">CheckerImpedancePage </t>
  </si>
  <si>
    <t xml:space="preserve">CheckerInfoPage </t>
  </si>
  <si>
    <t xml:space="preserve">CheckerLTCPage </t>
  </si>
  <si>
    <t xml:space="preserve">CheckerOptimizingPage </t>
  </si>
  <si>
    <t xml:space="preserve">CheckerProtection </t>
  </si>
  <si>
    <t xml:space="preserve">CheckerRating1Phase </t>
  </si>
  <si>
    <t xml:space="preserve">CheckerRating2 </t>
  </si>
  <si>
    <t xml:space="preserve">CheckerRatingPage </t>
  </si>
  <si>
    <t xml:space="preserve">CheckerSizingPage </t>
  </si>
  <si>
    <t xml:space="preserve">CheckerTap2 </t>
  </si>
  <si>
    <t xml:space="preserve">CheckerTapPage </t>
  </si>
  <si>
    <t xml:space="preserve">GenerationUnitGID </t>
  </si>
  <si>
    <t xml:space="preserve">GenerationUnitIID </t>
  </si>
  <si>
    <t xml:space="preserve">Grounded </t>
  </si>
  <si>
    <t xml:space="preserve">iecLibModified </t>
  </si>
  <si>
    <t xml:space="preserve">KFactor </t>
  </si>
  <si>
    <t xml:space="preserve">LastPrimGroundingRX </t>
  </si>
  <si>
    <t xml:space="preserve">LastSecGroundingRX </t>
  </si>
  <si>
    <t xml:space="preserve">MVAButton </t>
  </si>
  <si>
    <t xml:space="preserve">NegTapSetting </t>
  </si>
  <si>
    <t xml:space="preserve">PhaseShiftHL </t>
  </si>
  <si>
    <t xml:space="preserve">PhaseShiftPS </t>
  </si>
  <si>
    <t xml:space="preserve">PhaseShiftType </t>
  </si>
  <si>
    <t xml:space="preserve">PosTapSetting </t>
  </si>
  <si>
    <t xml:space="preserve">PrimaryInitialTimeDelay </t>
  </si>
  <si>
    <t xml:space="preserve">PrimarykVTapButton </t>
  </si>
  <si>
    <t xml:space="preserve">PrimaryLTCOpTap </t>
  </si>
  <si>
    <t xml:space="preserve">PrimaryMaxPercentTap </t>
  </si>
  <si>
    <t xml:space="preserve">PrimaryMinPercentTap </t>
  </si>
  <si>
    <t xml:space="preserve">PrimaryOperatingTime </t>
  </si>
  <si>
    <t xml:space="preserve">PrimaryRegBusID </t>
  </si>
  <si>
    <t xml:space="preserve">PrimaryRegVolPercent </t>
  </si>
  <si>
    <t xml:space="preserve">PrimaryStepPercentTap </t>
  </si>
  <si>
    <t xml:space="preserve">PrimCheckBox </t>
  </si>
  <si>
    <t xml:space="preserve">PrimConnectionButton </t>
  </si>
  <si>
    <t xml:space="preserve">PrimEarthingType </t>
  </si>
  <si>
    <t xml:space="preserve">PrimFLA </t>
  </si>
  <si>
    <t xml:space="preserve">PrimGroundingAmpers1 </t>
  </si>
  <si>
    <t xml:space="preserve">PrimGroundingAmpers2 </t>
  </si>
  <si>
    <t xml:space="preserve">PrimGroundingKV1 </t>
  </si>
  <si>
    <t xml:space="preserve">PrimGroundingKV2 </t>
  </si>
  <si>
    <t xml:space="preserve">PrimGroundingKVA </t>
  </si>
  <si>
    <t xml:space="preserve">PrimGroundingSecOhms </t>
  </si>
  <si>
    <t xml:space="preserve">PrimGroundingType </t>
  </si>
  <si>
    <t xml:space="preserve">PrimkV </t>
  </si>
  <si>
    <t xml:space="preserve">PrimLTCVLower </t>
  </si>
  <si>
    <t xml:space="preserve">PrimLTCVUpper </t>
  </si>
  <si>
    <t xml:space="preserve">PrimPercentTap </t>
  </si>
  <si>
    <t xml:space="preserve">RatedPrimFLA </t>
  </si>
  <si>
    <t xml:space="preserve">RatedPrimFLAMax </t>
  </si>
  <si>
    <t xml:space="preserve">RatedPrimkV </t>
  </si>
  <si>
    <t xml:space="preserve">RatedSecFLA </t>
  </si>
  <si>
    <t xml:space="preserve">RatedSecFLAMax </t>
  </si>
  <si>
    <t xml:space="preserve">RatedSeckV </t>
  </si>
  <si>
    <t xml:space="preserve">RevCtrl </t>
  </si>
  <si>
    <t xml:space="preserve">SecCheckBox </t>
  </si>
  <si>
    <t xml:space="preserve">SecConnectionButton </t>
  </si>
  <si>
    <t xml:space="preserve">SecEarthingType </t>
  </si>
  <si>
    <t xml:space="preserve">SecFLA </t>
  </si>
  <si>
    <t xml:space="preserve">SecGroundingAmpers1 </t>
  </si>
  <si>
    <t xml:space="preserve">SecGroundingAmpers2 </t>
  </si>
  <si>
    <t xml:space="preserve">SecGroundingKV1 </t>
  </si>
  <si>
    <t xml:space="preserve">SecGroundingKV2 </t>
  </si>
  <si>
    <t xml:space="preserve">SecGroundingKVA </t>
  </si>
  <si>
    <t xml:space="preserve">SecGroundingSecOhms </t>
  </si>
  <si>
    <t xml:space="preserve">SecGroundingType </t>
  </si>
  <si>
    <t xml:space="preserve">SeckV </t>
  </si>
  <si>
    <t xml:space="preserve">SecLTCVLower </t>
  </si>
  <si>
    <t xml:space="preserve">SecLTCVUpper </t>
  </si>
  <si>
    <t xml:space="preserve">SecondaryInitialTimeDelay </t>
  </si>
  <si>
    <t xml:space="preserve">SecondarykVTapButton </t>
  </si>
  <si>
    <t xml:space="preserve">SecondaryLTCOpTap </t>
  </si>
  <si>
    <t xml:space="preserve">SecondaryMaxPercentTap </t>
  </si>
  <si>
    <t xml:space="preserve">SecondaryMinPercentTap </t>
  </si>
  <si>
    <t xml:space="preserve">SecondaryOperatingTime </t>
  </si>
  <si>
    <t xml:space="preserve">SecondaryRegBusID </t>
  </si>
  <si>
    <t xml:space="preserve">SecondaryRegVolPercent </t>
  </si>
  <si>
    <t xml:space="preserve">SecondaryStepPercentTap </t>
  </si>
  <si>
    <t xml:space="preserve">SecPercentTap </t>
  </si>
  <si>
    <t xml:space="preserve">TapButton </t>
  </si>
  <si>
    <t xml:space="preserve">ThreeSinglePhase </t>
  </si>
  <si>
    <t xml:space="preserve">TRODBIID </t>
  </si>
  <si>
    <t xml:space="preserve">UnitTransformer </t>
  </si>
  <si>
    <t xml:space="preserve">UserDefinedRating </t>
  </si>
  <si>
    <t xml:space="preserve">VectorOrWinding </t>
  </si>
  <si>
    <t xml:space="preserve">XFMR2OpenDeltaPhaseType </t>
  </si>
  <si>
    <t xml:space="preserve">XFMR2Type </t>
  </si>
  <si>
    <t xml:space="preserve">XFMRStandard </t>
  </si>
  <si>
    <t xml:space="preserve">ZNeg5PercentTap </t>
  </si>
  <si>
    <t xml:space="preserve">ZPos5PercentTap </t>
  </si>
  <si>
    <t xml:space="preserve">Altitude </t>
  </si>
  <si>
    <t xml:space="preserve">Altitude_OPER </t>
  </si>
  <si>
    <t xml:space="preserve">AmbientTemp </t>
  </si>
  <si>
    <t xml:space="preserve">AmbientTemp_OPER </t>
  </si>
  <si>
    <t xml:space="preserve">AuxLoadkVA </t>
  </si>
  <si>
    <t xml:space="preserve">AuxLoadMvar </t>
  </si>
  <si>
    <t xml:space="preserve">AuxLoadMW </t>
  </si>
  <si>
    <t xml:space="preserve">BIL </t>
  </si>
  <si>
    <t xml:space="preserve">BoolFieldsXFMR2 </t>
  </si>
  <si>
    <t xml:space="preserve">Class1MVA </t>
  </si>
  <si>
    <t xml:space="preserve">Class1MVA_T1 </t>
  </si>
  <si>
    <t xml:space="preserve">Class1MVA_T2 </t>
  </si>
  <si>
    <t xml:space="preserve">Class1MVA_T3 </t>
  </si>
  <si>
    <t xml:space="preserve">Class2MVA </t>
  </si>
  <si>
    <t xml:space="preserve">Class2MVA_T1 </t>
  </si>
  <si>
    <t xml:space="preserve">Class2MVA_T2 </t>
  </si>
  <si>
    <t xml:space="preserve">Class2MVA_T3 </t>
  </si>
  <si>
    <t xml:space="preserve">Class3MVA </t>
  </si>
  <si>
    <t xml:space="preserve">Class3MVA_T1 </t>
  </si>
  <si>
    <t xml:space="preserve">Class3MVA_T2 </t>
  </si>
  <si>
    <t xml:space="preserve">Class3MVA_T3 </t>
  </si>
  <si>
    <t xml:space="preserve">ClassName </t>
  </si>
  <si>
    <t xml:space="preserve">CoreLoss </t>
  </si>
  <si>
    <t xml:space="preserve">CurveShift </t>
  </si>
  <si>
    <t xml:space="preserve">DataFromLib </t>
  </si>
  <si>
    <t xml:space="preserve">DataType </t>
  </si>
  <si>
    <t xml:space="preserve">DeratedClass1MVA </t>
  </si>
  <si>
    <t xml:space="preserve">DeratedClass2MVA </t>
  </si>
  <si>
    <t xml:space="preserve">DeratedClass3MVA </t>
  </si>
  <si>
    <t xml:space="preserve">DeratedSelection </t>
  </si>
  <si>
    <t xml:space="preserve">DeviceType </t>
  </si>
  <si>
    <t xml:space="preserve">Efficiency </t>
  </si>
  <si>
    <t xml:space="preserve">FaultFrequency </t>
  </si>
  <si>
    <t xml:space="preserve">GenMaxMvar </t>
  </si>
  <si>
    <t xml:space="preserve">GenMinMvar </t>
  </si>
  <si>
    <t xml:space="preserve">GenMW </t>
  </si>
  <si>
    <t xml:space="preserve">GenRatedkV </t>
  </si>
  <si>
    <t xml:space="preserve">GenVariation </t>
  </si>
  <si>
    <t xml:space="preserve">GroundR </t>
  </si>
  <si>
    <t xml:space="preserve">GrowthFactor </t>
  </si>
  <si>
    <t xml:space="preserve">HarmonicRc </t>
  </si>
  <si>
    <t xml:space="preserve">HarmonicXm </t>
  </si>
  <si>
    <t xml:space="preserve">IncludeSpareLoads </t>
  </si>
  <si>
    <t xml:space="preserve">InrushDuration </t>
  </si>
  <si>
    <t xml:space="preserve">InrushMultiplier </t>
  </si>
  <si>
    <t xml:space="preserve">InrushTimeConstant </t>
  </si>
  <si>
    <t xml:space="preserve">InrushType </t>
  </si>
  <si>
    <t xml:space="preserve">ITotalPercent </t>
  </si>
  <si>
    <t xml:space="preserve">LibAccess </t>
  </si>
  <si>
    <t xml:space="preserve">LocSupervised </t>
  </si>
  <si>
    <t xml:space="preserve">ManufacturerName </t>
  </si>
  <si>
    <t xml:space="preserve">MaxSCContribution </t>
  </si>
  <si>
    <t xml:space="preserve">MfrModelID </t>
  </si>
  <si>
    <t xml:space="preserve">NLA </t>
  </si>
  <si>
    <t xml:space="preserve">Operating_Stage1 </t>
  </si>
  <si>
    <t xml:space="preserve">Operating_Stage2 </t>
  </si>
  <si>
    <t xml:space="preserve">OptimizeFields </t>
  </si>
  <si>
    <t xml:space="preserve">PercentZNeg </t>
  </si>
  <si>
    <t xml:space="preserve">PercentZPos </t>
  </si>
  <si>
    <t xml:space="preserve">PlotDamage </t>
  </si>
  <si>
    <t xml:space="preserve">PosR </t>
  </si>
  <si>
    <t xml:space="preserve">PosRoverX </t>
  </si>
  <si>
    <t xml:space="preserve">PosX </t>
  </si>
  <si>
    <t xml:space="preserve">PrimarykA </t>
  </si>
  <si>
    <t xml:space="preserve">PrimaryXoverR </t>
  </si>
  <si>
    <t xml:space="preserve">PrimCableR </t>
  </si>
  <si>
    <t xml:space="preserve">PrimCableX </t>
  </si>
  <si>
    <t xml:space="preserve">PrimCableY </t>
  </si>
  <si>
    <t xml:space="preserve">PrimDistributedNeutral </t>
  </si>
  <si>
    <t xml:space="preserve">PrimFLA_T1 </t>
  </si>
  <si>
    <t xml:space="preserve">PrimFLA_T2 </t>
  </si>
  <si>
    <t xml:space="preserve">PrimFLA_T3 </t>
  </si>
  <si>
    <t xml:space="preserve">PrimkA </t>
  </si>
  <si>
    <t xml:space="preserve">PrimkV_T1 </t>
  </si>
  <si>
    <t xml:space="preserve">PrimkV_T2 </t>
  </si>
  <si>
    <t xml:space="preserve">PrimkV_T3 </t>
  </si>
  <si>
    <t xml:space="preserve">PrimkVFixedTapButton </t>
  </si>
  <si>
    <t xml:space="preserve">PrimMaxPercentFixedTap </t>
  </si>
  <si>
    <t xml:space="preserve">PrimMinPercentFixedTap </t>
  </si>
  <si>
    <t xml:space="preserve">PrimNumSteps </t>
  </si>
  <si>
    <t xml:space="preserve">R_T1 </t>
  </si>
  <si>
    <t xml:space="preserve">R_T2 </t>
  </si>
  <si>
    <t xml:space="preserve">R_T3 </t>
  </si>
  <si>
    <t xml:space="preserve">RoverX_T1 </t>
  </si>
  <si>
    <t xml:space="preserve">RoverX_T2 </t>
  </si>
  <si>
    <t xml:space="preserve">RoverX_T3 </t>
  </si>
  <si>
    <t xml:space="preserve">SecCableR </t>
  </si>
  <si>
    <t xml:space="preserve">SecCableX </t>
  </si>
  <si>
    <t xml:space="preserve">SecCableY </t>
  </si>
  <si>
    <t xml:space="preserve">SecDistributedNeutral </t>
  </si>
  <si>
    <t xml:space="preserve">SecFLA_T1 </t>
  </si>
  <si>
    <t xml:space="preserve">SecFLA_T2 </t>
  </si>
  <si>
    <t xml:space="preserve">SecFLA_T3 </t>
  </si>
  <si>
    <t xml:space="preserve">SeckA </t>
  </si>
  <si>
    <t xml:space="preserve">SeckV_T1 </t>
  </si>
  <si>
    <t xml:space="preserve">SeckV_T2 </t>
  </si>
  <si>
    <t xml:space="preserve">SeckV_T3 </t>
  </si>
  <si>
    <t xml:space="preserve">SeckVFixedTapButton </t>
  </si>
  <si>
    <t xml:space="preserve">SecMaxPercentFixedTap </t>
  </si>
  <si>
    <t xml:space="preserve">SecMinPercentFixedTap </t>
  </si>
  <si>
    <t xml:space="preserve">SecNumSteps </t>
  </si>
  <si>
    <t xml:space="preserve">SecondarykA </t>
  </si>
  <si>
    <t xml:space="preserve">SecondaryXoverR </t>
  </si>
  <si>
    <t xml:space="preserve">SizingLoadkVA </t>
  </si>
  <si>
    <t xml:space="preserve">SourceType </t>
  </si>
  <si>
    <t xml:space="preserve">SysNominalkV </t>
  </si>
  <si>
    <t xml:space="preserve">SystemCalculated </t>
  </si>
  <si>
    <t xml:space="preserve">SystemImpedance </t>
  </si>
  <si>
    <t xml:space="preserve">SysVariation </t>
  </si>
  <si>
    <t xml:space="preserve">Temp1 </t>
  </si>
  <si>
    <t xml:space="preserve">Temp2 </t>
  </si>
  <si>
    <t xml:space="preserve">Temperature </t>
  </si>
  <si>
    <t xml:space="preserve">Total_Loss </t>
  </si>
  <si>
    <t xml:space="preserve">TypeName </t>
  </si>
  <si>
    <t xml:space="preserve">UDPrimarykA </t>
  </si>
  <si>
    <t xml:space="preserve">UDPrimaryXoverR </t>
  </si>
  <si>
    <t xml:space="preserve">UDSecondarykA </t>
  </si>
  <si>
    <t xml:space="preserve">UDSecondaryXoverR </t>
  </si>
  <si>
    <t xml:space="preserve">UpdateOpLoad </t>
  </si>
  <si>
    <t xml:space="preserve">UseANSISize </t>
  </si>
  <si>
    <t xml:space="preserve">UseGFForMaxRating </t>
  </si>
  <si>
    <t xml:space="preserve">X_T1 </t>
  </si>
  <si>
    <t xml:space="preserve">X_T2 </t>
  </si>
  <si>
    <t xml:space="preserve">X_T3 </t>
  </si>
  <si>
    <t xml:space="preserve">XFMRPercentZ </t>
  </si>
  <si>
    <t xml:space="preserve">XFMRRatedkVA </t>
  </si>
  <si>
    <t xml:space="preserve">XFMRSubType </t>
  </si>
  <si>
    <t xml:space="preserve">XFMRType </t>
  </si>
  <si>
    <t xml:space="preserve">XFMRXOverR </t>
  </si>
  <si>
    <t xml:space="preserve">XoverR_T1 </t>
  </si>
  <si>
    <t xml:space="preserve">XoverR_T2 </t>
  </si>
  <si>
    <t xml:space="preserve">XoverR_T3 </t>
  </si>
  <si>
    <t xml:space="preserve">Z_T1 </t>
  </si>
  <si>
    <t xml:space="preserve">Z_T2 </t>
  </si>
  <si>
    <t xml:space="preserve">Z_T3 </t>
  </si>
  <si>
    <t xml:space="preserve">ZeroR </t>
  </si>
  <si>
    <t xml:space="preserve">ZeroRoverX </t>
  </si>
  <si>
    <t xml:space="preserve">ZeroX </t>
  </si>
  <si>
    <t>TWO-WINDING TRANSFORMER DATA</t>
  </si>
  <si>
    <t>Temp Rise</t>
  </si>
  <si>
    <t>[Temperature]</t>
  </si>
  <si>
    <t>Primary Voltage</t>
  </si>
  <si>
    <t>kV</t>
  </si>
  <si>
    <t>Seondary Voltage</t>
  </si>
  <si>
    <t>Pri-Sec Impedance</t>
  </si>
  <si>
    <t>%</t>
  </si>
  <si>
    <t>Basic Impulse Level</t>
  </si>
  <si>
    <t>[BIL]</t>
  </si>
  <si>
    <t>Cooling Code</t>
  </si>
  <si>
    <t>[ClassName]</t>
  </si>
  <si>
    <t>K Factor</t>
  </si>
  <si>
    <t>X/R Rating</t>
  </si>
  <si>
    <t>_eF=Round(_eN[PrimkV], 2)</t>
  </si>
  <si>
    <t>_eF=Round(_eN[SeckV], 2)</t>
  </si>
  <si>
    <t>_eF=Round(_eN[AnsiPosXR], 1)</t>
  </si>
  <si>
    <t>_eF=Round(_eN[AnsiMaxMVA]/IF(_eN[MVAButton] = 1, 1, 1000), 2)</t>
  </si>
  <si>
    <t>_eF=Round([Kfactor],2)</t>
  </si>
  <si>
    <t>_eF=Round(_eN[AnsiPosZ], 1)</t>
  </si>
  <si>
    <t>THREE-WINDING TRANSFORMER DATA</t>
  </si>
  <si>
    <t>3W-Transformer</t>
  </si>
  <si>
    <t xml:space="preserve">kVAButton </t>
  </si>
  <si>
    <t xml:space="preserve">LastTerGroundingRX </t>
  </si>
  <si>
    <t xml:space="preserve">PhaseShiftPT </t>
  </si>
  <si>
    <t xml:space="preserve">PrimaryBus </t>
  </si>
  <si>
    <t xml:space="preserve">PrimkVA </t>
  </si>
  <si>
    <t xml:space="preserve">PrimMaxkVA </t>
  </si>
  <si>
    <t xml:space="preserve">PSPosXoverR </t>
  </si>
  <si>
    <t xml:space="preserve">PSPosZ </t>
  </si>
  <si>
    <t xml:space="preserve">PSZeroXoverR </t>
  </si>
  <si>
    <t xml:space="preserve">PSZeroZ </t>
  </si>
  <si>
    <t xml:space="preserve">PTPosXoverR </t>
  </si>
  <si>
    <t xml:space="preserve">PTPosZ </t>
  </si>
  <si>
    <t xml:space="preserve">PTZeroXoverR </t>
  </si>
  <si>
    <t xml:space="preserve">PTZeroZ </t>
  </si>
  <si>
    <t xml:space="preserve">SeckVA </t>
  </si>
  <si>
    <t xml:space="preserve">SecMaxkVA </t>
  </si>
  <si>
    <t xml:space="preserve">SecondaryBus </t>
  </si>
  <si>
    <t xml:space="preserve">STPosXoverR </t>
  </si>
  <si>
    <t xml:space="preserve">STPosZ </t>
  </si>
  <si>
    <t xml:space="preserve">STZeroXoverR </t>
  </si>
  <si>
    <t xml:space="preserve">STZeroZ </t>
  </si>
  <si>
    <t xml:space="preserve">TerCheckBox </t>
  </si>
  <si>
    <t xml:space="preserve">TerConnectionButton </t>
  </si>
  <si>
    <t xml:space="preserve">TerEarthingType </t>
  </si>
  <si>
    <t xml:space="preserve">TerGroundingAmpers1 </t>
  </si>
  <si>
    <t xml:space="preserve">TerGroundingKV1 </t>
  </si>
  <si>
    <t xml:space="preserve">TerGroundingKV2 </t>
  </si>
  <si>
    <t xml:space="preserve">TerGroundingKVA </t>
  </si>
  <si>
    <t xml:space="preserve">TerGroundingSecOhms </t>
  </si>
  <si>
    <t xml:space="preserve">TerGroundingType </t>
  </si>
  <si>
    <t xml:space="preserve">TeritiaryBus </t>
  </si>
  <si>
    <t xml:space="preserve">TerkV </t>
  </si>
  <si>
    <t xml:space="preserve">TerkVA </t>
  </si>
  <si>
    <t xml:space="preserve">TerLTCVLower </t>
  </si>
  <si>
    <t xml:space="preserve">TerLTCVUpper </t>
  </si>
  <si>
    <t xml:space="preserve">TerMaxkVA </t>
  </si>
  <si>
    <t xml:space="preserve">TerPercentTap </t>
  </si>
  <si>
    <t xml:space="preserve">TertiaryInitialTimeDelay </t>
  </si>
  <si>
    <t xml:space="preserve">TertiarykVTapButton </t>
  </si>
  <si>
    <t xml:space="preserve">TertiaryLTCOpTap </t>
  </si>
  <si>
    <t xml:space="preserve">TertiaryMaxPercentTap </t>
  </si>
  <si>
    <t xml:space="preserve">TertiaryMinPercentTap </t>
  </si>
  <si>
    <t xml:space="preserve">TertiaryOperatingTime </t>
  </si>
  <si>
    <t xml:space="preserve">TertiaryRegBusID </t>
  </si>
  <si>
    <t xml:space="preserve">TertiaryRegVolPercent </t>
  </si>
  <si>
    <t xml:space="preserve">TertiaryStepPercentTap </t>
  </si>
  <si>
    <t xml:space="preserve">PlotSide </t>
  </si>
  <si>
    <t xml:space="preserve">SystemImpedanceSec </t>
  </si>
  <si>
    <t xml:space="preserve">SystemImpedanceTer </t>
  </si>
  <si>
    <t xml:space="preserve">TerDistributedNeutral </t>
  </si>
  <si>
    <t xml:space="preserve">TertiarykA </t>
  </si>
  <si>
    <t xml:space="preserve">UDTertiarykA </t>
  </si>
  <si>
    <t>Tertiary Voltage</t>
  </si>
  <si>
    <t>_eF=Round(_eN[TerkV], 2)</t>
  </si>
  <si>
    <t>_eF=Round(_eN[PSPosZ], 1)</t>
  </si>
  <si>
    <t>Pri-Ter Impedance</t>
  </si>
  <si>
    <t>_eF=Round(_eN[PTPosZ], 1)</t>
  </si>
  <si>
    <t>Sec-Ter Impedance</t>
  </si>
  <si>
    <t>_eF=Round(_eN[STPosZ], 1)</t>
  </si>
  <si>
    <t>Pri-Sec X/R</t>
  </si>
  <si>
    <t>_eF=Round(_eN[PSPosXOverR], 1)</t>
  </si>
  <si>
    <t>Pri-Ter X/R</t>
  </si>
  <si>
    <t>_eF=Round(_eN[PTPosXOverR], 1)</t>
  </si>
  <si>
    <t>Sec-Ter X/R</t>
  </si>
  <si>
    <t>_eF=Round(_eN[STPosXOverR], 1)</t>
  </si>
  <si>
    <t>Device6_WorksheetName</t>
  </si>
  <si>
    <t>Device6_XmlTag</t>
  </si>
  <si>
    <t>Device6_DataAddress</t>
  </si>
  <si>
    <t>Xform3W</t>
  </si>
  <si>
    <t>StLoad</t>
  </si>
  <si>
    <t>Heater (StLoad)</t>
  </si>
  <si>
    <t xml:space="preserve">Amps </t>
  </si>
  <si>
    <t xml:space="preserve">Bus </t>
  </si>
  <si>
    <t xml:space="preserve">CheckerPageFour </t>
  </si>
  <si>
    <t xml:space="preserve">CheckerPageModel </t>
  </si>
  <si>
    <t xml:space="preserve">CheckerPageOne </t>
  </si>
  <si>
    <t xml:space="preserve">CheckerPageReliable </t>
  </si>
  <si>
    <t xml:space="preserve">CheckerPageThree </t>
  </si>
  <si>
    <t xml:space="preserve">CheckerPageTwo </t>
  </si>
  <si>
    <t xml:space="preserve">ContDF </t>
  </si>
  <si>
    <t xml:space="preserve">GroundingConnection </t>
  </si>
  <si>
    <t xml:space="preserve">HarmType </t>
  </si>
  <si>
    <t>MOV DATA</t>
  </si>
  <si>
    <t>MOV</t>
  </si>
  <si>
    <t xml:space="preserve">CheckerPageCableVd </t>
  </si>
  <si>
    <t xml:space="preserve">CheckerPageFdrAmp </t>
  </si>
  <si>
    <t xml:space="preserve">CheckerPageLoad </t>
  </si>
  <si>
    <t xml:space="preserve">CheckerPageNamePlate </t>
  </si>
  <si>
    <t xml:space="preserve">CheckerPageStartCat </t>
  </si>
  <si>
    <t xml:space="preserve">CloseDF </t>
  </si>
  <si>
    <t xml:space="preserve">Eff </t>
  </si>
  <si>
    <t xml:space="preserve">FSTime </t>
  </si>
  <si>
    <t xml:space="preserve">FStrokeTime </t>
  </si>
  <si>
    <t xml:space="preserve">HP </t>
  </si>
  <si>
    <t xml:space="preserve">I_LR </t>
  </si>
  <si>
    <t xml:space="preserve">I_NL </t>
  </si>
  <si>
    <t xml:space="preserve">I_Normal </t>
  </si>
  <si>
    <t xml:space="preserve">I_RatedT </t>
  </si>
  <si>
    <t xml:space="preserve">NameplateBits </t>
  </si>
  <si>
    <t xml:space="preserve">NormalTime </t>
  </si>
  <si>
    <t xml:space="preserve">OpenDF </t>
  </si>
  <si>
    <t xml:space="preserve">PF_LR </t>
  </si>
  <si>
    <t xml:space="preserve">PF_NL </t>
  </si>
  <si>
    <t xml:space="preserve">PF_Normal </t>
  </si>
  <si>
    <t xml:space="preserve">PF_RatedT </t>
  </si>
  <si>
    <t xml:space="preserve">Poles </t>
  </si>
  <si>
    <t xml:space="preserve">RatedT </t>
  </si>
  <si>
    <t xml:space="preserve">RPM </t>
  </si>
  <si>
    <t xml:space="preserve">SeatTime </t>
  </si>
  <si>
    <t xml:space="preserve">StallTime </t>
  </si>
  <si>
    <t xml:space="preserve">StartTime </t>
  </si>
  <si>
    <t xml:space="preserve">StrokeTime </t>
  </si>
  <si>
    <t xml:space="preserve">ThrottleDF </t>
  </si>
  <si>
    <t xml:space="preserve">MLibName </t>
  </si>
  <si>
    <t xml:space="preserve">NPBitset </t>
  </si>
  <si>
    <t xml:space="preserve">NPLibModified </t>
  </si>
  <si>
    <t xml:space="preserve">StartCat </t>
  </si>
  <si>
    <t xml:space="preserve">VLimit </t>
  </si>
  <si>
    <t xml:space="preserve">VLimitSeating </t>
  </si>
  <si>
    <t xml:space="preserve">VLimitTravel </t>
  </si>
  <si>
    <t>Initial Status</t>
  </si>
  <si>
    <t>Rated Torque ft-lb</t>
  </si>
  <si>
    <t>_eF=Round(_eN[RatedT], 1)</t>
  </si>
  <si>
    <t>Close DF</t>
  </si>
  <si>
    <t>[CloseDF]</t>
  </si>
  <si>
    <t>Opening DF</t>
  </si>
  <si>
    <t>Throttling DF</t>
  </si>
  <si>
    <t>[OpenDF]</t>
  </si>
  <si>
    <t>[ThrottleDF]</t>
  </si>
  <si>
    <t>_eF=FIXED(_eN[EFF], 1)</t>
  </si>
  <si>
    <t>FLA</t>
  </si>
  <si>
    <t>_eF=FIXED(_eN[IFL], 1)</t>
  </si>
  <si>
    <t>Starting Period</t>
  </si>
  <si>
    <t>No Load Period</t>
  </si>
  <si>
    <t>%PF</t>
  </si>
  <si>
    <t>%FLA</t>
  </si>
  <si>
    <t>Time (s)</t>
  </si>
  <si>
    <t>Travelling Period</t>
  </si>
  <si>
    <t>_eF=FIXED(_eN[I_Normal], 1)</t>
  </si>
  <si>
    <t>_eF=FIXED(_eN[PF_Normal], 1)</t>
  </si>
  <si>
    <t>Seating/Unseating</t>
  </si>
  <si>
    <t>Device13_WorksheetName</t>
  </si>
  <si>
    <t>Device13_XmlTag</t>
  </si>
  <si>
    <t>Device13_DataAddress</t>
  </si>
  <si>
    <t xml:space="preserve">HeaterR </t>
  </si>
  <si>
    <t xml:space="preserve">InterDF </t>
  </si>
  <si>
    <t xml:space="preserve">KV </t>
  </si>
  <si>
    <t xml:space="preserve">KVA </t>
  </si>
  <si>
    <t xml:space="preserve">KVAButton </t>
  </si>
  <si>
    <t xml:space="preserve">Kvar </t>
  </si>
  <si>
    <t xml:space="preserve">KW </t>
  </si>
  <si>
    <t xml:space="preserve">PercentLoad0 </t>
  </si>
  <si>
    <t xml:space="preserve">PercentLoad1 </t>
  </si>
  <si>
    <t xml:space="preserve">PercentLoad2 </t>
  </si>
  <si>
    <t xml:space="preserve">PercentLoad3 </t>
  </si>
  <si>
    <t xml:space="preserve">PercentLoad4 </t>
  </si>
  <si>
    <t xml:space="preserve">PercentLoad5 </t>
  </si>
  <si>
    <t xml:space="preserve">PercentLoad6 </t>
  </si>
  <si>
    <t xml:space="preserve">PercentLoad7 </t>
  </si>
  <si>
    <t xml:space="preserve">PercentLoad8 </t>
  </si>
  <si>
    <t xml:space="preserve">PercentLoad9 </t>
  </si>
  <si>
    <t xml:space="preserve">PF </t>
  </si>
  <si>
    <t xml:space="preserve">PhaseConnection </t>
  </si>
  <si>
    <t xml:space="preserve">Quantity </t>
  </si>
  <si>
    <t xml:space="preserve">SP3Wire </t>
  </si>
  <si>
    <t xml:space="preserve">SpareDF </t>
  </si>
  <si>
    <t xml:space="preserve">UseDMF </t>
  </si>
  <si>
    <t xml:space="preserve">ValidEquipmentCable </t>
  </si>
  <si>
    <t xml:space="preserve">EquipName </t>
  </si>
  <si>
    <t xml:space="preserve">HarmonicSourceID </t>
  </si>
  <si>
    <t xml:space="preserve">HeaterLibName </t>
  </si>
  <si>
    <t xml:space="preserve">LoadType </t>
  </si>
  <si>
    <t xml:space="preserve">Priority </t>
  </si>
  <si>
    <t xml:space="preserve">ReferencekVSel </t>
  </si>
  <si>
    <t xml:space="preserve">UDBasekV </t>
  </si>
  <si>
    <t>_eF=Round(_eN[kW], 0)</t>
  </si>
  <si>
    <t>_eF=FIXED(_eN[PF], 1)</t>
  </si>
  <si>
    <t>% PF</t>
  </si>
  <si>
    <t>Device7_WorksheetName</t>
  </si>
  <si>
    <t>Device7_XmlTag</t>
  </si>
  <si>
    <t>Device7_DataAddress</t>
  </si>
  <si>
    <t>LumpedLoad</t>
  </si>
  <si>
    <t>Non-Motor Load (Lumped Load)</t>
  </si>
  <si>
    <t xml:space="preserve">CheckerPageDM </t>
  </si>
  <si>
    <t xml:space="preserve">CheckerPageInfo </t>
  </si>
  <si>
    <t xml:space="preserve">CheckerPageNP </t>
  </si>
  <si>
    <t xml:space="preserve">CheckerPageNP2 </t>
  </si>
  <si>
    <t xml:space="preserve">CheckerPageRemarks </t>
  </si>
  <si>
    <t xml:space="preserve">CheckerPageSC </t>
  </si>
  <si>
    <t xml:space="preserve">DeltaY </t>
  </si>
  <si>
    <t xml:space="preserve">GroundingAmp </t>
  </si>
  <si>
    <t xml:space="preserve">GroundingOhm </t>
  </si>
  <si>
    <t xml:space="preserve">GroundingType </t>
  </si>
  <si>
    <t xml:space="preserve">IFL </t>
  </si>
  <si>
    <t xml:space="preserve">IsUDMSelected </t>
  </si>
  <si>
    <t xml:space="preserve">LoadPercent0 </t>
  </si>
  <si>
    <t xml:space="preserve">LoadPercent1 </t>
  </si>
  <si>
    <t xml:space="preserve">LoadPercent2 </t>
  </si>
  <si>
    <t xml:space="preserve">LoadPercent3 </t>
  </si>
  <si>
    <t xml:space="preserve">LoadPercent4 </t>
  </si>
  <si>
    <t xml:space="preserve">LoadPercent5 </t>
  </si>
  <si>
    <t xml:space="preserve">LoadPercent6 </t>
  </si>
  <si>
    <t xml:space="preserve">LoadPercent7 </t>
  </si>
  <si>
    <t xml:space="preserve">LoadPercent8 </t>
  </si>
  <si>
    <t xml:space="preserve">LoadPercent9 </t>
  </si>
  <si>
    <t xml:space="preserve">LRC </t>
  </si>
  <si>
    <t xml:space="preserve">ModelType </t>
  </si>
  <si>
    <t xml:space="preserve">MTLoadPercent </t>
  </si>
  <si>
    <t xml:space="preserve">MVA </t>
  </si>
  <si>
    <t xml:space="preserve">PercentTotalLoad </t>
  </si>
  <si>
    <t xml:space="preserve">SCBitSet </t>
  </si>
  <si>
    <t xml:space="preserve">SelectedUDMFileName </t>
  </si>
  <si>
    <t xml:space="preserve">TdP </t>
  </si>
  <si>
    <t xml:space="preserve">X </t>
  </si>
  <si>
    <t xml:space="preserve">XdP </t>
  </si>
  <si>
    <t xml:space="preserve">XOverR </t>
  </si>
  <si>
    <t xml:space="preserve">XP </t>
  </si>
  <si>
    <t xml:space="preserve">XPP </t>
  </si>
  <si>
    <t xml:space="preserve">a_Type3 </t>
  </si>
  <si>
    <t xml:space="preserve">a1_Type5 </t>
  </si>
  <si>
    <t xml:space="preserve">a2_Type5 </t>
  </si>
  <si>
    <t xml:space="preserve">b_Type3 </t>
  </si>
  <si>
    <t xml:space="preserve">b1_Type5 </t>
  </si>
  <si>
    <t xml:space="preserve">b2_Type5 </t>
  </si>
  <si>
    <t xml:space="preserve">Gamma </t>
  </si>
  <si>
    <t xml:space="preserve">H </t>
  </si>
  <si>
    <t xml:space="preserve">Kpf_Type3 </t>
  </si>
  <si>
    <t xml:space="preserve">Kpf1_Type5 </t>
  </si>
  <si>
    <t xml:space="preserve">Kpf2_Type4 </t>
  </si>
  <si>
    <t xml:space="preserve">Kpf2_Type5 </t>
  </si>
  <si>
    <t xml:space="preserve">Kqf_Type3 </t>
  </si>
  <si>
    <t xml:space="preserve">Kqf1_Type5 </t>
  </si>
  <si>
    <t xml:space="preserve">Kqf2_Type4 </t>
  </si>
  <si>
    <t xml:space="preserve">Kqf2_Type5 </t>
  </si>
  <si>
    <t xml:space="preserve">MotorLoadPercent </t>
  </si>
  <si>
    <t xml:space="preserve">P0_Type3 </t>
  </si>
  <si>
    <t xml:space="preserve">P0_Type4 </t>
  </si>
  <si>
    <t xml:space="preserve">P0_Type5 </t>
  </si>
  <si>
    <t xml:space="preserve">P1_Type4 </t>
  </si>
  <si>
    <t xml:space="preserve">P1_Type5 </t>
  </si>
  <si>
    <t xml:space="preserve">P2_Type4 </t>
  </si>
  <si>
    <t xml:space="preserve">P2_Type5 </t>
  </si>
  <si>
    <t xml:space="preserve">P3_Type4 </t>
  </si>
  <si>
    <t xml:space="preserve">P3_Type5 </t>
  </si>
  <si>
    <t xml:space="preserve">P4_Type5 </t>
  </si>
  <si>
    <t xml:space="preserve">P5_Type5 </t>
  </si>
  <si>
    <t xml:space="preserve">PhaseA_Amp </t>
  </si>
  <si>
    <t xml:space="preserve">PhaseA_MVA </t>
  </si>
  <si>
    <t xml:space="preserve">PhaseA_PF </t>
  </si>
  <si>
    <t xml:space="preserve">PhaseB_Amp </t>
  </si>
  <si>
    <t xml:space="preserve">PhaseB_MVA </t>
  </si>
  <si>
    <t xml:space="preserve">PhaseB_PF </t>
  </si>
  <si>
    <t xml:space="preserve">PhaseC_Amp </t>
  </si>
  <si>
    <t xml:space="preserve">PhaseC_MVA </t>
  </si>
  <si>
    <t xml:space="preserve">PhaseC_PF </t>
  </si>
  <si>
    <t xml:space="preserve">Q0_Type3 </t>
  </si>
  <si>
    <t xml:space="preserve">Q0_Type4 </t>
  </si>
  <si>
    <t xml:space="preserve">Q0_Type5 </t>
  </si>
  <si>
    <t xml:space="preserve">Q1_Type4 </t>
  </si>
  <si>
    <t xml:space="preserve">Q1_Type5 </t>
  </si>
  <si>
    <t xml:space="preserve">Q2_Type4 </t>
  </si>
  <si>
    <t xml:space="preserve">Q2_Type5 </t>
  </si>
  <si>
    <t xml:space="preserve">Q3_Type4 </t>
  </si>
  <si>
    <t>VFD DATA</t>
  </si>
  <si>
    <t>VFD (VFDrive)</t>
  </si>
  <si>
    <t xml:space="preserve">AcGrounded </t>
  </si>
  <si>
    <t xml:space="preserve">AcGroundR </t>
  </si>
  <si>
    <t xml:space="preserve">AutoClose </t>
  </si>
  <si>
    <t xml:space="preserve">BypassSwitch </t>
  </si>
  <si>
    <t xml:space="preserve">BypassSwitchLF </t>
  </si>
  <si>
    <t xml:space="preserve">CheckerPageControl </t>
  </si>
  <si>
    <t xml:space="preserve">CheckerPageHarmonic </t>
  </si>
  <si>
    <t xml:space="preserve">CheckerPageLoading </t>
  </si>
  <si>
    <t xml:space="preserve">CheckerPageRating </t>
  </si>
  <si>
    <t xml:space="preserve">CheckerPageStarting </t>
  </si>
  <si>
    <t xml:space="preserve">ControlledPF </t>
  </si>
  <si>
    <t xml:space="preserve">EarthingType </t>
  </si>
  <si>
    <t xml:space="preserve">InputBus </t>
  </si>
  <si>
    <t xml:space="preserve">InputFLA </t>
  </si>
  <si>
    <t xml:space="preserve">InputkV </t>
  </si>
  <si>
    <t xml:space="preserve">KWButton </t>
  </si>
  <si>
    <t xml:space="preserve">OperatingPF </t>
  </si>
  <si>
    <t xml:space="preserve">OperatingVoltPerHz </t>
  </si>
  <si>
    <t xml:space="preserve">OutputFLA </t>
  </si>
  <si>
    <t xml:space="preserve">OutputFrequency </t>
  </si>
  <si>
    <t xml:space="preserve">OutputkV </t>
  </si>
  <si>
    <t xml:space="preserve">OutputKVA </t>
  </si>
  <si>
    <t xml:space="preserve">OutputLoad </t>
  </si>
  <si>
    <t xml:space="preserve">OutputMaxFLA </t>
  </si>
  <si>
    <t xml:space="preserve">OutputMaxVLimit </t>
  </si>
  <si>
    <t xml:space="preserve">PercentEFF </t>
  </si>
  <si>
    <t xml:space="preserve">PercentPF </t>
  </si>
  <si>
    <t xml:space="preserve">ScK </t>
  </si>
  <si>
    <t xml:space="preserve">Alpha </t>
  </si>
  <si>
    <t xml:space="preserve">Beta </t>
  </si>
  <si>
    <t xml:space="preserve">ControlType </t>
  </si>
  <si>
    <t xml:space="preserve">DistributedNeutral </t>
  </si>
  <si>
    <t xml:space="preserve">DwHigh </t>
  </si>
  <si>
    <t xml:space="preserve">DwLow </t>
  </si>
  <si>
    <t xml:space="preserve">Kf </t>
  </si>
  <si>
    <t xml:space="preserve">Ki </t>
  </si>
  <si>
    <t xml:space="preserve">Kp </t>
  </si>
  <si>
    <t xml:space="preserve">LibOrCalc </t>
  </si>
  <si>
    <t xml:space="preserve">MaxFreq </t>
  </si>
  <si>
    <t xml:space="preserve">MaxOrder </t>
  </si>
  <si>
    <t xml:space="preserve">MinFreq </t>
  </si>
  <si>
    <t xml:space="preserve">NumberOfPulse </t>
  </si>
  <si>
    <t xml:space="preserve">PercentCurrentLimit </t>
  </si>
  <si>
    <t xml:space="preserve">PercentOperFreq </t>
  </si>
  <si>
    <t xml:space="preserve">PWMFactor </t>
  </si>
  <si>
    <t xml:space="preserve">ShiftAngle </t>
  </si>
  <si>
    <t xml:space="preserve">StarterControl </t>
  </si>
  <si>
    <t xml:space="preserve">SynchTime </t>
  </si>
  <si>
    <t xml:space="preserve">Tr </t>
  </si>
  <si>
    <t xml:space="preserve">VariableVHz </t>
  </si>
  <si>
    <t xml:space="preserve">VFDDCLinkC </t>
  </si>
  <si>
    <t xml:space="preserve">VFDDCLinkL </t>
  </si>
  <si>
    <t xml:space="preserve">VFDDCLinkR </t>
  </si>
  <si>
    <t xml:space="preserve">VFDType </t>
  </si>
  <si>
    <t xml:space="preserve">Xc </t>
  </si>
  <si>
    <t>VFDrive</t>
  </si>
  <si>
    <t>_eF=Round(_eN[kW], 1)</t>
  </si>
  <si>
    <t>% EFF</t>
  </si>
  <si>
    <t>_eF=FIXED(_eN[PercentEFF], 1)</t>
  </si>
  <si>
    <t>Device12_WorksheetName</t>
  </si>
  <si>
    <t>Device12_XmlTag</t>
  </si>
  <si>
    <t>Device12_DataAddress</t>
  </si>
  <si>
    <t>VFD</t>
  </si>
  <si>
    <t xml:space="preserve">Q3_Type5 </t>
  </si>
  <si>
    <t xml:space="preserve">Q4_Type5 </t>
  </si>
  <si>
    <t xml:space="preserve">Q5_Type5 </t>
  </si>
  <si>
    <t xml:space="preserve">StaticLoadPercent </t>
  </si>
  <si>
    <t xml:space="preserve">WR </t>
  </si>
  <si>
    <t>Heater ID</t>
  </si>
  <si>
    <t>Load kVA</t>
  </si>
  <si>
    <t>Device8_WorksheetName</t>
  </si>
  <si>
    <t>Device8_XmlTag</t>
  </si>
  <si>
    <t>Device8_DataAddress</t>
  </si>
  <si>
    <t>TRANSMISSION LINE DATA</t>
  </si>
  <si>
    <t>Xline</t>
  </si>
  <si>
    <t xml:space="preserve">BaseTemp1 </t>
  </si>
  <si>
    <t xml:space="preserve">BaseTemp2 </t>
  </si>
  <si>
    <t xml:space="preserve">CheckerComment </t>
  </si>
  <si>
    <t xml:space="preserve">CheckerConfig </t>
  </si>
  <si>
    <t xml:space="preserve">CheckerImped </t>
  </si>
  <si>
    <t xml:space="preserve">CheckerInfo </t>
  </si>
  <si>
    <t xml:space="preserve">CheckerParameter </t>
  </si>
  <si>
    <t xml:space="preserve">CheckerReliable </t>
  </si>
  <si>
    <t xml:space="preserve">CheckerRemarks </t>
  </si>
  <si>
    <t xml:space="preserve">ConductorType </t>
  </si>
  <si>
    <t xml:space="preserve">GroupNumber </t>
  </si>
  <si>
    <t xml:space="preserve">Length </t>
  </si>
  <si>
    <t xml:space="preserve">LengthUnit </t>
  </si>
  <si>
    <t xml:space="preserve">MaxTemp </t>
  </si>
  <si>
    <t xml:space="preserve">MinTemp </t>
  </si>
  <si>
    <t xml:space="preserve">PerLength </t>
  </si>
  <si>
    <t xml:space="preserve">PerLengthUnit </t>
  </si>
  <si>
    <t xml:space="preserve">RNeg </t>
  </si>
  <si>
    <t xml:space="preserve">RNeg2 </t>
  </si>
  <si>
    <t xml:space="preserve">RPos </t>
  </si>
  <si>
    <t xml:space="preserve">RPos2 </t>
  </si>
  <si>
    <t xml:space="preserve">RZero </t>
  </si>
  <si>
    <t xml:space="preserve">RZero2 </t>
  </si>
  <si>
    <t xml:space="preserve">UnitSystem </t>
  </si>
  <si>
    <t xml:space="preserve">XNeg </t>
  </si>
  <si>
    <t xml:space="preserve">XPos </t>
  </si>
  <si>
    <t xml:space="preserve">XZero </t>
  </si>
  <si>
    <t xml:space="preserve">YNeg </t>
  </si>
  <si>
    <t xml:space="preserve">YPos </t>
  </si>
  <si>
    <t xml:space="preserve">YZero </t>
  </si>
  <si>
    <t xml:space="preserve">AlCuDensity </t>
  </si>
  <si>
    <t xml:space="preserve">AllowableAmp </t>
  </si>
  <si>
    <t xml:space="preserve">Azimuth </t>
  </si>
  <si>
    <t xml:space="preserve">BaseAmp </t>
  </si>
  <si>
    <t xml:space="preserve">BoolFieldsXLine </t>
  </si>
  <si>
    <t xml:space="preserve">CalcButton </t>
  </si>
  <si>
    <t xml:space="preserve">CalcDuration </t>
  </si>
  <si>
    <t xml:space="preserve">CalculatedAmp </t>
  </si>
  <si>
    <t xml:space="preserve">CheckerAmpacity </t>
  </si>
  <si>
    <t xml:space="preserve">CheckerCoupling </t>
  </si>
  <si>
    <t xml:space="preserve">CheckerEarth </t>
  </si>
  <si>
    <t xml:space="preserve">CheckerLibData </t>
  </si>
  <si>
    <t xml:space="preserve">CheckerSag </t>
  </si>
  <si>
    <t xml:space="preserve">CheckSameTwrHght </t>
  </si>
  <si>
    <t xml:space="preserve">CheckUseOp </t>
  </si>
  <si>
    <t xml:space="preserve">Condition </t>
  </si>
  <si>
    <t xml:space="preserve">CondLibCode </t>
  </si>
  <si>
    <t xml:space="preserve">CondLineSize </t>
  </si>
  <si>
    <t xml:space="preserve">CondMaxTemp </t>
  </si>
  <si>
    <t xml:space="preserve">CondOpTemp </t>
  </si>
  <si>
    <t xml:space="preserve">CondPerPhase </t>
  </si>
  <si>
    <t xml:space="preserve">CondRDC </t>
  </si>
  <si>
    <t xml:space="preserve">CondStrength </t>
  </si>
  <si>
    <t>IMPEDANCE DATA</t>
  </si>
  <si>
    <t xml:space="preserve">CheckerRating </t>
  </si>
  <si>
    <t xml:space="preserve">KVbase </t>
  </si>
  <si>
    <t xml:space="preserve">Model </t>
  </si>
  <si>
    <t xml:space="preserve">MVAbase </t>
  </si>
  <si>
    <t xml:space="preserve">DataFormat </t>
  </si>
  <si>
    <t xml:space="preserve">RAA </t>
  </si>
  <si>
    <t xml:space="preserve">RAB </t>
  </si>
  <si>
    <t xml:space="preserve">RAC </t>
  </si>
  <si>
    <t xml:space="preserve">RBA </t>
  </si>
  <si>
    <t xml:space="preserve">RBB </t>
  </si>
  <si>
    <t xml:space="preserve">RBC </t>
  </si>
  <si>
    <t xml:space="preserve">RCA </t>
  </si>
  <si>
    <t xml:space="preserve">RCB </t>
  </si>
  <si>
    <t xml:space="preserve">RCC </t>
  </si>
  <si>
    <t xml:space="preserve">XAA </t>
  </si>
  <si>
    <t xml:space="preserve">XAB </t>
  </si>
  <si>
    <t xml:space="preserve">XAC </t>
  </si>
  <si>
    <t xml:space="preserve">XBA </t>
  </si>
  <si>
    <t xml:space="preserve">XBB </t>
  </si>
  <si>
    <t xml:space="preserve">XBC </t>
  </si>
  <si>
    <t xml:space="preserve">XCA </t>
  </si>
  <si>
    <t xml:space="preserve">XCB </t>
  </si>
  <si>
    <t xml:space="preserve">XCC </t>
  </si>
  <si>
    <t xml:space="preserve">YAA </t>
  </si>
  <si>
    <t xml:space="preserve">YAB </t>
  </si>
  <si>
    <t xml:space="preserve">YAC </t>
  </si>
  <si>
    <t xml:space="preserve">YBA </t>
  </si>
  <si>
    <t xml:space="preserve">YBB </t>
  </si>
  <si>
    <t xml:space="preserve">YBC </t>
  </si>
  <si>
    <t xml:space="preserve">YCA </t>
  </si>
  <si>
    <t xml:space="preserve">YCB </t>
  </si>
  <si>
    <t xml:space="preserve">YCC </t>
  </si>
  <si>
    <t>Unit % or Ohms</t>
  </si>
  <si>
    <t>_eF=IF(_eN[UnitSystem] = 0, "%", "Ohms")</t>
  </si>
  <si>
    <t>Base kV (required for Unit in %)</t>
  </si>
  <si>
    <t>Positive R</t>
  </si>
  <si>
    <t>Positive X</t>
  </si>
  <si>
    <t>Positive Y</t>
  </si>
  <si>
    <t>_eF=Round(_eN[RPos], 1)</t>
  </si>
  <si>
    <t>_eF=Round(_eN[XPos], 1)</t>
  </si>
  <si>
    <t>_eF=Round(_eN[YPos], 1)</t>
  </si>
  <si>
    <t>Zero R</t>
  </si>
  <si>
    <t>Zero X</t>
  </si>
  <si>
    <t>Zero Y</t>
  </si>
  <si>
    <t>Device11_WorksheetName</t>
  </si>
  <si>
    <t>Device11_XmlTag</t>
  </si>
  <si>
    <t>Device11_DataAddress</t>
  </si>
  <si>
    <t xml:space="preserve">CondTa </t>
  </si>
  <si>
    <t xml:space="preserve">CondTc </t>
  </si>
  <si>
    <t xml:space="preserve">ConductorXa </t>
  </si>
  <si>
    <t xml:space="preserve">ConductorXaPrime </t>
  </si>
  <si>
    <t xml:space="preserve">ConfigType </t>
  </si>
  <si>
    <t xml:space="preserve">CouplingXOffset </t>
  </si>
  <si>
    <t xml:space="preserve">CouplingYOffset </t>
  </si>
  <si>
    <t xml:space="preserve">D12 </t>
  </si>
  <si>
    <t xml:space="preserve">DAB </t>
  </si>
  <si>
    <t xml:space="preserve">DBC </t>
  </si>
  <si>
    <t xml:space="preserve">DCA </t>
  </si>
  <si>
    <t xml:space="preserve">DCG </t>
  </si>
  <si>
    <t xml:space="preserve">DGG </t>
  </si>
  <si>
    <t xml:space="preserve">DiameterALCU </t>
  </si>
  <si>
    <t xml:space="preserve">DiameterSteel </t>
  </si>
  <si>
    <t xml:space="preserve">DirectionState </t>
  </si>
  <si>
    <t xml:space="preserve">EarthLayer1Depth </t>
  </si>
  <si>
    <t xml:space="preserve">EarthLayer1e </t>
  </si>
  <si>
    <t xml:space="preserve">EarthLayer1p </t>
  </si>
  <si>
    <t xml:space="preserve">EarthLayer1u </t>
  </si>
  <si>
    <t xml:space="preserve">EarthLayer2Depth </t>
  </si>
  <si>
    <t xml:space="preserve">EarthLayer2e </t>
  </si>
  <si>
    <t xml:space="preserve">EarthLayer2p </t>
  </si>
  <si>
    <t xml:space="preserve">EarthLayer2u </t>
  </si>
  <si>
    <t xml:space="preserve">EarthLayer3e </t>
  </si>
  <si>
    <t xml:space="preserve">EarthLayer3p </t>
  </si>
  <si>
    <t xml:space="preserve">EarthLayer3u </t>
  </si>
  <si>
    <t xml:space="preserve">ElasticityALCU </t>
  </si>
  <si>
    <t xml:space="preserve">ElasticitySteel </t>
  </si>
  <si>
    <t xml:space="preserve">Elevation </t>
  </si>
  <si>
    <t xml:space="preserve">ElongCoeff </t>
  </si>
  <si>
    <t xml:space="preserve">Emissivity </t>
  </si>
  <si>
    <t xml:space="preserve">GrdBaseTemp1 </t>
  </si>
  <si>
    <t xml:space="preserve">GrdBaseTemp2 </t>
  </si>
  <si>
    <t xml:space="preserve">GrdRDC </t>
  </si>
  <si>
    <t xml:space="preserve">GrdStrength </t>
  </si>
  <si>
    <t xml:space="preserve">GrdTa </t>
  </si>
  <si>
    <t xml:space="preserve">GrdTc </t>
  </si>
  <si>
    <t xml:space="preserve">GroundFromCondLib </t>
  </si>
  <si>
    <t xml:space="preserve">GroundG1Check </t>
  </si>
  <si>
    <t xml:space="preserve">GroundG1X </t>
  </si>
  <si>
    <t xml:space="preserve">GroundG1Y </t>
  </si>
  <si>
    <t xml:space="preserve">GroundG2Check </t>
  </si>
  <si>
    <t xml:space="preserve">GroundG2X </t>
  </si>
  <si>
    <t xml:space="preserve">GroundG2Y </t>
  </si>
  <si>
    <t>Rated Amps</t>
  </si>
  <si>
    <t>_eF=Round(_eN[Amp], 1)</t>
  </si>
  <si>
    <t>Rated kV</t>
  </si>
  <si>
    <t>_eF=Round(_eN[kV], 3)</t>
  </si>
  <si>
    <t>Impedance</t>
  </si>
  <si>
    <t>Positive Z (Ohms)</t>
  </si>
  <si>
    <t>Positive X/R</t>
  </si>
  <si>
    <t>Zero Z (Ohms)</t>
  </si>
  <si>
    <t>Zero X/R</t>
  </si>
  <si>
    <t>_eF=Round(_eN[ZPos], 1)</t>
  </si>
  <si>
    <t>_eF=Round(_eN[XRPos], 1)</t>
  </si>
  <si>
    <t>Device10_WorksheetName</t>
  </si>
  <si>
    <t>Device10_XmlTag</t>
  </si>
  <si>
    <t>Device10_DataAddress</t>
  </si>
  <si>
    <t xml:space="preserve">GroundLibHeaderData </t>
  </si>
  <si>
    <t xml:space="preserve">GroundWireDiameter </t>
  </si>
  <si>
    <t xml:space="preserve">GroundWireGMR </t>
  </si>
  <si>
    <t xml:space="preserve">GroundWireLibCode </t>
  </si>
  <si>
    <t xml:space="preserve">GroundWireLibDataAccessed </t>
  </si>
  <si>
    <t xml:space="preserve">GroundWireLibDataModified </t>
  </si>
  <si>
    <t xml:space="preserve">GroundWireLineSize </t>
  </si>
  <si>
    <t xml:space="preserve">GroundWireNumber </t>
  </si>
  <si>
    <t xml:space="preserve">GroundWirePerLength </t>
  </si>
  <si>
    <t xml:space="preserve">GroundWirePerLengthUnit </t>
  </si>
  <si>
    <t xml:space="preserve">GroundWireResistT1 </t>
  </si>
  <si>
    <t xml:space="preserve">GroundWireResistT2 </t>
  </si>
  <si>
    <t xml:space="preserve">GroundWireType </t>
  </si>
  <si>
    <t xml:space="preserve">GroundWireXa </t>
  </si>
  <si>
    <t xml:space="preserve">GroundWireXaPrime </t>
  </si>
  <si>
    <t xml:space="preserve">GroupID </t>
  </si>
  <si>
    <t xml:space="preserve">GroupLength </t>
  </si>
  <si>
    <t xml:space="preserve">GroupNum </t>
  </si>
  <si>
    <t xml:space="preserve">Height </t>
  </si>
  <si>
    <t xml:space="preserve">HeightDiff </t>
  </si>
  <si>
    <t xml:space="preserve">HighTwrSag </t>
  </si>
  <si>
    <t xml:space="preserve">HighTwrTension </t>
  </si>
  <si>
    <t xml:space="preserve">InitCurrent </t>
  </si>
  <si>
    <t xml:space="preserve">InitTemp </t>
  </si>
  <si>
    <t xml:space="preserve">KnownIce </t>
  </si>
  <si>
    <t xml:space="preserve">KnownKFactor </t>
  </si>
  <si>
    <t xml:space="preserve">KnownSag </t>
  </si>
  <si>
    <t xml:space="preserve">KnownTemp </t>
  </si>
  <si>
    <t xml:space="preserve">KnownTension </t>
  </si>
  <si>
    <t xml:space="preserve">KnownWind </t>
  </si>
  <si>
    <t xml:space="preserve">LibHeaderData </t>
  </si>
  <si>
    <t xml:space="preserve">LineDiameter </t>
  </si>
  <si>
    <t xml:space="preserve">LineGMR </t>
  </si>
  <si>
    <t xml:space="preserve">LineLibDataAccessed </t>
  </si>
  <si>
    <t xml:space="preserve">LineLibDataModified </t>
  </si>
  <si>
    <t xml:space="preserve">LinePerLength </t>
  </si>
  <si>
    <t xml:space="preserve">LinePerLengthUnit </t>
  </si>
  <si>
    <t xml:space="preserve">LineResistT1 </t>
  </si>
  <si>
    <t xml:space="preserve">LineResistT2 </t>
  </si>
  <si>
    <t>Reactor</t>
  </si>
  <si>
    <t xml:space="preserve">Amp </t>
  </si>
  <si>
    <t xml:space="preserve">Checker </t>
  </si>
  <si>
    <t xml:space="preserve">XRPos </t>
  </si>
  <si>
    <t xml:space="preserve">XRZero </t>
  </si>
  <si>
    <t xml:space="preserve">ZPos </t>
  </si>
  <si>
    <t xml:space="preserve">ZZero </t>
  </si>
  <si>
    <t>REACTOR DATA</t>
  </si>
  <si>
    <t xml:space="preserve">LineRulingSpan </t>
  </si>
  <si>
    <t xml:space="preserve">LineSeparation </t>
  </si>
  <si>
    <t xml:space="preserve">LineTemp </t>
  </si>
  <si>
    <t xml:space="preserve">LineTension </t>
  </si>
  <si>
    <t xml:space="preserve">LoadedIce </t>
  </si>
  <si>
    <t xml:space="preserve">LoadedKFactor </t>
  </si>
  <si>
    <t xml:space="preserve">LoadedWeight </t>
  </si>
  <si>
    <t xml:space="preserve">LoadedWind </t>
  </si>
  <si>
    <t xml:space="preserve">LowTwrSag </t>
  </si>
  <si>
    <t xml:space="preserve">LowTwrTension </t>
  </si>
  <si>
    <t xml:space="preserve">NorthLatitude </t>
  </si>
  <si>
    <t xml:space="preserve">NumOfEarthLayers </t>
  </si>
  <si>
    <t xml:space="preserve">OperatingAmp </t>
  </si>
  <si>
    <t xml:space="preserve">PhaseAX </t>
  </si>
  <si>
    <t xml:space="preserve">PhaseAY </t>
  </si>
  <si>
    <t xml:space="preserve">PhaseBX </t>
  </si>
  <si>
    <t xml:space="preserve">PhaseBY </t>
  </si>
  <si>
    <t xml:space="preserve">PhaseCX </t>
  </si>
  <si>
    <t xml:space="preserve">PhaseCY </t>
  </si>
  <si>
    <t xml:space="preserve">PhaseDomain </t>
  </si>
  <si>
    <t xml:space="preserve">RadionTension </t>
  </si>
  <si>
    <t xml:space="preserve">SolarAbsorb </t>
  </si>
  <si>
    <t xml:space="preserve">SteadyTransient </t>
  </si>
  <si>
    <t xml:space="preserve">SteelDensity </t>
  </si>
  <si>
    <t xml:space="preserve">StrandsALCU </t>
  </si>
  <si>
    <t xml:space="preserve">StrandsSteel </t>
  </si>
  <si>
    <t xml:space="preserve">SunTime </t>
  </si>
  <si>
    <t xml:space="preserve">TempAtAllowableAmp </t>
  </si>
  <si>
    <t xml:space="preserve">TowerAvgDistance </t>
  </si>
  <si>
    <t xml:space="preserve">TowerAvgUnit </t>
  </si>
  <si>
    <t xml:space="preserve">TowerGroundResistance </t>
  </si>
  <si>
    <t xml:space="preserve">TowerSegmented </t>
  </si>
  <si>
    <t xml:space="preserve">Transposed </t>
  </si>
  <si>
    <t xml:space="preserve">WindDirection </t>
  </si>
  <si>
    <t xml:space="preserve">WindSpeed </t>
  </si>
  <si>
    <t>Length</t>
  </si>
  <si>
    <t>Length Unit</t>
  </si>
  <si>
    <t>_eF=CHOOSE(_eN[UnitSystem] + 1, "Ohms per", "Ohms")</t>
  </si>
  <si>
    <t>_eF=CHOOSE(_eN[LengthUnit] + 1, "ft", "mile", "m", "km")</t>
  </si>
  <si>
    <t>_eF=Round(_eN[Tolerance], 1)</t>
  </si>
  <si>
    <t>_eF=Round(_eN[Length], 1)</t>
  </si>
  <si>
    <t>_eF=Round(_eN[BaseTemp1], 0)</t>
  </si>
  <si>
    <t>_eF=Round(_eN[BaseTemp2], 0)</t>
  </si>
  <si>
    <t>_eF=Round(_eN[MinTemp], 0)</t>
  </si>
  <si>
    <t>_eF=Round(_eN[MaxTemp], 0)</t>
  </si>
  <si>
    <t>Base T1 (°C)</t>
  </si>
  <si>
    <t xml:space="preserve"> Base T2 (°C)</t>
  </si>
  <si>
    <t>Minimum (°C)</t>
  </si>
  <si>
    <t xml:space="preserve"> Maximum (°C)</t>
  </si>
  <si>
    <t>_eF=Fixed(_eN[RPos], 1)</t>
  </si>
  <si>
    <t>_eF=Fixed(_eN[RPos2], 1)</t>
  </si>
  <si>
    <t>_eF=Fixed(_eN[XPos], 1)</t>
  </si>
  <si>
    <t>_eF=Fixed(_eN[YPos], 1)</t>
  </si>
  <si>
    <t>R1</t>
  </si>
  <si>
    <t>R2</t>
  </si>
  <si>
    <t>Positive</t>
  </si>
  <si>
    <t>Negative</t>
  </si>
  <si>
    <t>_eF=Fixed(_eN[RNeg], 1)</t>
  </si>
  <si>
    <t>_eF=Fixed(_eN[RNeg2], 1)</t>
  </si>
  <si>
    <t>_eF=Fixed(_eN[XNeg], 1)</t>
  </si>
  <si>
    <t>_eF=Fixed(_eN[YNeg], 1)</t>
  </si>
  <si>
    <t>Zero</t>
  </si>
  <si>
    <t>_eF=Fixed(_eN[RZero], 1)</t>
  </si>
  <si>
    <t>_eF=Fixed(_eN[RZero2], 1)</t>
  </si>
  <si>
    <t>_eF=Fixed(_eN[XZero], 1)</t>
  </si>
  <si>
    <t>_eF=Fixed(_eN[YZero], 1)</t>
  </si>
  <si>
    <t>Impedance per conductor</t>
  </si>
  <si>
    <t>Device9_WorksheetName</t>
  </si>
  <si>
    <t>Device9_XmlTag</t>
  </si>
  <si>
    <t>Device9_DataAddress</t>
  </si>
  <si>
    <t>Current6</t>
  </si>
  <si>
    <t>Current7</t>
  </si>
  <si>
    <t>Current8</t>
  </si>
  <si>
    <t>Current9</t>
  </si>
  <si>
    <t>CurrentUnit</t>
  </si>
  <si>
    <t>Time1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</si>
  <si>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</si>
  <si>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</si>
  <si>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</si>
  <si>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</si>
  <si>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</si>
  <si>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</si>
  <si>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</si>
  <si>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</si>
  <si>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</si>
  <si>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</si>
  <si>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</t>
  </si>
  <si>
    <t>Time20</t>
  </si>
  <si>
    <t>Time3</t>
  </si>
  <si>
    <t>Time4</t>
  </si>
  <si>
    <t>Time5</t>
  </si>
  <si>
    <t>Time6</t>
  </si>
  <si>
    <t>Time7</t>
  </si>
  <si>
    <t>Time8</t>
  </si>
  <si>
    <t>Time9</t>
  </si>
  <si>
    <t>Project</t>
  </si>
  <si>
    <t>Location</t>
  </si>
  <si>
    <t>Date</t>
  </si>
  <si>
    <t>Revision</t>
  </si>
  <si>
    <t>Quantity</t>
  </si>
  <si>
    <t>Description</t>
  </si>
  <si>
    <t>SF</t>
  </si>
  <si>
    <t>LRC</t>
  </si>
  <si>
    <t>Inertia</t>
  </si>
  <si>
    <t>Full Load</t>
  </si>
  <si>
    <t>PdeAction</t>
  </si>
  <si>
    <t>PdeDumpster</t>
  </si>
  <si>
    <t>PdeNewID</t>
  </si>
  <si>
    <t>PdeStatus</t>
  </si>
  <si>
    <t>PdeConfig</t>
  </si>
  <si>
    <t>LocX</t>
  </si>
  <si>
    <t>LocY</t>
  </si>
  <si>
    <t>ExtRef</t>
  </si>
  <si>
    <t>FixedLoc</t>
  </si>
  <si>
    <t>Hidden</t>
  </si>
  <si>
    <t>MetafileName</t>
  </si>
  <si>
    <t>Orientation</t>
  </si>
  <si>
    <t>SymbolSize</t>
  </si>
  <si>
    <t>SymbolType</t>
  </si>
  <si>
    <t>LocT</t>
  </si>
  <si>
    <t>LocL</t>
  </si>
  <si>
    <t>LocB</t>
  </si>
  <si>
    <t>LocR</t>
  </si>
  <si>
    <t>Color</t>
  </si>
  <si>
    <t>CSDGroup</t>
  </si>
  <si>
    <t>GUID_SPEL</t>
  </si>
  <si>
    <t>GUID_GIS</t>
  </si>
  <si>
    <t>GUID_EXC</t>
  </si>
  <si>
    <t>GUID_ACC</t>
  </si>
  <si>
    <t>GUID_EDPP</t>
  </si>
  <si>
    <t>AlteredBy</t>
  </si>
  <si>
    <t>AlteredTime</t>
  </si>
  <si>
    <t>ANSIMF</t>
  </si>
  <si>
    <t>Bus</t>
  </si>
  <si>
    <t>CheckedBy</t>
  </si>
  <si>
    <t>CheckedTime</t>
  </si>
  <si>
    <t>CheckerCommentPage</t>
  </si>
  <si>
    <t>CheckerPageEstimation</t>
  </si>
  <si>
    <t>CheckerPageFive</t>
  </si>
  <si>
    <t>CheckerPageFour</t>
  </si>
  <si>
    <t>CheckerPageLoad</t>
  </si>
  <si>
    <t>CheckerPageOne</t>
  </si>
  <si>
    <t>CheckerPageProtect</t>
  </si>
  <si>
    <t>CheckerPageReliable</t>
  </si>
  <si>
    <t>CheckerPageSix</t>
  </si>
  <si>
    <t>CheckerPageStartCat</t>
  </si>
  <si>
    <t>CheckerPageStartCat2</t>
  </si>
  <si>
    <t>CheckerPageStartingDevice</t>
  </si>
  <si>
    <t>CheckerPageStatorcurveCurrent</t>
  </si>
  <si>
    <t>CheckerPageStatorcurveTime</t>
  </si>
  <si>
    <t>CheckerPageThree</t>
  </si>
  <si>
    <t>CheckerPageTwo</t>
  </si>
  <si>
    <t>ContDF</t>
  </si>
  <si>
    <t>DataRevs</t>
  </si>
  <si>
    <t>DeltaY</t>
  </si>
  <si>
    <t>EFF100</t>
  </si>
  <si>
    <t>EFF50</t>
  </si>
  <si>
    <t>EFF75</t>
  </si>
  <si>
    <t>GroundingAmp</t>
  </si>
  <si>
    <t>GroundingType</t>
  </si>
  <si>
    <t>HarmType</t>
  </si>
  <si>
    <t>HeaterR</t>
  </si>
  <si>
    <t>HP</t>
  </si>
  <si>
    <t>HP_KW</t>
  </si>
  <si>
    <t>ID</t>
  </si>
  <si>
    <t>IFL</t>
  </si>
  <si>
    <t>IID</t>
  </si>
  <si>
    <t>InService</t>
  </si>
  <si>
    <t>InterDF</t>
  </si>
  <si>
    <t>Issue</t>
  </si>
  <si>
    <t>KV</t>
  </si>
  <si>
    <t>ModelCKTType</t>
  </si>
  <si>
    <t>MotorType</t>
  </si>
  <si>
    <t>MVA</t>
  </si>
  <si>
    <t>MVAButton</t>
  </si>
  <si>
    <t>PEDBIID</t>
  </si>
  <si>
    <t>PercentLoad0</t>
  </si>
  <si>
    <t>PercentLoad1</t>
  </si>
  <si>
    <t>PercentLoad2</t>
  </si>
  <si>
    <t>PercentLoad3</t>
  </si>
  <si>
    <t>PercentLoad4</t>
  </si>
  <si>
    <t>PercentLoad5</t>
  </si>
  <si>
    <t>PercentLoad6</t>
  </si>
  <si>
    <t>PercentLoad7</t>
  </si>
  <si>
    <t>PercentLoad8</t>
  </si>
  <si>
    <t>PercentLoad9</t>
  </si>
  <si>
    <t>PF100</t>
  </si>
  <si>
    <t>PF50</t>
  </si>
  <si>
    <t>PF75</t>
  </si>
  <si>
    <t>PFlr</t>
  </si>
  <si>
    <t>Phase</t>
  </si>
  <si>
    <t>PhaseConnection</t>
  </si>
  <si>
    <t>Poles</t>
  </si>
  <si>
    <t>RatedSlip</t>
  </si>
  <si>
    <t>SP3Wire</t>
  </si>
  <si>
    <t>SpareDF</t>
  </si>
  <si>
    <t>TdP</t>
  </si>
  <si>
    <t>UseDMF</t>
  </si>
  <si>
    <t>UseSF</t>
  </si>
  <si>
    <t>ValidEquipmentCable</t>
  </si>
  <si>
    <t>X</t>
  </si>
  <si>
    <t>X_R</t>
  </si>
  <si>
    <t>X0</t>
  </si>
  <si>
    <t>X2</t>
  </si>
  <si>
    <t>XP</t>
  </si>
  <si>
    <t>XPP</t>
  </si>
  <si>
    <t>BeginingTime1</t>
  </si>
  <si>
    <t>BeginingTime10</t>
  </si>
  <si>
    <t>BeginingTime2</t>
  </si>
  <si>
    <t>BeginingTime3</t>
  </si>
  <si>
    <t>BeginingTime4</t>
  </si>
  <si>
    <t>BeginingTime5</t>
  </si>
  <si>
    <t>BeginingTime6</t>
  </si>
  <si>
    <t>Catgory1</t>
  </si>
  <si>
    <t>Catgory10</t>
  </si>
  <si>
    <t>Catgory2</t>
  </si>
  <si>
    <t>Catgory3</t>
  </si>
  <si>
    <t>Catgory4</t>
  </si>
  <si>
    <t>Catgory5</t>
  </si>
  <si>
    <t>Catgory6</t>
  </si>
  <si>
    <t>Catgory7</t>
  </si>
  <si>
    <t>Catgory8</t>
  </si>
  <si>
    <t>Catgory9</t>
  </si>
  <si>
    <t>EndingTime1</t>
  </si>
  <si>
    <t>EndingTime10</t>
  </si>
  <si>
    <t>EndingTime2</t>
  </si>
  <si>
    <t>EndingTime3</t>
  </si>
  <si>
    <t>EndingTime4</t>
  </si>
  <si>
    <t>EndingTime5</t>
  </si>
  <si>
    <t>EndingTime6</t>
  </si>
  <si>
    <t>EndingTime7</t>
  </si>
  <si>
    <t>EndingTime8</t>
  </si>
  <si>
    <t>EndingTime9</t>
  </si>
  <si>
    <t>FinalLoad1</t>
  </si>
  <si>
    <t>FinalLoad10</t>
  </si>
  <si>
    <t>FinalLoad2</t>
  </si>
  <si>
    <t>FinalLoad3</t>
  </si>
  <si>
    <t>FinalLoad4</t>
  </si>
  <si>
    <t>FinalLoad5</t>
  </si>
  <si>
    <t>FinalLoad6</t>
  </si>
  <si>
    <t>FinalLoad7</t>
  </si>
  <si>
    <t>FinalLoad8</t>
  </si>
  <si>
    <t>FinalLoad9</t>
  </si>
  <si>
    <t>StartingLoad1</t>
  </si>
  <si>
    <t>StartingLoad10</t>
  </si>
  <si>
    <t>StartingLoad2</t>
  </si>
  <si>
    <t>StartingLoad3</t>
  </si>
  <si>
    <t>StartingLoad4</t>
  </si>
  <si>
    <t>StartingLoad5</t>
  </si>
  <si>
    <t>StartingLoad6</t>
  </si>
  <si>
    <t>StartingLoad7</t>
  </si>
  <si>
    <t>StartingLoad8</t>
  </si>
  <si>
    <t>StartingLoad9</t>
  </si>
  <si>
    <t>A0</t>
  </si>
  <si>
    <t>A1</t>
  </si>
  <si>
    <t>A2</t>
  </si>
  <si>
    <t>AsyMultiplier</t>
  </si>
  <si>
    <t>BasekV</t>
  </si>
  <si>
    <t>CouplerRpm</t>
  </si>
  <si>
    <t>CouplerWR2</t>
  </si>
  <si>
    <t>D1</t>
  </si>
  <si>
    <t>D2</t>
  </si>
  <si>
    <t>DataType</t>
  </si>
  <si>
    <t>EquipName</t>
  </si>
  <si>
    <t>FDRTag</t>
  </si>
  <si>
    <t>HarmonicSourceID</t>
  </si>
  <si>
    <t>HeaterLibName</t>
  </si>
  <si>
    <t>Info_CableL</t>
  </si>
  <si>
    <t>Info_FLA</t>
  </si>
  <si>
    <t>Info_H</t>
  </si>
  <si>
    <t>Info_HP</t>
  </si>
  <si>
    <t>Info_KV</t>
  </si>
  <si>
    <t>Info_Load1</t>
  </si>
  <si>
    <t>Info_Load10</t>
  </si>
  <si>
    <t>Info_Load2</t>
  </si>
  <si>
    <t>Info_Load3</t>
  </si>
  <si>
    <t>Info_Load4</t>
  </si>
  <si>
    <t>Info_Load5</t>
  </si>
  <si>
    <t>Info_Load6</t>
  </si>
  <si>
    <t>Info_Load7</t>
  </si>
  <si>
    <t>Info_Load8</t>
  </si>
  <si>
    <t>Info_Load9</t>
  </si>
  <si>
    <t>Info_LRC</t>
  </si>
  <si>
    <t>Info_LRPF</t>
  </si>
  <si>
    <t>Info_PF</t>
  </si>
  <si>
    <t>Info_Poles</t>
  </si>
  <si>
    <t>Info_Roh</t>
  </si>
  <si>
    <t>Info_SF</t>
  </si>
  <si>
    <t>Info_Status</t>
  </si>
  <si>
    <t>Info_Tfl</t>
  </si>
  <si>
    <t>Info_Tnl</t>
  </si>
  <si>
    <t>Info_Xsc</t>
  </si>
  <si>
    <t>K1</t>
  </si>
  <si>
    <t>K2</t>
  </si>
  <si>
    <t>LdMdlPowerBase</t>
  </si>
  <si>
    <t>LibraryField1</t>
  </si>
  <si>
    <t>LibraryField2</t>
  </si>
  <si>
    <t>LibraryField3</t>
  </si>
  <si>
    <t>LibraryField4</t>
  </si>
  <si>
    <t>LibraryField5</t>
  </si>
  <si>
    <t>LibraryField6</t>
  </si>
  <si>
    <t>LibraryField7</t>
  </si>
  <si>
    <t>LibraryField8</t>
  </si>
  <si>
    <t>LibraryField9</t>
  </si>
  <si>
    <t>LoadLibModelID</t>
  </si>
  <si>
    <t>LoadRpm</t>
  </si>
  <si>
    <t>LoadTorqueType</t>
  </si>
  <si>
    <t>LoadWR2</t>
  </si>
  <si>
    <t>LockCold</t>
  </si>
  <si>
    <t>LockHot</t>
  </si>
  <si>
    <t>LRTorque</t>
  </si>
  <si>
    <t>MachineWR2</t>
  </si>
  <si>
    <t>MaxTorque</t>
  </si>
  <si>
    <t>MFRName</t>
  </si>
  <si>
    <t>ModelLibApp</t>
  </si>
  <si>
    <t>ModelLibID</t>
  </si>
  <si>
    <t>ModelType</t>
  </si>
  <si>
    <t>MsCurveType</t>
  </si>
  <si>
    <t>MsDeviceFlag</t>
  </si>
  <si>
    <t>MsSmoothFlag</t>
  </si>
  <si>
    <t>NPLibName</t>
  </si>
  <si>
    <t>OneLineDWG</t>
  </si>
  <si>
    <t>Priority</t>
  </si>
  <si>
    <t>PurchasingDate</t>
  </si>
  <si>
    <t>ReferenceDWG</t>
  </si>
  <si>
    <t>ReferencekVSel</t>
  </si>
  <si>
    <t>ShowCurve1</t>
  </si>
  <si>
    <t>ShowCurve2</t>
  </si>
  <si>
    <t>ShowCurve3</t>
  </si>
  <si>
    <t>St_Kvar</t>
  </si>
  <si>
    <t>St_SwitchingTime</t>
  </si>
  <si>
    <t>St_SwitchingType</t>
  </si>
  <si>
    <t>St_Tap</t>
  </si>
  <si>
    <t>StallColdStart</t>
  </si>
  <si>
    <t>StallHotStart</t>
  </si>
  <si>
    <t>StartDevAmpLimit</t>
  </si>
  <si>
    <t>StartType</t>
  </si>
  <si>
    <t>StatorCurve</t>
  </si>
  <si>
    <t>TorsionEffect</t>
  </si>
  <si>
    <t>TsFullLoad</t>
  </si>
  <si>
    <t>TsNoLoad</t>
  </si>
  <si>
    <t>UDBasekV</t>
  </si>
  <si>
    <t>UserField1</t>
  </si>
  <si>
    <t>UserField2</t>
  </si>
  <si>
    <t>UserField3</t>
  </si>
  <si>
    <t>UserField4</t>
  </si>
  <si>
    <t>UserField5</t>
  </si>
  <si>
    <t>UserField6</t>
  </si>
  <si>
    <t>UserField7</t>
  </si>
  <si>
    <t>Vst2</t>
  </si>
  <si>
    <t>Vst3</t>
  </si>
  <si>
    <t>CommentText</t>
  </si>
  <si>
    <t>FailureRate</t>
  </si>
  <si>
    <t>LibRating</t>
  </si>
  <si>
    <t>LibSource</t>
  </si>
  <si>
    <t>LibType</t>
  </si>
  <si>
    <t>LoadSector</t>
  </si>
  <si>
    <t>MTTR</t>
  </si>
  <si>
    <t>NoOfLoads</t>
  </si>
  <si>
    <t>OutageRate</t>
  </si>
  <si>
    <t>OutageTime</t>
  </si>
  <si>
    <t>PermFailureRate</t>
  </si>
  <si>
    <t>ReplaceTime</t>
  </si>
  <si>
    <t>SpareAvail</t>
  </si>
  <si>
    <t>SwitchTime</t>
  </si>
  <si>
    <t>UnitLength</t>
  </si>
  <si>
    <t>Current1</t>
  </si>
  <si>
    <t>Current10</t>
  </si>
  <si>
    <t>Current11</t>
  </si>
  <si>
    <t>Current12</t>
  </si>
  <si>
    <t>Current13</t>
  </si>
  <si>
    <t>Current14</t>
  </si>
  <si>
    <t>Current15</t>
  </si>
  <si>
    <t>Current16</t>
  </si>
  <si>
    <t>Current17</t>
  </si>
  <si>
    <t>Current18</t>
  </si>
  <si>
    <t>Current19</t>
  </si>
  <si>
    <t>Current2</t>
  </si>
  <si>
    <t>Current20</t>
  </si>
  <si>
    <t>Current3</t>
  </si>
  <si>
    <t>Current4</t>
  </si>
  <si>
    <t>Current5</t>
  </si>
  <si>
    <t>Contract #</t>
  </si>
  <si>
    <t>Config.</t>
  </si>
  <si>
    <t>ETAP Free Format Microsoft Excel Data Exchange - Export Template</t>
  </si>
  <si>
    <t>DataType1</t>
  </si>
  <si>
    <t>DataType2</t>
  </si>
  <si>
    <t>DataType3</t>
  </si>
  <si>
    <t>DataType4</t>
  </si>
  <si>
    <t>DataType5</t>
  </si>
  <si>
    <t>Frequency (Hz)</t>
  </si>
  <si>
    <t>IndMotor</t>
  </si>
  <si>
    <t>Datasheet</t>
  </si>
  <si>
    <t>Tabular</t>
  </si>
  <si>
    <t>SynMotor</t>
  </si>
  <si>
    <t>Cable</t>
  </si>
  <si>
    <t>Xform2W</t>
  </si>
  <si>
    <t>DataTypes</t>
  </si>
  <si>
    <t>ExportParams</t>
  </si>
  <si>
    <t>ParamName</t>
  </si>
  <si>
    <t>ParamValue</t>
  </si>
  <si>
    <t>ETAP Free Format Microsoft Excel Data Exchange - Data for Use in Formulas</t>
  </si>
  <si>
    <t>ProjectInfo</t>
  </si>
  <si>
    <t>Remark</t>
  </si>
  <si>
    <t>location of data type values, the program will update these values</t>
  </si>
  <si>
    <t>location of frequency value, the program will update this value</t>
  </si>
  <si>
    <t>location of project information, the program will update this value</t>
  </si>
  <si>
    <r>
      <t xml:space="preserve">ETAP Element Xml Tags </t>
    </r>
    <r>
      <rPr>
        <sz val="10"/>
        <rFont val="Arial"/>
        <family val="2"/>
      </rPr>
      <t>- for internal program use, lists the elements for which export templates are available</t>
    </r>
  </si>
  <si>
    <r>
      <t>Format Types</t>
    </r>
    <r>
      <rPr>
        <sz val="10"/>
        <rFont val="Arial"/>
        <family val="2"/>
      </rPr>
      <t xml:space="preserve"> - for internal program use, lists types of supported formats</t>
    </r>
  </si>
  <si>
    <t>Address_DataTypes</t>
  </si>
  <si>
    <t>Address_Frequency</t>
  </si>
  <si>
    <t>Address_ProjectInfo</t>
  </si>
  <si>
    <t>Motor ID</t>
  </si>
  <si>
    <t>Priority6</t>
  </si>
  <si>
    <t>Priority7</t>
  </si>
  <si>
    <t>Priority8</t>
  </si>
  <si>
    <t>Priority9</t>
  </si>
  <si>
    <t>Priority10</t>
  </si>
  <si>
    <t>OverloadPercent</t>
  </si>
  <si>
    <t>PFOver</t>
  </si>
  <si>
    <t>PF0</t>
  </si>
  <si>
    <t>EFFOver</t>
  </si>
  <si>
    <t>FLA0</t>
  </si>
  <si>
    <t>FLAButton</t>
  </si>
  <si>
    <t>Loading Categories</t>
  </si>
  <si>
    <t>Load Prorities</t>
  </si>
  <si>
    <t>Design</t>
  </si>
  <si>
    <t>Brake</t>
  </si>
  <si>
    <t>Winter Load</t>
  </si>
  <si>
    <t>Start Up</t>
  </si>
  <si>
    <t>Emergency</t>
  </si>
  <si>
    <t>Shutdown</t>
  </si>
  <si>
    <t>Accident</t>
  </si>
  <si>
    <t>Load Cat 10</t>
  </si>
  <si>
    <t>LRVaHp</t>
  </si>
  <si>
    <t>NemaCode</t>
  </si>
  <si>
    <t>Engineer</t>
  </si>
  <si>
    <t>Summer</t>
  </si>
  <si>
    <t>System Unit</t>
  </si>
  <si>
    <t>English</t>
  </si>
  <si>
    <t>Data Type</t>
  </si>
  <si>
    <t>[ID]</t>
  </si>
  <si>
    <t>[Description]</t>
  </si>
  <si>
    <t>Induction Motor</t>
  </si>
  <si>
    <t>Device1_WorksheetName</t>
  </si>
  <si>
    <t>Device1_XmlTag</t>
  </si>
  <si>
    <t>Device1_DataAddress</t>
  </si>
  <si>
    <t>_eF=CHOOSE((_eN[DataType] + 1), DataType0, DataType1, DataType2, DataType3, DataType4, DataType5, DataType6, DataType7, DataType8, DataType9)</t>
  </si>
  <si>
    <t>_eF=CHOOSE((_eN[Priority]+1), Priority0, Priority1, Priority2, Priority3, Priority4, Priority5, Priority6, Priority7, Priority8, Priority9)</t>
  </si>
  <si>
    <t>[PdeStatus]</t>
  </si>
  <si>
    <t>[Quantity]</t>
  </si>
  <si>
    <t>[SF]</t>
  </si>
  <si>
    <t>_eF=FIXED(_eN[PF100], 1)</t>
  </si>
  <si>
    <t>_eF=FIXED(_eN[PF75], 1)</t>
  </si>
  <si>
    <t>_eF=FIXED(_eN[PF50], 1)</t>
  </si>
  <si>
    <t>_eF=FIXED(_eN[EFF100], 1)</t>
  </si>
  <si>
    <t>_eF=FIXED(_eN[EFF75], 1)</t>
  </si>
  <si>
    <t>_eF=FIXED(_eN[EFF50], 1)</t>
  </si>
  <si>
    <t>% Load 1</t>
  </si>
  <si>
    <t>% Load 2</t>
  </si>
  <si>
    <t>% Load 3</t>
  </si>
  <si>
    <t>% Load 4</t>
  </si>
  <si>
    <t>% Load 5</t>
  </si>
  <si>
    <t>% Load 6</t>
  </si>
  <si>
    <t>% Load 7</t>
  </si>
  <si>
    <t>% Load 8</t>
  </si>
  <si>
    <t>% Load 9</t>
  </si>
  <si>
    <t>% Load 10</t>
  </si>
  <si>
    <t>RUN_INT_SP</t>
  </si>
  <si>
    <t>_eF=IF(_eB[InService] = True, 1, 0)</t>
  </si>
  <si>
    <t>Service Type 
1 = Inservice</t>
  </si>
  <si>
    <t>Phase Connection</t>
  </si>
  <si>
    <t>Cont DF</t>
  </si>
  <si>
    <t>[ContDF]</t>
  </si>
  <si>
    <t>[InterDF]</t>
  </si>
  <si>
    <t>Interm DF</t>
  </si>
  <si>
    <t>Spare DF</t>
  </si>
  <si>
    <t>[SpareDF]</t>
  </si>
  <si>
    <t>PF (100%)</t>
  </si>
  <si>
    <t>PF (75%)</t>
  </si>
  <si>
    <t>PF (50%)</t>
  </si>
  <si>
    <t>EFF (100%)</t>
  </si>
  <si>
    <t>EFF (75%)</t>
  </si>
  <si>
    <t>EFF (50%)</t>
  </si>
  <si>
    <t>% Locked Rotor Current</t>
  </si>
  <si>
    <t>_eF=Fixed(_eN[LRC], 0)</t>
  </si>
  <si>
    <t>% Starting PF</t>
  </si>
  <si>
    <t>_eF=FIXED(_eN[PFlr], 1)</t>
  </si>
  <si>
    <t>Starting Device</t>
  </si>
  <si>
    <t>[StartType]</t>
  </si>
  <si>
    <t>Delta-Y Connection</t>
  </si>
  <si>
    <t>Rated RPM</t>
  </si>
  <si>
    <t>% Slip</t>
  </si>
  <si>
    <t>Service Factor</t>
  </si>
  <si>
    <t>Stall Time Hot Start</t>
  </si>
  <si>
    <t>Stall Time Cold Start</t>
  </si>
  <si>
    <t>[StallHotStart]</t>
  </si>
  <si>
    <t>[StallColdStart]</t>
  </si>
  <si>
    <t>A10:AF10</t>
  </si>
  <si>
    <t>Device2_WorksheetName</t>
  </si>
  <si>
    <t>Device2_XmlTag</t>
  </si>
  <si>
    <t>Device2_DataAddress</t>
  </si>
  <si>
    <t>Synchronous Motor</t>
  </si>
  <si>
    <t>_eF=IF(_eN[Phase] = 1, CHOOSE((_eN[PhaseConnection]+1), "A", "B", "C", "AB", "BC", "CA"), "")</t>
  </si>
  <si>
    <t>worksheet name</t>
  </si>
  <si>
    <t>xml tag of the element whose fields are listed in the worksheet; select from dropdown list</t>
  </si>
  <si>
    <t>address of the row and columns having mapping fields and or formulas; this address should have only one row; the row number in this address is the one at which data listing will begin</t>
  </si>
  <si>
    <t>Device3_WorksheetName</t>
  </si>
  <si>
    <t>Device3_XmlTag</t>
  </si>
  <si>
    <t>Device3_DataAddress</t>
  </si>
  <si>
    <t>Equipment ID</t>
  </si>
  <si>
    <t>Len</t>
  </si>
  <si>
    <t>Node</t>
  </si>
  <si>
    <t>Polarity</t>
  </si>
  <si>
    <t>Mirrored</t>
  </si>
  <si>
    <t>Locked</t>
  </si>
  <si>
    <t>OtiGUID</t>
  </si>
  <si>
    <t>Purged</t>
  </si>
  <si>
    <t>Area</t>
  </si>
  <si>
    <t>AsymmRMS</t>
  </si>
  <si>
    <t>BusReferenceName</t>
  </si>
  <si>
    <t>BusReferenceNumber</t>
  </si>
  <si>
    <t>CheckerArcFlash</t>
  </si>
  <si>
    <t>CheckerHarmonicPage</t>
  </si>
  <si>
    <t>CheckerInfoPage</t>
  </si>
  <si>
    <t>CheckerProtection</t>
  </si>
  <si>
    <t>CheckerRatingPage</t>
  </si>
  <si>
    <t>CheckerReliablePage</t>
  </si>
  <si>
    <t>CheckerRemarksPage</t>
  </si>
  <si>
    <t>CheckerUnbalance</t>
  </si>
  <si>
    <t>ContinuousAmp</t>
  </si>
  <si>
    <t>Crest</t>
  </si>
  <si>
    <t>DMax</t>
  </si>
  <si>
    <t>DMin</t>
  </si>
  <si>
    <t>HarmonicDistortionLimit</t>
  </si>
  <si>
    <t>HarmonicInfluenceCategory</t>
  </si>
  <si>
    <t>InServiceState</t>
  </si>
  <si>
    <t>KWButton</t>
  </si>
  <si>
    <t>NominalkV</t>
  </si>
  <si>
    <t>Peak</t>
  </si>
  <si>
    <t>RatingType</t>
  </si>
  <si>
    <t>Region</t>
  </si>
  <si>
    <t>RevCtrl</t>
  </si>
  <si>
    <t>Standard</t>
  </si>
  <si>
    <t>SymmRMS</t>
  </si>
  <si>
    <t>VAng</t>
  </si>
  <si>
    <t>VAngA</t>
  </si>
  <si>
    <t>VAngB</t>
  </si>
  <si>
    <t>VAngC</t>
  </si>
  <si>
    <t>VIHD</t>
  </si>
  <si>
    <t>VMag</t>
  </si>
  <si>
    <t>VMagA</t>
  </si>
  <si>
    <t>VMagB</t>
  </si>
  <si>
    <t>VMagC</t>
  </si>
  <si>
    <t>VTHD</t>
  </si>
  <si>
    <t>Zone</t>
  </si>
  <si>
    <t>ArcFlashAutoUpdate</t>
  </si>
  <si>
    <t>AvailableProtectionRating</t>
  </si>
  <si>
    <t>BusLoadingUpdatedTime</t>
  </si>
  <si>
    <t>CalcDataSource</t>
  </si>
  <si>
    <t>CalculatedBusLoading</t>
  </si>
  <si>
    <t>CalculatedFCT</t>
  </si>
  <si>
    <t>CalculatedIf</t>
  </si>
  <si>
    <t>CalculatedPDGID</t>
  </si>
  <si>
    <t>CalculatedPDIf</t>
  </si>
  <si>
    <t>CalculatedPDIID</t>
  </si>
  <si>
    <t>Category</t>
  </si>
  <si>
    <t>ConductorGap</t>
  </si>
  <si>
    <t>EquipmentName</t>
  </si>
  <si>
    <t>ExpMovableConductorBoundary</t>
  </si>
  <si>
    <t>FixedCircuitPartBoundary</t>
  </si>
  <si>
    <t>FixedCktPart</t>
  </si>
  <si>
    <t>FixedFCT</t>
  </si>
  <si>
    <t>LabelTemplate</t>
  </si>
  <si>
    <t>LargestMotorGID</t>
  </si>
  <si>
    <t>LargestMotorIID</t>
  </si>
  <si>
    <t>MainPDIsolated</t>
  </si>
  <si>
    <t>PDEBus</t>
  </si>
  <si>
    <t>PlotBusContAmp</t>
  </si>
  <si>
    <t>PlotBusLoading</t>
  </si>
  <si>
    <t>PlotBusLoadingOpt</t>
  </si>
  <si>
    <t>PlotBusSCWithstand</t>
  </si>
  <si>
    <t>PlotBusThermalLimit</t>
  </si>
  <si>
    <t>PlotLargestMtr</t>
  </si>
  <si>
    <t>PlotTotalXfmrInrush</t>
  </si>
  <si>
    <t>PlotTotalXfmrInrushOpt</t>
  </si>
  <si>
    <t>ProhibitedBoundary</t>
  </si>
  <si>
    <t>RestrictedBoundary</t>
  </si>
  <si>
    <t>ShockHazardCondition</t>
  </si>
  <si>
    <t>ShockHazardCondition1</t>
  </si>
  <si>
    <t>ShockHazardCondition2</t>
  </si>
  <si>
    <t>ShockHazardCondition3</t>
  </si>
  <si>
    <t>ShowAvailableEnergyTCC</t>
  </si>
  <si>
    <t>ShowCalcEnergyTCC</t>
  </si>
  <si>
    <t>SystemGrdType</t>
  </si>
  <si>
    <t>TCCPlotCurrentType</t>
  </si>
  <si>
    <t>UserDefBusLoading</t>
  </si>
  <si>
    <t>UserDefinedFCT</t>
  </si>
  <si>
    <t>UserDefinedGrdType</t>
  </si>
  <si>
    <t>UserDefinedIf</t>
  </si>
  <si>
    <t>UserDefinedPDGID</t>
  </si>
  <si>
    <t>UserDefinedPDIf</t>
  </si>
  <si>
    <t>UserDefinedPDIID</t>
  </si>
  <si>
    <t>WorkingDistance</t>
  </si>
  <si>
    <t>XfmrInrushCurrentUpdatedTime</t>
  </si>
  <si>
    <t>Initial Voltage (%)</t>
  </si>
  <si>
    <t>IEC</t>
  </si>
  <si>
    <t>Making kA</t>
  </si>
  <si>
    <t>Time Delay (s)</t>
  </si>
  <si>
    <t>Service Bkg. kA</t>
  </si>
  <si>
    <t>Ultimate Bkg. kA</t>
  </si>
  <si>
    <t>Device14_WorksheetName</t>
  </si>
  <si>
    <t>Device14_XmlTag</t>
  </si>
  <si>
    <t>Device14_DataAddress</t>
  </si>
  <si>
    <t>HVCB</t>
  </si>
  <si>
    <t>HVCB DATA</t>
  </si>
  <si>
    <t xml:space="preserve">ACBreaking </t>
  </si>
  <si>
    <t xml:space="preserve">AlarmClose </t>
  </si>
  <si>
    <t xml:space="preserve">AlarmOpen </t>
  </si>
  <si>
    <t xml:space="preserve">ansiMFR </t>
  </si>
  <si>
    <t xml:space="preserve">AnsiTRVDelayTime </t>
  </si>
  <si>
    <t xml:space="preserve">AnsiTRVRatedRate </t>
  </si>
  <si>
    <t xml:space="preserve">AnsiTRVTimeToPeak </t>
  </si>
  <si>
    <t xml:space="preserve">ansiTypeClass </t>
  </si>
  <si>
    <t xml:space="preserve">Breaking </t>
  </si>
  <si>
    <t xml:space="preserve">CheckerANSITRV </t>
  </si>
  <si>
    <t xml:space="preserve">CloseLatch </t>
  </si>
  <si>
    <t xml:space="preserve">CloseLatchCrest </t>
  </si>
  <si>
    <t xml:space="preserve">ContactPartingT </t>
  </si>
  <si>
    <t xml:space="preserve">Contin </t>
  </si>
  <si>
    <t xml:space="preserve">Cycles </t>
  </si>
  <si>
    <t xml:space="preserve">FPCFactor </t>
  </si>
  <si>
    <t xml:space="preserve">GenCB </t>
  </si>
  <si>
    <t xml:space="preserve">HasAssociation </t>
  </si>
  <si>
    <t xml:space="preserve">iecMFR </t>
  </si>
  <si>
    <t xml:space="preserve">iecTypeClass </t>
  </si>
  <si>
    <t xml:space="preserve">Interrupting </t>
  </si>
  <si>
    <t xml:space="preserve">IslandingCB </t>
  </si>
  <si>
    <t xml:space="preserve">Making </t>
  </si>
  <si>
    <t xml:space="preserve">MaxInterrupting </t>
  </si>
  <si>
    <t xml:space="preserve">MaxkV </t>
  </si>
  <si>
    <t xml:space="preserve">Normal </t>
  </si>
  <si>
    <t xml:space="preserve">Rated </t>
  </si>
  <si>
    <t xml:space="preserve">Test </t>
  </si>
  <si>
    <t xml:space="preserve">TimeDelay </t>
  </si>
  <si>
    <t xml:space="preserve">TRViec </t>
  </si>
  <si>
    <t>Has Association</t>
  </si>
  <si>
    <t>_eF=IF(_eN[HasAssociation] = 0, "No", "Yes")</t>
  </si>
  <si>
    <t>Is Generator CB</t>
  </si>
  <si>
    <t>_eF=IF(_eN[GenCB] = 1, "Yes", "No")</t>
  </si>
  <si>
    <t>Maximum kV</t>
  </si>
  <si>
    <t>Tot/Sym</t>
  </si>
  <si>
    <t>Rated Int. kA</t>
  </si>
  <si>
    <t>_eF=Round(_eN[Interrupting], 1)</t>
  </si>
  <si>
    <t>Max. Int. kA</t>
  </si>
  <si>
    <t>C &amp; L rms</t>
  </si>
  <si>
    <t>C &amp; L Peak</t>
  </si>
  <si>
    <t>Cycles</t>
  </si>
  <si>
    <t>Breaking kA</t>
  </si>
  <si>
    <t>Min. Delay</t>
  </si>
  <si>
    <t>FPC Factor</t>
  </si>
  <si>
    <t>TRV</t>
  </si>
  <si>
    <t>Ithr</t>
  </si>
  <si>
    <t>Tkr</t>
  </si>
  <si>
    <t>Device15_WorksheetName</t>
  </si>
  <si>
    <t>Device15_XmlTag</t>
  </si>
  <si>
    <t>Device15_DataAddress</t>
  </si>
  <si>
    <t>Fuse</t>
  </si>
  <si>
    <t xml:space="preserve">Continuous </t>
  </si>
  <si>
    <t xml:space="preserve">IECCurrent </t>
  </si>
  <si>
    <t xml:space="preserve">TestPF </t>
  </si>
  <si>
    <t xml:space="preserve">TRV </t>
  </si>
  <si>
    <t xml:space="preserve">Voltage </t>
  </si>
  <si>
    <t xml:space="preserve">LibMaxkV </t>
  </si>
  <si>
    <t xml:space="preserve">Manufacturer </t>
  </si>
  <si>
    <t xml:space="preserve">Speed </t>
  </si>
  <si>
    <t xml:space="preserve">Standard </t>
  </si>
  <si>
    <t>FUSE DATA</t>
  </si>
  <si>
    <t>Test PF</t>
  </si>
  <si>
    <t>Breaking</t>
  </si>
  <si>
    <t>SingleSwitch</t>
  </si>
  <si>
    <t>SINGLE POLE SWITCH DATA</t>
  </si>
  <si>
    <t xml:space="preserve">ContinCurrent </t>
  </si>
  <si>
    <t xml:space="preserve">EquipDesc </t>
  </si>
  <si>
    <t>_eF=Round(_eN[Voltage], 3)</t>
  </si>
  <si>
    <t>Cont. Amp</t>
  </si>
  <si>
    <t>_eF=Round(_eN[ContinCurrent], 1)</t>
  </si>
  <si>
    <t>BIL (kV)</t>
  </si>
  <si>
    <t>_eF=Round(_eN[BIL], 1)</t>
  </si>
  <si>
    <t>Momentary (kA)</t>
  </si>
  <si>
    <t>Device16_WorksheetName</t>
  </si>
  <si>
    <t>Device16_XmlTag</t>
  </si>
  <si>
    <t>Device16_DataAddress</t>
  </si>
  <si>
    <t>Device17_WorksheetName</t>
  </si>
  <si>
    <t>Device17_XmlTag</t>
  </si>
  <si>
    <t>Device17_DataAddress</t>
  </si>
  <si>
    <t>Contactor</t>
  </si>
  <si>
    <t xml:space="preserve">DropoutTime </t>
  </si>
  <si>
    <t xml:space="preserve">ContactorType </t>
  </si>
  <si>
    <t>CONTACTOR DATA</t>
  </si>
  <si>
    <t>Dropout Time (s)</t>
  </si>
  <si>
    <t>_eF=Round(_eN[DropoutTime], 3)</t>
  </si>
  <si>
    <t>Device18_WorksheetName</t>
  </si>
  <si>
    <t>Device18_XmlTag</t>
  </si>
  <si>
    <t>Device18_DataAddress</t>
  </si>
  <si>
    <t>Two-way Switch (Double Throw Switch)</t>
  </si>
  <si>
    <t xml:space="preserve">ToTerminalA </t>
  </si>
  <si>
    <t xml:space="preserve">ToTerminalB </t>
  </si>
  <si>
    <t xml:space="preserve">ToTerminalN </t>
  </si>
  <si>
    <t>Position A</t>
  </si>
  <si>
    <t>Position B</t>
  </si>
  <si>
    <t>DOUBLE THROW SWITCH DATA</t>
  </si>
  <si>
    <t>DoubleSwitch</t>
  </si>
  <si>
    <t>Device19_WorksheetName</t>
  </si>
  <si>
    <t>Device19_XmlTag</t>
  </si>
  <si>
    <t>Device19_DataAddress</t>
  </si>
  <si>
    <t>[EquipDesc]</t>
  </si>
  <si>
    <t>_eF=Round(_eN[Ithr], 2)</t>
  </si>
  <si>
    <t>_FormulaHelpers_!B3</t>
  </si>
  <si>
    <t>_FormulaHelpers_!A7:A16</t>
  </si>
  <si>
    <t>Transmission Line</t>
  </si>
  <si>
    <t>STATIC LOAD DATA</t>
  </si>
  <si>
    <t>Static Load</t>
  </si>
  <si>
    <t>Lumped Load</t>
  </si>
  <si>
    <t>LUMPED LOAD DATA</t>
  </si>
  <si>
    <t>Single Pole Switch</t>
  </si>
  <si>
    <t>Double Throw Switch</t>
  </si>
  <si>
    <t>Two-Winding Transformer</t>
  </si>
  <si>
    <t>Three-Winding Transformer</t>
  </si>
  <si>
    <t>Priority1</t>
  </si>
  <si>
    <t>Priority2</t>
  </si>
  <si>
    <t>Priority3</t>
  </si>
  <si>
    <t>Priority4</t>
  </si>
  <si>
    <t>Priority5</t>
  </si>
  <si>
    <t>DataType6</t>
  </si>
  <si>
    <t>DataType7</t>
  </si>
  <si>
    <t>DataType8</t>
  </si>
  <si>
    <t>DataType9</t>
  </si>
  <si>
    <t>DataType10</t>
  </si>
  <si>
    <t>CPT (cycle)</t>
  </si>
  <si>
    <t>State</t>
  </si>
  <si>
    <t>[InServiceState]</t>
  </si>
  <si>
    <t>Primary Voltage Unit</t>
  </si>
  <si>
    <t>Secondary Voltage Unit</t>
  </si>
  <si>
    <t>Pri-Sec Impedance Unit</t>
  </si>
  <si>
    <t>Tertiary Voltage Unit</t>
  </si>
  <si>
    <t>Pri-Ter Impedance Unit</t>
  </si>
  <si>
    <t>Sec-Ter Impedance Unit</t>
  </si>
  <si>
    <t>Pri-Sec Rated Power</t>
  </si>
  <si>
    <t>Pri-Sec Rated Power Unit</t>
  </si>
  <si>
    <t>Sec-Ter Rated Power</t>
  </si>
  <si>
    <t>Sec-Ter Rated Power Unit</t>
  </si>
  <si>
    <t>Pri-Ter Rated Power</t>
  </si>
  <si>
    <t>Pri-Ter Rated Power Unit</t>
  </si>
  <si>
    <t>Unit</t>
  </si>
  <si>
    <t>Value</t>
  </si>
  <si>
    <t>_eF=Round(_eN[AnsiZeroZ], 1)</t>
  </si>
  <si>
    <t>Voltage</t>
  </si>
  <si>
    <t>Primary</t>
  </si>
  <si>
    <t>Secondary</t>
  </si>
  <si>
    <t>Fixed Tap (%)</t>
  </si>
  <si>
    <t>_eF=Fixed(_eN[PrimPercentTap],1)</t>
  </si>
  <si>
    <t>_eF=Fixed(_eN[SecPercentTap],1)</t>
  </si>
  <si>
    <t>Present</t>
  </si>
  <si>
    <t>_eF=IF(_eN[PrimCheckBox]=1, "Yes", "No")</t>
  </si>
  <si>
    <t>_eF=IF(_eN[SecCheckBox]=1, "Yes", "No")</t>
  </si>
  <si>
    <t>Control V (%)</t>
  </si>
  <si>
    <t>On-Load Tap Changer (OLTC)</t>
  </si>
  <si>
    <t>Connection</t>
  </si>
  <si>
    <t>_eF=IF(_eN[PrimCheckBox]=1, Round(_eN[PrimaryMinPercentTap], 1), "--")</t>
  </si>
  <si>
    <t>_eF=IF(_eN[PrimCheckBox]=1, Round(_eN[PrimaryMaxPercentTap], 1), "--")</t>
  </si>
  <si>
    <t>_eF=IF(_eN[PrimCheckBox]=1, Round(_eN[PrimaryStepPercentTap], 3), "--")</t>
  </si>
  <si>
    <t>_eF=IF(_eN[PrimCheckBox]=1, Round(_eN[PrimaryRegVolPercent], 1), "--")</t>
  </si>
  <si>
    <t>_eF=IF(_eN[SecCheckBox]=1, Round(_eN[SecondaryMinPercentTap], 1), "--")</t>
  </si>
  <si>
    <t>_eF=IF(_eN[SecCheckBox]=1, Round(_eN[SecondaryMaxPercentTap], 1), "--")</t>
  </si>
  <si>
    <t>_eF=IF(_eN[SecCheckBox]=1, Round(_eN[SecondaryStepPercentTap], 1), "--")</t>
  </si>
  <si>
    <t>_eF=IF(_eN[SecCheckBox]=1, Round(_eN[SecondaryRegVolPercent], 1), "--")</t>
  </si>
  <si>
    <t>Min. (%)</t>
  </si>
  <si>
    <t>Max. (%)</t>
  </si>
  <si>
    <t>Step (%)</t>
  </si>
  <si>
    <t>Grounding</t>
  </si>
  <si>
    <t>A10:Q10</t>
  </si>
  <si>
    <t>A10:M10</t>
  </si>
  <si>
    <t>_eF=IF(_eN[XFMRStandard] = 0, "ANSI", "IEC")</t>
  </si>
  <si>
    <t>Fault Frequency</t>
  </si>
  <si>
    <t>_eF=IF(_eN[XFMRStandard] = 1, "--", IF(_eN[CurveShift]=1, "Yes", "No"))</t>
  </si>
  <si>
    <t>Apply Curve Shift</t>
  </si>
  <si>
    <t>Shift Multiplier</t>
  </si>
  <si>
    <t>_eF=IF(_eN[XFMRStandard] = 1, "--", Round(_eN[PlotDamage], 2))</t>
  </si>
  <si>
    <t>Inrush Curve Type</t>
  </si>
  <si>
    <t>_eF=CHOOSE((_eN[InrushType]+1), "Point", "Curve - Piecewise", "Curve - Equation")</t>
  </si>
  <si>
    <t>Multiplier</t>
  </si>
  <si>
    <t>Duration/ Time Constant</t>
  </si>
  <si>
    <t>Protection</t>
  </si>
  <si>
    <t>_eF=Round(_eN[InrushMultiplier], 1)</t>
  </si>
  <si>
    <t>% Motor Load</t>
  </si>
  <si>
    <t>_eF=Round(_eN[MTLoadPercent], 0)</t>
  </si>
  <si>
    <t>% LRC</t>
  </si>
  <si>
    <t>_eF=Round(_eN[LRC], 1)</t>
  </si>
  <si>
    <t>X/R</t>
  </si>
  <si>
    <t>_eF=Round(_eN[XOverR], 1)</t>
  </si>
  <si>
    <t>1/2 cycle</t>
  </si>
  <si>
    <t>1.5-4 cycle</t>
  </si>
  <si>
    <t>Ansi Short-Circuit    Xsc (%)</t>
  </si>
  <si>
    <t>_eF=Round(_eN[Xpp], 0)</t>
  </si>
  <si>
    <t>_eF=Round(_eN[Xp], 0)</t>
  </si>
  <si>
    <t>IEC Short-Circuit</t>
  </si>
  <si>
    <t>_eF=Round(_eN[Tdp], 1)</t>
  </si>
  <si>
    <t>Td' (s)</t>
  </si>
  <si>
    <t>X" (%)</t>
  </si>
  <si>
    <t>_eF=Round(_eN[AnsiZeroXOverR], 1)</t>
  </si>
  <si>
    <t>OTI GUID</t>
  </si>
  <si>
    <t>[OtiGUID]</t>
  </si>
  <si>
    <t>A10:P10</t>
  </si>
  <si>
    <t>A10:AJ10</t>
  </si>
  <si>
    <t>A10:Y10</t>
  </si>
  <si>
    <t>A10:R10</t>
  </si>
  <si>
    <t>A10:N10</t>
  </si>
  <si>
    <t>In Service</t>
  </si>
  <si>
    <t>_eF=IF(_eB[InService] = True, "Yes", "No")</t>
  </si>
  <si>
    <t>_eF=Round(_eN[InputkV], 3)</t>
  </si>
  <si>
    <t>_eF=Round(_eN[ContinuousAmp], 1)</t>
  </si>
  <si>
    <t>_eF=Round(_eN[SymmRMS], 1)</t>
  </si>
  <si>
    <t>_eF=Round(_eN[AsymmRMS], 1)</t>
  </si>
  <si>
    <t>_eF=Round(_eN[Peak], 1)</t>
  </si>
  <si>
    <t>_eF=Fixed(_eN[Vmag], 1)</t>
  </si>
  <si>
    <t>Motor Voltage (kV)</t>
  </si>
  <si>
    <t>Load Voltage (kV)</t>
  </si>
  <si>
    <t>Connected Element ID</t>
  </si>
  <si>
    <t>From Element ID</t>
  </si>
  <si>
    <t>To Element ID</t>
  </si>
  <si>
    <t>Primary Element ID</t>
  </si>
  <si>
    <t>Secondary Element ID</t>
  </si>
  <si>
    <t>Tertiary Element ID</t>
  </si>
  <si>
    <t>_eF=Round(_eN[NominalkV], 3)</t>
  </si>
  <si>
    <t>Bus Voltage (kV)</t>
  </si>
  <si>
    <t>[PhaseValue]</t>
  </si>
  <si>
    <t>per Unit Length</t>
  </si>
  <si>
    <t>_eF=IF(_eN[ImpedanceUnits] = 0, "Ohms per", "Ohms")</t>
  </si>
  <si>
    <t>_eF=Round(_eN[PrimkV], 3)</t>
  </si>
  <si>
    <t>_eF=Round(_eN[SeckV], 3)</t>
  </si>
  <si>
    <t>_eF=IF(_eN[PrimConnectionButton]=1, "--", CHOOSE((_eN[PrimGroundingType] + 1), "Open", "Solid", "Resistor", "Reactor", "Xfmr-Resistor", "Xfmr-Reactor"))</t>
  </si>
  <si>
    <t>Motor Rating</t>
  </si>
  <si>
    <t>_eF=Round(_eN[HP], 1)</t>
  </si>
  <si>
    <t>_eF=IF(_eN[HP_kW] =0, "HP", "kW")</t>
  </si>
  <si>
    <t>_eF=IF(_eN[HP_kW] =0,  "HP", "kW")</t>
  </si>
  <si>
    <t>Delta/Y</t>
  </si>
  <si>
    <t>Amp</t>
  </si>
  <si>
    <t>Voltage (kV)</t>
  </si>
  <si>
    <t>Rating (kW)</t>
  </si>
  <si>
    <t>A10:T10</t>
  </si>
  <si>
    <t>Configuration Status</t>
  </si>
  <si>
    <t>Rating</t>
  </si>
  <si>
    <t>_eF=IF(_eN[kWButton] = 0, "HP", "kW")</t>
  </si>
  <si>
    <t>A10:Z10</t>
  </si>
  <si>
    <t>_eF=IF(TRIM(_eT[CONNECT_FromElement]) = "", _eT[FromBus], _eT[CONNECT_FromElement])</t>
  </si>
  <si>
    <t>_eF=IF(TRIM(_eT[CONNECT_ToElement1]) = "", _eT[ToBus], _eT[CONNECT_ToElement1])</t>
  </si>
  <si>
    <t>_eF=IF(TRIM(_eT[CONNECT_FromElement]) = "", _eT[Bus], _eT[CONNECT_FromElement])</t>
  </si>
  <si>
    <t>_eF=IF(TRIM(_eT[CONNECT_FromElement]) = "", _eT[PrimaryBus], _eT[CONNECT_FromElement])</t>
  </si>
  <si>
    <t>_eF=IF(TRIM(_eT[CONNECT_ToElement1]) = "", _eT[SecondaryBus], _eT[CONNECT_ToElement1])</t>
  </si>
  <si>
    <t>_eF=IF(TRIM(_eT[CONNECT_ToElement2]) = "", _eT[TeritiaryBus], _eT[CONNECT_ToElement2])</t>
  </si>
  <si>
    <t>_eF=IF(TRIM(_eT[CONNECT_FromElement]) = "", _eT[InputBus], _eT[CONNECT_FromElement])</t>
  </si>
  <si>
    <t>_eF=IF(TRIM(_eT[CONNECT_FromElement]) = "", _eT[FromElement], _eT[CONNECT_FromElement])</t>
  </si>
  <si>
    <t>_eF=IF(TRIM(_eT[CONNECT_ToElement1]) = "", _eT[ToElement], _eT[CONNECT_ToElement1])</t>
  </si>
  <si>
    <t>_eF=IF(_eN[ElectricalStandard] = 0, Round(_eN[MaxkV], 3), Round(_eN[Voltage], 3))</t>
  </si>
  <si>
    <t>_eF= IF([Temp1] = [Temp2], [Temp1], CONCATENATE([Temp1], "/", [Temp2]))</t>
  </si>
  <si>
    <t>_eF=IF(TRIM(_eT[CONNECT_FromElement]) = "", _eT[ToTerminalN], _eT[CONNECT_FromElement])</t>
  </si>
  <si>
    <t>_eF=IF(TRIM(_eT[CONNECT_ToElement1]) = "", _eT[ToTerminalA], _eT[CONNECT_ToElement1])</t>
  </si>
  <si>
    <t>_eF=IF(TRIM(_eT[CONNECT_ToElement2]) = "", _eT[ToTerminalB], _eT[CONNECT_ToElement2])</t>
  </si>
  <si>
    <t>_eF=IF(_eN[PrimkV] &gt; 0, IF(_eN[Phase]=1, Round((_eN[AnsiMVA]/_eN[PrimkV]), 1),Round((_eN[AnsiMVA]/(Sqrt(3)*_eN[PrimkV])), 1)), "")</t>
  </si>
  <si>
    <t>_eF=IF(_eN[SeckV] &gt; 0, IF(_eN[Phase]=1, Round((_eN[AnsiMVA]/_eN[SeckV]), 1),Round((_eN[AnsiMVA]/(Sqrt(3)*_eN[SeckV])), 1)), "")</t>
  </si>
  <si>
    <t>_eF=IF(TRIM( _eT[CONNECT_FromElement]) = "", _eT[FromBus], _eT[CONNECT_FromElement])</t>
  </si>
  <si>
    <t>_eF=IF(TRIM( _eT[CONNECT_ToElement1]) = "",_eT[ToBus],_eT[CONNECT_ToElement1])</t>
  </si>
  <si>
    <t>YCoordinate</t>
  </si>
  <si>
    <t>Point1</t>
  </si>
  <si>
    <t>Point2</t>
  </si>
  <si>
    <t>Point3</t>
  </si>
  <si>
    <t>Xcoordinate1</t>
  </si>
  <si>
    <t>Ycoordinate1</t>
  </si>
  <si>
    <t>Xcoordinate2</t>
  </si>
  <si>
    <t>Ycoordinate2</t>
  </si>
  <si>
    <t>Xcoordinate3</t>
  </si>
  <si>
    <t>Ycoordinate3</t>
  </si>
  <si>
    <t>Layer</t>
  </si>
  <si>
    <t>Feeder ID</t>
  </si>
  <si>
    <t>Substation ID</t>
  </si>
  <si>
    <t>Point4</t>
  </si>
  <si>
    <t>Xcoordinate4</t>
  </si>
  <si>
    <t>Ycoordinate4</t>
  </si>
  <si>
    <t>_eF=FIXED(_eN[PowerFactor], 1)</t>
  </si>
  <si>
    <t>_eF=Round(_eN[KV], 3)</t>
  </si>
  <si>
    <t>_eF=CHOOSE((_eN[MWButton] + 1), "MVA", "kVA", "VA")</t>
  </si>
  <si>
    <t>_eF=CHOOSE((_eN[MWButton] + 1), _eN[MVA] / 1000, _eN[MVA], _eN[MVA] * 1000)</t>
  </si>
  <si>
    <t>_eF=CHOOSE((_eN[MWButton] + 1), "MW", "kW", "W")</t>
  </si>
  <si>
    <t>_eF=CHOOSE((_eN[MWButton] + 1), _eN[MW] / 1000, _eN[MW], _eN[MW] * 1000)</t>
  </si>
  <si>
    <t>Apparent Power</t>
  </si>
  <si>
    <t>Power</t>
  </si>
  <si>
    <t>SYNCHRONOUS GENERATOR DATA</t>
  </si>
  <si>
    <t>Device20_WorksheetName</t>
  </si>
  <si>
    <t>Synchronous Generator</t>
  </si>
  <si>
    <t>Device20_XmlTag</t>
  </si>
  <si>
    <t>SYNGEN</t>
  </si>
  <si>
    <t>Device20_DataAddress</t>
  </si>
  <si>
    <t>AdjustKGBasedOnPG</t>
  </si>
  <si>
    <t>AlertMaintenanceAlarm</t>
  </si>
  <si>
    <t>AlertMaintenanceWarning</t>
  </si>
  <si>
    <t>C0</t>
  </si>
  <si>
    <t>C1</t>
  </si>
  <si>
    <t>C2</t>
  </si>
  <si>
    <t>C3</t>
  </si>
  <si>
    <t>CalcFromCapability</t>
  </si>
  <si>
    <t>CalcQa</t>
  </si>
  <si>
    <t>CheckerCapabilityPage</t>
  </si>
  <si>
    <t>CheckerExc1</t>
  </si>
  <si>
    <t>CheckerExc2</t>
  </si>
  <si>
    <t>CheckerExc3</t>
  </si>
  <si>
    <t>CheckerFuelCostPage</t>
  </si>
  <si>
    <t>CheckerGov1</t>
  </si>
  <si>
    <t>CheckerGov2</t>
  </si>
  <si>
    <t>CheckerGov3</t>
  </si>
  <si>
    <t>CheckerGrounding</t>
  </si>
  <si>
    <t>CheckerImpModelPage</t>
  </si>
  <si>
    <t>CheckerPageStatorColdCurveCurrent</t>
  </si>
  <si>
    <t>CheckerPageStatorColdCurveTime</t>
  </si>
  <si>
    <t>CheckerTimeDomainPage</t>
  </si>
  <si>
    <t>CheckerUDMPSS1</t>
  </si>
  <si>
    <t>CheckerUDMPSS2</t>
  </si>
  <si>
    <t>CheckerUDMPSS3</t>
  </si>
  <si>
    <t>CircuitLevel</t>
  </si>
  <si>
    <t>ColdStartCost</t>
  </si>
  <si>
    <t>ColdStartUp</t>
  </si>
  <si>
    <t>ColdThermalCurveLabel</t>
  </si>
  <si>
    <t>CompositeSector</t>
  </si>
  <si>
    <t>CompoundExc</t>
  </si>
  <si>
    <t>ContMW</t>
  </si>
  <si>
    <t>CreatedBy</t>
  </si>
  <si>
    <t>CreatedTime</t>
  </si>
  <si>
    <t>CtrlBusIDExc</t>
  </si>
  <si>
    <t>CtrlBusIDGov</t>
  </si>
  <si>
    <t>CtrlBusIIDExc</t>
  </si>
  <si>
    <t>Current10C</t>
  </si>
  <si>
    <t>Current11C</t>
  </si>
  <si>
    <t>Current12C</t>
  </si>
  <si>
    <t>Current13C</t>
  </si>
  <si>
    <t>Current14C</t>
  </si>
  <si>
    <t>Current15C</t>
  </si>
  <si>
    <t>Current16C</t>
  </si>
  <si>
    <t>Current17C</t>
  </si>
  <si>
    <t>Current18C</t>
  </si>
  <si>
    <t>Current19C</t>
  </si>
  <si>
    <t>Current1C</t>
  </si>
  <si>
    <t>Current20C</t>
  </si>
  <si>
    <t>Current2C</t>
  </si>
  <si>
    <t>Current3C</t>
  </si>
  <si>
    <t>Current4C</t>
  </si>
  <si>
    <t>Current5C</t>
  </si>
  <si>
    <t>Current6C</t>
  </si>
  <si>
    <t>Current7C</t>
  </si>
  <si>
    <t>Current8C</t>
  </si>
  <si>
    <t>Current9C</t>
  </si>
  <si>
    <t>CurveType</t>
  </si>
  <si>
    <t>Damping</t>
  </si>
  <si>
    <t>DataGapOpt</t>
  </si>
  <si>
    <t>DateInstalled</t>
  </si>
  <si>
    <t>DeviceType</t>
  </si>
  <si>
    <t>DistributedNeutral</t>
  </si>
  <si>
    <t>DownRampRate</t>
  </si>
  <si>
    <t>Efficency</t>
  </si>
  <si>
    <t>EnablePOZ1</t>
  </si>
  <si>
    <t>EnablePOZ2</t>
  </si>
  <si>
    <t>EnablePOZ3</t>
  </si>
  <si>
    <t>EnablePOZ4</t>
  </si>
  <si>
    <t>EnablePOZ5</t>
  </si>
  <si>
    <t>EnableProhibitedZone</t>
  </si>
  <si>
    <t>EnergizedYear</t>
  </si>
  <si>
    <t>ExciterID</t>
  </si>
  <si>
    <t>ExciterType</t>
  </si>
  <si>
    <t>ExcParameter0</t>
  </si>
  <si>
    <t>ExcParameter1</t>
  </si>
  <si>
    <t>ExcParameter10</t>
  </si>
  <si>
    <t>ExcParameter11</t>
  </si>
  <si>
    <t>ExcParameter12</t>
  </si>
  <si>
    <t>ExcParameter13</t>
  </si>
  <si>
    <t>ExcParameter14</t>
  </si>
  <si>
    <t>ExcParameter15</t>
  </si>
  <si>
    <t>ExcParameter16</t>
  </si>
  <si>
    <t>ExcParameter17</t>
  </si>
  <si>
    <t>ExcParameter18</t>
  </si>
  <si>
    <t>ExcParameter19</t>
  </si>
  <si>
    <t>ExcParameter2</t>
  </si>
  <si>
    <t>ExcParameter20</t>
  </si>
  <si>
    <t>ExcParameter21</t>
  </si>
  <si>
    <t>ExcParameter22</t>
  </si>
  <si>
    <t>ExcParameter23</t>
  </si>
  <si>
    <t>ExcParameter24</t>
  </si>
  <si>
    <t>ExcParameter25</t>
  </si>
  <si>
    <t>ExcParameter26</t>
  </si>
  <si>
    <t>ExcParameter27</t>
  </si>
  <si>
    <t>ExcParameter28</t>
  </si>
  <si>
    <t>ExcParameter29</t>
  </si>
  <si>
    <t>ExcParameter3</t>
  </si>
  <si>
    <t>ExcParameter30</t>
  </si>
  <si>
    <t>ExcParameter31</t>
  </si>
  <si>
    <t>ExcParameter32</t>
  </si>
  <si>
    <t>ExcParameter33</t>
  </si>
  <si>
    <t>ExcParameter34</t>
  </si>
  <si>
    <t>ExcParameter35</t>
  </si>
  <si>
    <t>ExcParameter36</t>
  </si>
  <si>
    <t>ExcParameter37</t>
  </si>
  <si>
    <t>ExcParameter38</t>
  </si>
  <si>
    <t>ExcParameter39</t>
  </si>
  <si>
    <t>ExcParameter4</t>
  </si>
  <si>
    <t>ExcParameter40</t>
  </si>
  <si>
    <t>ExcParameter41</t>
  </si>
  <si>
    <t>ExcParameter42</t>
  </si>
  <si>
    <t>ExcParameter43</t>
  </si>
  <si>
    <t>ExcParameter44</t>
  </si>
  <si>
    <t>ExcParameter45</t>
  </si>
  <si>
    <t>ExcParameter46</t>
  </si>
  <si>
    <t>ExcParameter47</t>
  </si>
  <si>
    <t>ExcParameter48</t>
  </si>
  <si>
    <t>ExcParameter49</t>
  </si>
  <si>
    <t>ExcParameter5</t>
  </si>
  <si>
    <t>ExcParameter50</t>
  </si>
  <si>
    <t>ExcParameter51</t>
  </si>
  <si>
    <t>ExcParameter52</t>
  </si>
  <si>
    <t>ExcParameter53</t>
  </si>
  <si>
    <t>ExcParameter54</t>
  </si>
  <si>
    <t>ExcParameter55</t>
  </si>
  <si>
    <t>ExcParameter56</t>
  </si>
  <si>
    <t>ExcParameter57</t>
  </si>
  <si>
    <t>ExcParameter58</t>
  </si>
  <si>
    <t>ExcParameter59</t>
  </si>
  <si>
    <t>ExcParameter6</t>
  </si>
  <si>
    <t>ExcParameter7</t>
  </si>
  <si>
    <t>ExcParameter8</t>
  </si>
  <si>
    <t>ExcParameter9</t>
  </si>
  <si>
    <t>ExcWithstandLimit</t>
  </si>
  <si>
    <t>ExcWithstandTime</t>
  </si>
  <si>
    <t>ExternalDataSector</t>
  </si>
  <si>
    <t>FeederID</t>
  </si>
  <si>
    <t>FuelCost0</t>
  </si>
  <si>
    <t>FuelCost1</t>
  </si>
  <si>
    <t>FuelCost2</t>
  </si>
  <si>
    <t>FuelCost3</t>
  </si>
  <si>
    <t>FuelCost4</t>
  </si>
  <si>
    <t>FuelCost5</t>
  </si>
  <si>
    <t>FuelCost6</t>
  </si>
  <si>
    <t>FuelCost7</t>
  </si>
  <si>
    <t>FuelCost8</t>
  </si>
  <si>
    <t>FuelCost9</t>
  </si>
  <si>
    <t>GenerationCategory</t>
  </si>
  <si>
    <t>GostScExciterType</t>
  </si>
  <si>
    <t>GovernorID</t>
  </si>
  <si>
    <t>GovernorType</t>
  </si>
  <si>
    <t>GrdFont</t>
  </si>
  <si>
    <t>GroundR</t>
  </si>
  <si>
    <t>GrowthCurveSector</t>
  </si>
  <si>
    <t>HotStartCost</t>
  </si>
  <si>
    <t>HotThermalCurveLabel</t>
  </si>
  <si>
    <t>IecExcitationType</t>
  </si>
  <si>
    <t>Ikp</t>
  </si>
  <si>
    <t>IncludePFMvarController</t>
  </si>
  <si>
    <t>InheritedState</t>
  </si>
  <si>
    <t>K</t>
  </si>
  <si>
    <t>LastPrimGroundingRX</t>
  </si>
  <si>
    <t>LCost0</t>
  </si>
  <si>
    <t>LCost1</t>
  </si>
  <si>
    <t>LCost10</t>
  </si>
  <si>
    <t>LCost11</t>
  </si>
  <si>
    <t>LCost12</t>
  </si>
  <si>
    <t>LCost13</t>
  </si>
  <si>
    <t>LCost14</t>
  </si>
  <si>
    <t>LCost15</t>
  </si>
  <si>
    <t>LCost16</t>
  </si>
  <si>
    <t>LCost17</t>
  </si>
  <si>
    <t>LCost18</t>
  </si>
  <si>
    <t>LCost19</t>
  </si>
  <si>
    <t>LCost2</t>
  </si>
  <si>
    <t>LCost20</t>
  </si>
  <si>
    <t>LCost21</t>
  </si>
  <si>
    <t>LCost22</t>
  </si>
  <si>
    <t>LCost23</t>
  </si>
  <si>
    <t>LCost24</t>
  </si>
  <si>
    <t>LCost25</t>
  </si>
  <si>
    <t>LCost26</t>
  </si>
  <si>
    <t>LCost27</t>
  </si>
  <si>
    <t>LCost28</t>
  </si>
  <si>
    <t>LCost29</t>
  </si>
  <si>
    <t>LCost3</t>
  </si>
  <si>
    <t>LCost4</t>
  </si>
  <si>
    <t>LCost5</t>
  </si>
  <si>
    <t>LCost6</t>
  </si>
  <si>
    <t>LCost7</t>
  </si>
  <si>
    <t>LCost8</t>
  </si>
  <si>
    <t>LCost9</t>
  </si>
  <si>
    <t>LCostIncr0</t>
  </si>
  <si>
    <t>LCostIncr1</t>
  </si>
  <si>
    <t>LCostIncr10</t>
  </si>
  <si>
    <t>LCostIncr11</t>
  </si>
  <si>
    <t>LCostIncr12</t>
  </si>
  <si>
    <t>LCostIncr13</t>
  </si>
  <si>
    <t>LCostIncr14</t>
  </si>
  <si>
    <t>LCostIncr15</t>
  </si>
  <si>
    <t>LCostIncr16</t>
  </si>
  <si>
    <t>LCostIncr17</t>
  </si>
  <si>
    <t>LCostIncr18</t>
  </si>
  <si>
    <t>LCostIncr19</t>
  </si>
  <si>
    <t>LCostIncr2</t>
  </si>
  <si>
    <t>LCostIncr20</t>
  </si>
  <si>
    <t>LCostIncr21</t>
  </si>
  <si>
    <t>LCostIncr22</t>
  </si>
  <si>
    <t>LCostIncr23</t>
  </si>
  <si>
    <t>LCostIncr24</t>
  </si>
  <si>
    <t>LCostIncr25</t>
  </si>
  <si>
    <t>LCostIncr26</t>
  </si>
  <si>
    <t>LCostIncr27</t>
  </si>
  <si>
    <t>LCostIncr28</t>
  </si>
  <si>
    <t>LCostIncr29</t>
  </si>
  <si>
    <t>LCostIncr3</t>
  </si>
  <si>
    <t>LCostIncr4</t>
  </si>
  <si>
    <t>LCostIncr5</t>
  </si>
  <si>
    <t>LCostIncr6</t>
  </si>
  <si>
    <t>LCostIncr7</t>
  </si>
  <si>
    <t>LCostIncr8</t>
  </si>
  <si>
    <t>LCostIncr9</t>
  </si>
  <si>
    <t>LibAccess</t>
  </si>
  <si>
    <t>LMW0</t>
  </si>
  <si>
    <t>LMW1</t>
  </si>
  <si>
    <t>LMW10</t>
  </si>
  <si>
    <t>LMW11</t>
  </si>
  <si>
    <t>LMW12</t>
  </si>
  <si>
    <t>LMW13</t>
  </si>
  <si>
    <t>LMW14</t>
  </si>
  <si>
    <t>LMW15</t>
  </si>
  <si>
    <t>LMW16</t>
  </si>
  <si>
    <t>LMW17</t>
  </si>
  <si>
    <t>LMW18</t>
  </si>
  <si>
    <t>LMW19</t>
  </si>
  <si>
    <t>LMW2</t>
  </si>
  <si>
    <t>LMW20</t>
  </si>
  <si>
    <t>LMW21</t>
  </si>
  <si>
    <t>LMW22</t>
  </si>
  <si>
    <t>LMW23</t>
  </si>
  <si>
    <t>LMW24</t>
  </si>
  <si>
    <t>LMW25</t>
  </si>
  <si>
    <t>LMW26</t>
  </si>
  <si>
    <t>LMW27</t>
  </si>
  <si>
    <t>LMW28</t>
  </si>
  <si>
    <t>LMW29</t>
  </si>
  <si>
    <t>LMW3</t>
  </si>
  <si>
    <t>LMW4</t>
  </si>
  <si>
    <t>LMW5</t>
  </si>
  <si>
    <t>LMW6</t>
  </si>
  <si>
    <t>LMW7</t>
  </si>
  <si>
    <t>LMW8</t>
  </si>
  <si>
    <t>LMW9</t>
  </si>
  <si>
    <t>LoadConditionOpt</t>
  </si>
  <si>
    <t>LocB_D2D</t>
  </si>
  <si>
    <t>LocL_D2D</t>
  </si>
  <si>
    <t>LocR_D2D</t>
  </si>
  <si>
    <t>LocT_D2D</t>
  </si>
  <si>
    <t>LocX_D2D</t>
  </si>
  <si>
    <t>LocY_D2D</t>
  </si>
  <si>
    <t>m_CheckerPageOM</t>
  </si>
  <si>
    <t>m_MaintenanceScheduleA</t>
  </si>
  <si>
    <t>m_MaintenanceScheduleB</t>
  </si>
  <si>
    <t>m_MaintenanceScheduleC</t>
  </si>
  <si>
    <t>MachineType</t>
  </si>
  <si>
    <t>MaintenanceIntervalTime</t>
  </si>
  <si>
    <t>MaintenanceIntervalTimeB</t>
  </si>
  <si>
    <t>MaintenanceIntervalTimeC</t>
  </si>
  <si>
    <t>MaxMW</t>
  </si>
  <si>
    <t>MaxQ</t>
  </si>
  <si>
    <t>MfrModelID</t>
  </si>
  <si>
    <t>MidPtMW</t>
  </si>
  <si>
    <t>MinMW</t>
  </si>
  <si>
    <t>MinOperDownTime</t>
  </si>
  <si>
    <t>MinOperUpTime</t>
  </si>
  <si>
    <t>MinQ</t>
  </si>
  <si>
    <t>MvarPercentButton</t>
  </si>
  <si>
    <t>MW</t>
  </si>
  <si>
    <t>MWButton</t>
  </si>
  <si>
    <t>NeedsToBeVerifiedDistributionShared</t>
  </si>
  <si>
    <t>NeedsToBeVerifiedDistributionSharedH1</t>
  </si>
  <si>
    <t>ObjectID</t>
  </si>
  <si>
    <t>OpMvar</t>
  </si>
  <si>
    <t>OpMW</t>
  </si>
  <si>
    <t>OpVAng</t>
  </si>
  <si>
    <t>OpVMag</t>
  </si>
  <si>
    <t>OutServiceYear</t>
  </si>
  <si>
    <t>Parameter0</t>
  </si>
  <si>
    <t>Parameter1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</si>
  <si>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</si>
  <si>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</si>
  <si>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</si>
  <si>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</si>
  <si>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</si>
  <si>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</si>
  <si>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</si>
  <si>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</si>
  <si>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</si>
  <si>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</si>
  <si>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</si>
  <si>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</si>
  <si>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</si>
  <si>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</si>
  <si>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</si>
  <si>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</si>
  <si>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</si>
  <si>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</si>
  <si>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</si>
  <si>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</si>
  <si>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</si>
  <si>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</si>
  <si>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</si>
  <si>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</si>
  <si>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</si>
  <si>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</si>
  <si>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</si>
  <si>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</si>
  <si>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</si>
  <si>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</si>
  <si>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</si>
  <si>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</si>
  <si>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</si>
  <si>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</si>
  <si>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</si>
  <si>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</si>
  <si>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</si>
  <si>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</si>
  <si>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</si>
  <si>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</si>
  <si>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</si>
  <si>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</si>
  <si>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</si>
  <si>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</t>
  </si>
  <si>
    <t>Parameter50</t>
  </si>
  <si>
    <t>Parameter51</t>
  </si>
  <si>
    <t>Parameter52</t>
  </si>
  <si>
    <t>Parameter53</t>
  </si>
  <si>
    <t>Parameter54</t>
  </si>
  <si>
    <t>Parameter55</t>
  </si>
  <si>
    <t>Parameter56</t>
  </si>
  <si>
    <t>Parameter57</t>
  </si>
  <si>
    <t>Parameter58</t>
  </si>
  <si>
    <t>Parameter59</t>
  </si>
  <si>
    <t>Parameter6</t>
  </si>
  <si>
    <t>Parameter60</t>
  </si>
  <si>
    <t>Parameter61</t>
  </si>
  <si>
    <t>Parameter62</t>
  </si>
  <si>
    <t>Parameter63</t>
  </si>
  <si>
    <t>Parameter7</t>
  </si>
  <si>
    <t>Parameter8</t>
  </si>
  <si>
    <t>Parameter9</t>
  </si>
  <si>
    <t>PDEGndSymbol</t>
  </si>
  <si>
    <t>PeakMvar</t>
  </si>
  <si>
    <t>PeakMW</t>
  </si>
  <si>
    <t>PG</t>
  </si>
  <si>
    <t>PlotACDecrementCurve</t>
  </si>
  <si>
    <t>PlotColdThermalCurve</t>
  </si>
  <si>
    <t>PlotDecrementCurve</t>
  </si>
  <si>
    <t>PlotHotThermalCurve</t>
  </si>
  <si>
    <t>PlotI2t</t>
  </si>
  <si>
    <t>PlotShortTime</t>
  </si>
  <si>
    <t>Pmin</t>
  </si>
  <si>
    <t>PowerFactor</t>
  </si>
  <si>
    <t>POZ1Max</t>
  </si>
  <si>
    <t>POZ1Min</t>
  </si>
  <si>
    <t>POZ2Max</t>
  </si>
  <si>
    <t>POZ2Min</t>
  </si>
  <si>
    <t>POZ3Max</t>
  </si>
  <si>
    <t>POZ3Min</t>
  </si>
  <si>
    <t>POZ4Max</t>
  </si>
  <si>
    <t>POZ4Min</t>
  </si>
  <si>
    <t>POZ5Max</t>
  </si>
  <si>
    <t>POZ5Min</t>
  </si>
  <si>
    <t>PrimConnectionButton</t>
  </si>
  <si>
    <t>PrimEarthingType</t>
  </si>
  <si>
    <t>PrimGroundingAmpers1</t>
  </si>
  <si>
    <t>PrimGroundingAmpers2</t>
  </si>
  <si>
    <t>PrimGroundingKV1</t>
  </si>
  <si>
    <t>PrimGroundingKV2</t>
  </si>
  <si>
    <t>PrimGroundingKVA</t>
  </si>
  <si>
    <t>PrimGroundingSecOhms</t>
  </si>
  <si>
    <t>PrimGroundingType</t>
  </si>
  <si>
    <t>Profile</t>
  </si>
  <si>
    <t>ProfileSector</t>
  </si>
  <si>
    <t>ProfileSector2</t>
  </si>
  <si>
    <t>Qa</t>
  </si>
  <si>
    <t>Qc</t>
  </si>
  <si>
    <t>Qd</t>
  </si>
  <si>
    <t>RatedLifeTime</t>
  </si>
  <si>
    <t>RdcPercent</t>
  </si>
  <si>
    <t>ReactivePower</t>
  </si>
  <si>
    <t>RealPower</t>
  </si>
  <si>
    <t>RPM</t>
  </si>
  <si>
    <t>S100</t>
  </si>
  <si>
    <t>S120</t>
  </si>
  <si>
    <t>Sbreak</t>
  </si>
  <si>
    <t>ScExciterType</t>
  </si>
  <si>
    <t>ScGenType</t>
  </si>
  <si>
    <t>SelectedUDMFileNameExc</t>
  </si>
  <si>
    <t>SelectedUDMFileNameGov</t>
  </si>
  <si>
    <t>SelectedUDMFileNamePSS</t>
  </si>
  <si>
    <t>ServiceState</t>
  </si>
  <si>
    <t>ShutDownTime</t>
  </si>
  <si>
    <t>SingleYearForecastOpt</t>
  </si>
  <si>
    <t>SourceType</t>
  </si>
  <si>
    <t>StatorCurveID</t>
  </si>
  <si>
    <t>TDoublePrimeD0</t>
  </si>
  <si>
    <t>TDoublePrimeQ0</t>
  </si>
  <si>
    <t>ThermalCapKFactor</t>
  </si>
  <si>
    <t>Time10C</t>
  </si>
  <si>
    <t>Time11C</t>
  </si>
  <si>
    <t>Time12C</t>
  </si>
  <si>
    <t>Time13C</t>
  </si>
  <si>
    <t>Time14C</t>
  </si>
  <si>
    <t>Time15C</t>
  </si>
  <si>
    <t>Time16C</t>
  </si>
  <si>
    <t>Time17C</t>
  </si>
  <si>
    <t>Time18C</t>
  </si>
  <si>
    <t>Time19C</t>
  </si>
  <si>
    <t>Time1C</t>
  </si>
  <si>
    <t>Time20C</t>
  </si>
  <si>
    <t>Time2C</t>
  </si>
  <si>
    <t>Time3C</t>
  </si>
  <si>
    <t>Time4C</t>
  </si>
  <si>
    <t>Time5C</t>
  </si>
  <si>
    <t>Time6C</t>
  </si>
  <si>
    <t>Time7C</t>
  </si>
  <si>
    <t>Time8C</t>
  </si>
  <si>
    <t>Time9C</t>
  </si>
  <si>
    <t>TPrimeD0</t>
  </si>
  <si>
    <t>TPrimeQ0</t>
  </si>
  <si>
    <t>TypeOfGenerator</t>
  </si>
  <si>
    <t>UDMPSSID</t>
  </si>
  <si>
    <t>UDMPSSParameter0</t>
  </si>
  <si>
    <t>UDMPSSParameter1</t>
  </si>
  <si>
    <t>UDMPSSParameter10</t>
  </si>
  <si>
    <t>UDMPSSParameter11</t>
  </si>
  <si>
    <t>UDMPSSParameter12</t>
  </si>
  <si>
    <t>UDMPSSParameter13</t>
  </si>
  <si>
    <t>UDMPSSParameter14</t>
  </si>
  <si>
    <t>UDMPSSParameter15</t>
  </si>
  <si>
    <t>UDMPSSParameter16</t>
  </si>
  <si>
    <t>UDMPSSParameter17</t>
  </si>
  <si>
    <t>UDMPSSParameter18</t>
  </si>
  <si>
    <t>UDMPSSParameter19</t>
  </si>
  <si>
    <t>UDMPSSParameter2</t>
  </si>
  <si>
    <t>UDMPSSParameter20</t>
  </si>
  <si>
    <t>UDMPSSParameter21</t>
  </si>
  <si>
    <t>UDMPSSParameter22</t>
  </si>
  <si>
    <t>UDMPSSParameter23</t>
  </si>
  <si>
    <t>UDMPSSParameter24</t>
  </si>
  <si>
    <t>UDMPSSParameter25</t>
  </si>
  <si>
    <t>UDMPSSParameter26</t>
  </si>
  <si>
    <t>UDMPSSParameter27</t>
  </si>
  <si>
    <t>UDMPSSParameter28</t>
  </si>
  <si>
    <t>UDMPSSParameter29</t>
  </si>
  <si>
    <t>UDMPSSParameter3</t>
  </si>
  <si>
    <t>UDMPSSParameter30</t>
  </si>
  <si>
    <t>UDMPSSParameter31</t>
  </si>
  <si>
    <t>UDMPSSParameter32</t>
  </si>
  <si>
    <t>UDMPSSParameter33</t>
  </si>
  <si>
    <t>UDMPSSParameter34</t>
  </si>
  <si>
    <t>UDMPSSParameter35</t>
  </si>
  <si>
    <t>UDMPSSParameter36</t>
  </si>
  <si>
    <t>UDMPSSParameter37</t>
  </si>
  <si>
    <t>UDMPSSParameter38</t>
  </si>
  <si>
    <t>UDMPSSParameter39</t>
  </si>
  <si>
    <t>UDMPSSParameter4</t>
  </si>
  <si>
    <t>UDMPSSParameter40</t>
  </si>
  <si>
    <t>UDMPSSParameter41</t>
  </si>
  <si>
    <t>UDMPSSParameter42</t>
  </si>
  <si>
    <t>UDMPSSParameter43</t>
  </si>
  <si>
    <t>UDMPSSParameter44</t>
  </si>
  <si>
    <t>UDMPSSParameter45</t>
  </si>
  <si>
    <t>UDMPSSParameter46</t>
  </si>
  <si>
    <t>UDMPSSParameter47</t>
  </si>
  <si>
    <t>UDMPSSParameter48</t>
  </si>
  <si>
    <t>UDMPSSParameter49</t>
  </si>
  <si>
    <t>UDMPSSParameter5</t>
  </si>
  <si>
    <t>UDMPSSParameter50</t>
  </si>
  <si>
    <t>UDMPSSParameter51</t>
  </si>
  <si>
    <t>UDMPSSParameter52</t>
  </si>
  <si>
    <t>UDMPSSParameter53</t>
  </si>
  <si>
    <t>UDMPSSParameter54</t>
  </si>
  <si>
    <t>UDMPSSParameter55</t>
  </si>
  <si>
    <t>UDMPSSParameter56</t>
  </si>
  <si>
    <t>UDMPSSParameter57</t>
  </si>
  <si>
    <t>UDMPSSParameter58</t>
  </si>
  <si>
    <t>UDMPSSParameter59</t>
  </si>
  <si>
    <t>UDMPSSParameter6</t>
  </si>
  <si>
    <t>UDMPSSParameter7</t>
  </si>
  <si>
    <t>UDMPSSParameter8</t>
  </si>
  <si>
    <t>UDMPSSParameter9</t>
  </si>
  <si>
    <t>udmPSSType</t>
  </si>
  <si>
    <t>UniformScalePQ</t>
  </si>
  <si>
    <t>UpRampRate</t>
  </si>
  <si>
    <t>UseOperatingLimits</t>
  </si>
  <si>
    <t>UserDefinedFieldCurrent</t>
  </si>
  <si>
    <t>VoltageAngle</t>
  </si>
  <si>
    <t>VoltageMagnitude</t>
  </si>
  <si>
    <t>Weight</t>
  </si>
  <si>
    <t>X1</t>
  </si>
  <si>
    <t>Xd</t>
  </si>
  <si>
    <t>XdDoublePrime</t>
  </si>
  <si>
    <t>XdPrime</t>
  </si>
  <si>
    <t>Xdu</t>
  </si>
  <si>
    <t>XOverR</t>
  </si>
  <si>
    <t>XOverR0</t>
  </si>
  <si>
    <t>XOverR2</t>
  </si>
  <si>
    <t>Xq</t>
  </si>
  <si>
    <t>XqDoublePrime</t>
  </si>
  <si>
    <t>XqPrime</t>
  </si>
  <si>
    <t>Xqu</t>
  </si>
  <si>
    <t>XTolerance</t>
  </si>
  <si>
    <t>Current Transformer</t>
  </si>
  <si>
    <t>Universal Relay</t>
  </si>
  <si>
    <t>FromElement</t>
  </si>
  <si>
    <t>FromBus</t>
  </si>
  <si>
    <t>Burden</t>
  </si>
  <si>
    <t>BurdenDesignation</t>
  </si>
  <si>
    <t>BurdenUnit</t>
  </si>
  <si>
    <t>IECBurden</t>
  </si>
  <si>
    <t>IECBurdenDesignation</t>
  </si>
  <si>
    <t>Prim</t>
  </si>
  <si>
    <t>Sec</t>
  </si>
  <si>
    <t>_eF=Round(_eN[Prim], 3)</t>
  </si>
  <si>
    <t>_eF=Round(_eN[Sec], 1)</t>
  </si>
  <si>
    <t>CXFORM</t>
  </si>
  <si>
    <t>Device21_XmlTag</t>
  </si>
  <si>
    <t>Device21_DataAddress</t>
  </si>
  <si>
    <t>Device21_WorksheetName</t>
  </si>
  <si>
    <t xml:space="preserve"> Standard</t>
  </si>
  <si>
    <t>Frequency</t>
  </si>
  <si>
    <t>Ceiling</t>
  </si>
  <si>
    <t>Floor</t>
  </si>
  <si>
    <t>Project Title</t>
  </si>
  <si>
    <t>ANSI/IEC</t>
  </si>
  <si>
    <t>60 Hz or 50 Hz</t>
  </si>
  <si>
    <t>Map Unit</t>
  </si>
  <si>
    <t>Scale</t>
  </si>
  <si>
    <t>Projection</t>
  </si>
  <si>
    <t>XCoordinate</t>
  </si>
  <si>
    <t>Project Information</t>
  </si>
  <si>
    <t>UNIVERSALRELAY</t>
  </si>
  <si>
    <t>PXFORM</t>
  </si>
  <si>
    <t>UTIL</t>
  </si>
  <si>
    <t>BusDuct</t>
  </si>
  <si>
    <t>CAPACITOR</t>
  </si>
  <si>
    <t>OVERLOADHEATER</t>
  </si>
  <si>
    <t>Utility</t>
  </si>
  <si>
    <t>Bus Duct</t>
  </si>
  <si>
    <t>Capacitor</t>
  </si>
  <si>
    <t>Acceleration</t>
  </si>
  <si>
    <t>AccelerationTrip</t>
  </si>
  <si>
    <t>AccelerationTripRange</t>
  </si>
  <si>
    <t>BalancedRadio</t>
  </si>
  <si>
    <t>ANSIPeak</t>
  </si>
  <si>
    <t>CapacityRating</t>
  </si>
  <si>
    <t>AccelerationType</t>
  </si>
  <si>
    <t>AppType</t>
  </si>
  <si>
    <t>Accl_K_Dial</t>
  </si>
  <si>
    <t>AcclTimeDial</t>
  </si>
  <si>
    <t>CheckerCAbleVD</t>
  </si>
  <si>
    <t>ACCSDGroup</t>
  </si>
  <si>
    <t>BaseTemperature</t>
  </si>
  <si>
    <t>CheckerPageInfo</t>
  </si>
  <si>
    <t>ActiveCurve1</t>
  </si>
  <si>
    <t>BusDuctLength</t>
  </si>
  <si>
    <t>CheckerFDRAmp</t>
  </si>
  <si>
    <t>ActiveCurve2</t>
  </si>
  <si>
    <t>BusDuctType</t>
  </si>
  <si>
    <t>ActiveCurve3</t>
  </si>
  <si>
    <t>CheckerPageLoading</t>
  </si>
  <si>
    <t>ActiveCurve4</t>
  </si>
  <si>
    <t>ActiveCurve5</t>
  </si>
  <si>
    <t>CheckerPageRemarks</t>
  </si>
  <si>
    <t>ActiveCurve6</t>
  </si>
  <si>
    <t>CheckerPageSwitching</t>
  </si>
  <si>
    <t>CloseOperatingT</t>
  </si>
  <si>
    <t>ClosePercentTD</t>
  </si>
  <si>
    <t>BasekVGrd</t>
  </si>
  <si>
    <t>CloseTDDefiniteInitial</t>
  </si>
  <si>
    <t>BasekVGrdMin</t>
  </si>
  <si>
    <t>CloseTDInverseBase</t>
  </si>
  <si>
    <t>BasekVPh</t>
  </si>
  <si>
    <t>CloseVDMultiples</t>
  </si>
  <si>
    <t>BasekVPhMin</t>
  </si>
  <si>
    <t>BasekVSenG</t>
  </si>
  <si>
    <t>ConductorsPerPhase</t>
  </si>
  <si>
    <t>BasekVSenGMin</t>
  </si>
  <si>
    <t>CtrlLogic1Active</t>
  </si>
  <si>
    <t>CheckerComment</t>
  </si>
  <si>
    <t>CtrlLogic1DevGID</t>
  </si>
  <si>
    <t>CheckerDIF</t>
  </si>
  <si>
    <t>CtrlLogic1DevIID</t>
  </si>
  <si>
    <t>CheckerInfo</t>
  </si>
  <si>
    <t>CtrlLogic1DevType</t>
  </si>
  <si>
    <t>CheckerInput</t>
  </si>
  <si>
    <t>CurrentLowerBand</t>
  </si>
  <si>
    <t>CheckerInput2</t>
  </si>
  <si>
    <t>EarthingType</t>
  </si>
  <si>
    <t>CurrentSwitchInValue</t>
  </si>
  <si>
    <t>CheckerOCRGround1</t>
  </si>
  <si>
    <t>CurrentSwitchOutValue</t>
  </si>
  <si>
    <t>CheckerOCRGround2</t>
  </si>
  <si>
    <t>CurrentUpperBand</t>
  </si>
  <si>
    <t>CheckerOCRGround3</t>
  </si>
  <si>
    <t>CheckerOCRGround4</t>
  </si>
  <si>
    <t>CheckerOCRGround5</t>
  </si>
  <si>
    <t>CheckerOCRGround6</t>
  </si>
  <si>
    <t>CheckerOCRNegSeq1</t>
  </si>
  <si>
    <t>CheckerOCRNegSeq2</t>
  </si>
  <si>
    <t>GISPhase</t>
  </si>
  <si>
    <t>CheckerOCRNegSeq3</t>
  </si>
  <si>
    <t>CheckerOCRNegSeq4</t>
  </si>
  <si>
    <t>GroundingConnection</t>
  </si>
  <si>
    <t>CheckerOCRNegSeq5</t>
  </si>
  <si>
    <t>CheckerOCRNegSeq6</t>
  </si>
  <si>
    <t>CheckerOCRNeutral1</t>
  </si>
  <si>
    <t>CheckerOCRNeutral2</t>
  </si>
  <si>
    <t>CheckerOCRNeutral3</t>
  </si>
  <si>
    <t>CheckerOCRNeutral4</t>
  </si>
  <si>
    <t>CheckerOCRNeutral5</t>
  </si>
  <si>
    <t>ImpedanceUnits</t>
  </si>
  <si>
    <t>MaxVA</t>
  </si>
  <si>
    <t>CheckerOCRNeutral6</t>
  </si>
  <si>
    <t>CheckerOCRPhase1</t>
  </si>
  <si>
    <t>CheckerOCRPhase2</t>
  </si>
  <si>
    <t>CheckerOCRPhase3</t>
  </si>
  <si>
    <t>CheckerOCRPhase4</t>
  </si>
  <si>
    <t>LengthUnit</t>
  </si>
  <si>
    <t>CheckerOCRPhase5</t>
  </si>
  <si>
    <t>CheckerOCRPhase6</t>
  </si>
  <si>
    <t>OtiSourceGUID</t>
  </si>
  <si>
    <t>CheckerOCRSenGround1</t>
  </si>
  <si>
    <t>kAsc1p</t>
  </si>
  <si>
    <t>CheckerOCRSenGround2</t>
  </si>
  <si>
    <t>kAsc3p</t>
  </si>
  <si>
    <t>KvarCtrlUnit</t>
  </si>
  <si>
    <t>CheckerOCRSenGround3</t>
  </si>
  <si>
    <t>KvarLowerBand</t>
  </si>
  <si>
    <t>CheckerOCRSenGround4</t>
  </si>
  <si>
    <t>KvarPerBank</t>
  </si>
  <si>
    <t>CheckerOCRSenGround5</t>
  </si>
  <si>
    <t>KvarSwitchInValue</t>
  </si>
  <si>
    <t>CheckerOCRSenGround6</t>
  </si>
  <si>
    <t>KvarSwitchOutValue</t>
  </si>
  <si>
    <t>CheckerOLR</t>
  </si>
  <si>
    <t>KvarUpperBand</t>
  </si>
  <si>
    <t>CheckerOutput</t>
  </si>
  <si>
    <t>PrimaryKV</t>
  </si>
  <si>
    <t>CheckerRemarks</t>
  </si>
  <si>
    <t>CheckerSC</t>
  </si>
  <si>
    <t>RCSCCurrent</t>
  </si>
  <si>
    <t>CheckerSCMin</t>
  </si>
  <si>
    <t>ColdStart</t>
  </si>
  <si>
    <t>ReversePolarity</t>
  </si>
  <si>
    <t>SecondaryKV</t>
  </si>
  <si>
    <t>SourceID</t>
  </si>
  <si>
    <t>CTGroundGID</t>
  </si>
  <si>
    <t>MaxTempValue</t>
  </si>
  <si>
    <t>SourceIID</t>
  </si>
  <si>
    <t>CTGroundIID</t>
  </si>
  <si>
    <t>SP2WireConnection</t>
  </si>
  <si>
    <t>CTGroundPrim</t>
  </si>
  <si>
    <t>Meterial</t>
  </si>
  <si>
    <t>SP3WireConnection</t>
  </si>
  <si>
    <t>CTGroundSec</t>
  </si>
  <si>
    <t>CTInputGID</t>
  </si>
  <si>
    <t>MinTempValue</t>
  </si>
  <si>
    <t>CTInputIID</t>
  </si>
  <si>
    <t>ToBus</t>
  </si>
  <si>
    <t>CTInputPrim</t>
  </si>
  <si>
    <t>CTInputSec</t>
  </si>
  <si>
    <t>CTPhaseGID</t>
  </si>
  <si>
    <t>CTPhaseIID</t>
  </si>
  <si>
    <t>MaxkV</t>
  </si>
  <si>
    <t>CTPhasePrim</t>
  </si>
  <si>
    <t>OhmsPerLengthUnit</t>
  </si>
  <si>
    <t>CTPhaseSec</t>
  </si>
  <si>
    <t>OhmsPerLengthValue</t>
  </si>
  <si>
    <t>CTSenGrdGID</t>
  </si>
  <si>
    <t>OID</t>
  </si>
  <si>
    <t>CTSenGrdIID</t>
  </si>
  <si>
    <t>VA</t>
  </si>
  <si>
    <t>CTSenGrdPrim</t>
  </si>
  <si>
    <t>VAButton</t>
  </si>
  <si>
    <t>CTSenGrdSec</t>
  </si>
  <si>
    <t>NumBanks</t>
  </si>
  <si>
    <t>XRRatio</t>
  </si>
  <si>
    <t>ToElement</t>
  </si>
  <si>
    <t>CurrentSummer</t>
  </si>
  <si>
    <t>Mvar</t>
  </si>
  <si>
    <t>OpenOperatingT</t>
  </si>
  <si>
    <t>OpenPercentTD</t>
  </si>
  <si>
    <t>DevAction1</t>
  </si>
  <si>
    <t>OpenTDDefiniteInitial</t>
  </si>
  <si>
    <t>DevAction2</t>
  </si>
  <si>
    <t>OpenTDInverseBase</t>
  </si>
  <si>
    <t>DevAction3</t>
  </si>
  <si>
    <t>OpenVDMultiples</t>
  </si>
  <si>
    <t>DevAction4</t>
  </si>
  <si>
    <t>NegR</t>
  </si>
  <si>
    <t>DevAction5</t>
  </si>
  <si>
    <t>NegX</t>
  </si>
  <si>
    <t>DevGID1</t>
  </si>
  <si>
    <t>DevGID2</t>
  </si>
  <si>
    <t>DevGID3</t>
  </si>
  <si>
    <t>DevGID4</t>
  </si>
  <si>
    <t>OnePhase</t>
  </si>
  <si>
    <t>PlotContAmp</t>
  </si>
  <si>
    <t>DevGID5</t>
  </si>
  <si>
    <t>OnePhaseXoverR</t>
  </si>
  <si>
    <t>DevIID1</t>
  </si>
  <si>
    <t>DevIID2</t>
  </si>
  <si>
    <t>DevIID3</t>
  </si>
  <si>
    <t>DevIID4</t>
  </si>
  <si>
    <t>DevIID5</t>
  </si>
  <si>
    <t>RGnd</t>
  </si>
  <si>
    <t>DIF_CT_GID</t>
  </si>
  <si>
    <t>RPos</t>
  </si>
  <si>
    <t>DIF_CT_IID1</t>
  </si>
  <si>
    <t>RZero</t>
  </si>
  <si>
    <t>DIF_CT_IID10</t>
  </si>
  <si>
    <t>DIF_CT_IID11</t>
  </si>
  <si>
    <t>DIF_CT_IID12</t>
  </si>
  <si>
    <t>DIF_CT_IID13</t>
  </si>
  <si>
    <t>DIF_CT_IID14</t>
  </si>
  <si>
    <t>DIF_CT_IID15</t>
  </si>
  <si>
    <t>DIF_CT_IID16</t>
  </si>
  <si>
    <t>PMW0</t>
  </si>
  <si>
    <t>DIF_CT_IID17</t>
  </si>
  <si>
    <t>PMW1</t>
  </si>
  <si>
    <t>PFLowerrBand</t>
  </si>
  <si>
    <t>DIF_CT_IID18</t>
  </si>
  <si>
    <t>PMW10</t>
  </si>
  <si>
    <t>PFSwitchInValue</t>
  </si>
  <si>
    <t>DIF_CT_IID19</t>
  </si>
  <si>
    <t>PMW11</t>
  </si>
  <si>
    <t>TDPhase</t>
  </si>
  <si>
    <t>PFSwitchOutValue</t>
  </si>
  <si>
    <t>DIF_CT_IID2</t>
  </si>
  <si>
    <t>PMW12</t>
  </si>
  <si>
    <t>PFUpperBand</t>
  </si>
  <si>
    <t>DIF_CT_IID20</t>
  </si>
  <si>
    <t>PMW13</t>
  </si>
  <si>
    <t>Tolerance</t>
  </si>
  <si>
    <t>DIF_CT_IID3</t>
  </si>
  <si>
    <t>PMW14</t>
  </si>
  <si>
    <t>DIF_CT_IID4</t>
  </si>
  <si>
    <t>PMW15</t>
  </si>
  <si>
    <t>DIF_CT_IID5</t>
  </si>
  <si>
    <t>PMW16</t>
  </si>
  <si>
    <t>DIF_CT_IID6</t>
  </si>
  <si>
    <t>PMW17</t>
  </si>
  <si>
    <t>DIF_CT_IID7</t>
  </si>
  <si>
    <t>PMW18</t>
  </si>
  <si>
    <t>DIF_CT_IID8</t>
  </si>
  <si>
    <t>PMW19</t>
  </si>
  <si>
    <t>DIF_CT_IID9</t>
  </si>
  <si>
    <t>PMW2</t>
  </si>
  <si>
    <t>DIF_CTInputs</t>
  </si>
  <si>
    <t>PMW20</t>
  </si>
  <si>
    <t>DIFEnabled</t>
  </si>
  <si>
    <t>PMW21</t>
  </si>
  <si>
    <t>XfmrLeg</t>
  </si>
  <si>
    <t>DIFOperatingTime</t>
  </si>
  <si>
    <t>PMW22</t>
  </si>
  <si>
    <t>XGnd</t>
  </si>
  <si>
    <t>DIFType</t>
  </si>
  <si>
    <t>PMW23</t>
  </si>
  <si>
    <t>XPos</t>
  </si>
  <si>
    <t>DisplayTag</t>
  </si>
  <si>
    <t>PMW24</t>
  </si>
  <si>
    <t>XZero</t>
  </si>
  <si>
    <t>Element1</t>
  </si>
  <si>
    <t>PMW25</t>
  </si>
  <si>
    <t>ZGnd</t>
  </si>
  <si>
    <t>Element2</t>
  </si>
  <si>
    <t>PMW26</t>
  </si>
  <si>
    <t>ZPos</t>
  </si>
  <si>
    <t>StepsPerBank</t>
  </si>
  <si>
    <t>Element3</t>
  </si>
  <si>
    <t>PMW27</t>
  </si>
  <si>
    <t>ZZero</t>
  </si>
  <si>
    <t>SwitchCtrlMode</t>
  </si>
  <si>
    <t>Element4</t>
  </si>
  <si>
    <t>PMW28</t>
  </si>
  <si>
    <t>Element5</t>
  </si>
  <si>
    <t>PMW29</t>
  </si>
  <si>
    <t>PMW3</t>
  </si>
  <si>
    <t>PMW4</t>
  </si>
  <si>
    <t>TimeDelayType</t>
  </si>
  <si>
    <t>FaultArrow3Phase</t>
  </si>
  <si>
    <t>PMW5</t>
  </si>
  <si>
    <t>FaultArrow3PhaseMin</t>
  </si>
  <si>
    <t>PMW6</t>
  </si>
  <si>
    <t>UnitsButton</t>
  </si>
  <si>
    <t>FaultArrowLGGrd</t>
  </si>
  <si>
    <t>PMW7</t>
  </si>
  <si>
    <t>UseMF</t>
  </si>
  <si>
    <t>FaultArrowLGGrdMin</t>
  </si>
  <si>
    <t>PMW8</t>
  </si>
  <si>
    <t>FaultArrowLGPh</t>
  </si>
  <si>
    <t>PMW9</t>
  </si>
  <si>
    <t>FaultArrowLGPhMin</t>
  </si>
  <si>
    <t>PosR</t>
  </si>
  <si>
    <t>FaultArrowLGSenG</t>
  </si>
  <si>
    <t>PosX</t>
  </si>
  <si>
    <t>FaultArrowLGSenGMin</t>
  </si>
  <si>
    <t>Price0</t>
  </si>
  <si>
    <t>Price1</t>
  </si>
  <si>
    <t>Price10</t>
  </si>
  <si>
    <t>FLAType</t>
  </si>
  <si>
    <t>Price11</t>
  </si>
  <si>
    <t>Grd50Curve1</t>
  </si>
  <si>
    <t>Price12</t>
  </si>
  <si>
    <t>VoltageCtrlUnit</t>
  </si>
  <si>
    <t>Grd50Curve2</t>
  </si>
  <si>
    <t>Price13</t>
  </si>
  <si>
    <t>VoltageLowerBand</t>
  </si>
  <si>
    <t>Grd50Curve3</t>
  </si>
  <si>
    <t>Price14</t>
  </si>
  <si>
    <t>VoltageSwitchInValue</t>
  </si>
  <si>
    <t>Grd50Curve4</t>
  </si>
  <si>
    <t>Price15</t>
  </si>
  <si>
    <t>VoltageSwitchOutValue</t>
  </si>
  <si>
    <t>Grd50Curve5</t>
  </si>
  <si>
    <t>Price16</t>
  </si>
  <si>
    <t>VoltageUpperBand</t>
  </si>
  <si>
    <t>Grd50Curve6</t>
  </si>
  <si>
    <t>Price17</t>
  </si>
  <si>
    <t>Grd50Instant1</t>
  </si>
  <si>
    <t>Price18</t>
  </si>
  <si>
    <t>Grd50Instant2</t>
  </si>
  <si>
    <t>Price19</t>
  </si>
  <si>
    <t>Grd50Instant3</t>
  </si>
  <si>
    <t>Price2</t>
  </si>
  <si>
    <t>Grd50Instant4</t>
  </si>
  <si>
    <t>Price20</t>
  </si>
  <si>
    <t>Grd50Instant5</t>
  </si>
  <si>
    <t>Price21</t>
  </si>
  <si>
    <t>Grd50Instant6</t>
  </si>
  <si>
    <t>Price22</t>
  </si>
  <si>
    <t>Grd50Pkup1</t>
  </si>
  <si>
    <t>Price23</t>
  </si>
  <si>
    <t>Grd50Pkup2</t>
  </si>
  <si>
    <t>Price24</t>
  </si>
  <si>
    <t>Grd50Pkup3</t>
  </si>
  <si>
    <t>Price25</t>
  </si>
  <si>
    <t>Grd50Pkup4</t>
  </si>
  <si>
    <t>Price26</t>
  </si>
  <si>
    <t>Grd50Pkup5</t>
  </si>
  <si>
    <t>Price27</t>
  </si>
  <si>
    <t>Grd50Pkup6</t>
  </si>
  <si>
    <t>Price28</t>
  </si>
  <si>
    <t>Grd50PkupRange1</t>
  </si>
  <si>
    <t>Price29</t>
  </si>
  <si>
    <t>Grd50PkupRange2</t>
  </si>
  <si>
    <t>Price3</t>
  </si>
  <si>
    <t>Grd50PkupRange3</t>
  </si>
  <si>
    <t>Price4</t>
  </si>
  <si>
    <t>Grd50PkupRange4</t>
  </si>
  <si>
    <t>Price5</t>
  </si>
  <si>
    <t>Grd50PkupRange5</t>
  </si>
  <si>
    <t>Price6</t>
  </si>
  <si>
    <t>Grd50PkupRange6</t>
  </si>
  <si>
    <t>Price7</t>
  </si>
  <si>
    <t>Grd50TmDial1</t>
  </si>
  <si>
    <t>Price8</t>
  </si>
  <si>
    <t>Grd50TmDial2</t>
  </si>
  <si>
    <t>Price9</t>
  </si>
  <si>
    <t>Grd50TmDial3</t>
  </si>
  <si>
    <t>Grd50TmDial4</t>
  </si>
  <si>
    <t>Grd50TmDial5</t>
  </si>
  <si>
    <t>Grd50TmDial6</t>
  </si>
  <si>
    <t>Grd50TmDialRange1</t>
  </si>
  <si>
    <t>Re</t>
  </si>
  <si>
    <t>Grd50TmDialRange2</t>
  </si>
  <si>
    <t>Grd50TmDialRange3</t>
  </si>
  <si>
    <t>Grd50TmDialRange4</t>
  </si>
  <si>
    <t>Grd50TmDialRange5</t>
  </si>
  <si>
    <t>Grd50TmDialRange6</t>
  </si>
  <si>
    <t>Rn</t>
  </si>
  <si>
    <t>Grd50TmDialUnit1</t>
  </si>
  <si>
    <t>Grd50TmDialUnit2</t>
  </si>
  <si>
    <t>SingleGrounded</t>
  </si>
  <si>
    <t>Grd50TmDialUnit3</t>
  </si>
  <si>
    <t>Grd50TmDialUnit4</t>
  </si>
  <si>
    <t>Grd50TmDialUnit5</t>
  </si>
  <si>
    <t>Grd50TmDialUnit6</t>
  </si>
  <si>
    <t>Grd51Curve1</t>
  </si>
  <si>
    <t>Grd51Curve2</t>
  </si>
  <si>
    <t>Grd51Curve3</t>
  </si>
  <si>
    <t>Grd51Curve4</t>
  </si>
  <si>
    <t>Grd51Curve5</t>
  </si>
  <si>
    <t>ThreePhase</t>
  </si>
  <si>
    <t>Grd51Curve6</t>
  </si>
  <si>
    <t>ThreePhaseXoverR</t>
  </si>
  <si>
    <t>Grd51Pkup1</t>
  </si>
  <si>
    <t>TypeOfUtility</t>
  </si>
  <si>
    <t>Grd51Pkup2</t>
  </si>
  <si>
    <t>Grd51Pkup3</t>
  </si>
  <si>
    <t>Grd51Pkup4</t>
  </si>
  <si>
    <t>Grd51Pkup5</t>
  </si>
  <si>
    <t>Grd51Pkup6</t>
  </si>
  <si>
    <t>Grd51PkupRange1</t>
  </si>
  <si>
    <t>Grd51PkupRange2</t>
  </si>
  <si>
    <t>Grd51PkupRange3</t>
  </si>
  <si>
    <t>Grd51PkupRange4</t>
  </si>
  <si>
    <t>Grd51PkupRange5</t>
  </si>
  <si>
    <t>Grd51PkupRange6</t>
  </si>
  <si>
    <t>Grd51TmDial1</t>
  </si>
  <si>
    <t>Xe</t>
  </si>
  <si>
    <t>Grd51TmDial2</t>
  </si>
  <si>
    <t>Xn</t>
  </si>
  <si>
    <t>Grd51TmDial3</t>
  </si>
  <si>
    <t>ZeroR</t>
  </si>
  <si>
    <t>Grd51TmDial4</t>
  </si>
  <si>
    <t>ZeroX</t>
  </si>
  <si>
    <t>Grd51TmDial5</t>
  </si>
  <si>
    <t>Grd51TmDial6</t>
  </si>
  <si>
    <t>Grd67Direction1</t>
  </si>
  <si>
    <t>Grd67Direction2</t>
  </si>
  <si>
    <t>Grd67Direction3</t>
  </si>
  <si>
    <t>Grd67Direction4</t>
  </si>
  <si>
    <t>Grd67Direction5</t>
  </si>
  <si>
    <t>Grd67Direction6</t>
  </si>
  <si>
    <t>Grd67Directional1</t>
  </si>
  <si>
    <t>Grd67Directional2</t>
  </si>
  <si>
    <t>Grd67Directional3</t>
  </si>
  <si>
    <t>Grd67Directional4</t>
  </si>
  <si>
    <t>Grd67Directional5</t>
  </si>
  <si>
    <t>Grd67Directional6</t>
  </si>
  <si>
    <t>Grd67MaxTqAngle1</t>
  </si>
  <si>
    <t>Grd67MaxTqAngle2</t>
  </si>
  <si>
    <t>Grd67MaxTqAngle3</t>
  </si>
  <si>
    <t>Grd67MaxTqAngle4</t>
  </si>
  <si>
    <t>Grd67MaxTqAngle5</t>
  </si>
  <si>
    <t>Grd67MaxTqAngle6</t>
  </si>
  <si>
    <t>Grd67Polar1</t>
  </si>
  <si>
    <t>Grd67Polar2</t>
  </si>
  <si>
    <t>Grd67Polar3</t>
  </si>
  <si>
    <t>Grd67Polar4</t>
  </si>
  <si>
    <t>Grd67Polar5</t>
  </si>
  <si>
    <t>Grd67Polar6</t>
  </si>
  <si>
    <t>GrdBrdnUnit1</t>
  </si>
  <si>
    <t>GrdBrdnUnit2</t>
  </si>
  <si>
    <t>GrdBrdnUnit3</t>
  </si>
  <si>
    <t>GrdBrdnUnit4</t>
  </si>
  <si>
    <t>GrdBrdnUnit5</t>
  </si>
  <si>
    <t>GrdBrdnUnit6</t>
  </si>
  <si>
    <t>GrdBurden1</t>
  </si>
  <si>
    <t>GrdBurden2</t>
  </si>
  <si>
    <t>GrdBurden3</t>
  </si>
  <si>
    <t>GrdBurden4</t>
  </si>
  <si>
    <t>GrdBurden5</t>
  </si>
  <si>
    <t>GrdBurden6</t>
  </si>
  <si>
    <t>Ground</t>
  </si>
  <si>
    <t>Ground50_1</t>
  </si>
  <si>
    <t>Ground50_2</t>
  </si>
  <si>
    <t>Ground50_3</t>
  </si>
  <si>
    <t>Ground50_4</t>
  </si>
  <si>
    <t>Ground50_5</t>
  </si>
  <si>
    <t>Ground50_6</t>
  </si>
  <si>
    <t>GroundTimeDelay</t>
  </si>
  <si>
    <t>GroundTimeDelayUnit</t>
  </si>
  <si>
    <t>GroundTOC1</t>
  </si>
  <si>
    <t>GroundTOC2</t>
  </si>
  <si>
    <t>GroundTOC3</t>
  </si>
  <si>
    <t>GroundTOC4</t>
  </si>
  <si>
    <t>GroundTOC5</t>
  </si>
  <si>
    <t>GroundTOC6</t>
  </si>
  <si>
    <t>GroundTrip</t>
  </si>
  <si>
    <t>GroundTripRange</t>
  </si>
  <si>
    <t>HotStart</t>
  </si>
  <si>
    <t>Instantaneous</t>
  </si>
  <si>
    <t>InstantaneousTimeDelay</t>
  </si>
  <si>
    <t>InstantaneousTimeDelayUnit</t>
  </si>
  <si>
    <t>InstantaneousTrip</t>
  </si>
  <si>
    <t>InstantaneousTripRange</t>
  </si>
  <si>
    <t>IntegrateCurve</t>
  </si>
  <si>
    <t>Integrated</t>
  </si>
  <si>
    <t>Jam</t>
  </si>
  <si>
    <t>JamTimeDelay</t>
  </si>
  <si>
    <t>JamTimeDelayUnit</t>
  </si>
  <si>
    <t>JamTrip</t>
  </si>
  <si>
    <t>JamTripRange</t>
  </si>
  <si>
    <t>Level1</t>
  </si>
  <si>
    <t>Level2</t>
  </si>
  <si>
    <t>Level3</t>
  </si>
  <si>
    <t>Level4</t>
  </si>
  <si>
    <t>Level5</t>
  </si>
  <si>
    <t>LinkTOCIOC1</t>
  </si>
  <si>
    <t>LinkTOCIOC2</t>
  </si>
  <si>
    <t>LinkTOCIOC3</t>
  </si>
  <si>
    <t>LinkTOCIOC4</t>
  </si>
  <si>
    <t>LinkTOCIOC5</t>
  </si>
  <si>
    <t>LinkTOCIOC6</t>
  </si>
  <si>
    <t>LoadGID</t>
  </si>
  <si>
    <t>LoadIID</t>
  </si>
  <si>
    <t>Manufacturer</t>
  </si>
  <si>
    <t>Model</t>
  </si>
  <si>
    <t>Neg50Curve1</t>
  </si>
  <si>
    <t>Neg50Curve2</t>
  </si>
  <si>
    <t>Neg50Curve3</t>
  </si>
  <si>
    <t>Neg50Curve4</t>
  </si>
  <si>
    <t>Neg50Curve5</t>
  </si>
  <si>
    <t>Neg50Curve6</t>
  </si>
  <si>
    <t>Neg50Instant1</t>
  </si>
  <si>
    <t>Neg50Instant2</t>
  </si>
  <si>
    <t>Neg50Instant3</t>
  </si>
  <si>
    <t>Neg50Instant4</t>
  </si>
  <si>
    <t>Neg50Instant5</t>
  </si>
  <si>
    <t>Neg50Instant6</t>
  </si>
  <si>
    <t>Neg50Pkup1</t>
  </si>
  <si>
    <t>Neg50Pkup2</t>
  </si>
  <si>
    <t>Neg50Pkup3</t>
  </si>
  <si>
    <t>Neg50Pkup4</t>
  </si>
  <si>
    <t>Neg50Pkup5</t>
  </si>
  <si>
    <t>Neg50Pkup6</t>
  </si>
  <si>
    <t>Neg50PkupRange1</t>
  </si>
  <si>
    <t>Neg50PkupRange2</t>
  </si>
  <si>
    <t>Neg50PkupRange3</t>
  </si>
  <si>
    <t>Neg50PkupRange4</t>
  </si>
  <si>
    <t>Neg50PkupRange5</t>
  </si>
  <si>
    <t>Neg50PkupRange6</t>
  </si>
  <si>
    <t>Neg50TmDial1</t>
  </si>
  <si>
    <t>Neg50TmDial2</t>
  </si>
  <si>
    <t>Neg50TmDial3</t>
  </si>
  <si>
    <t>Neg50TmDial4</t>
  </si>
  <si>
    <t>Neg50TmDial5</t>
  </si>
  <si>
    <t>Neg50TmDial6</t>
  </si>
  <si>
    <t>Neg50TmDialRange1</t>
  </si>
  <si>
    <t>Neg50TmDialRange2</t>
  </si>
  <si>
    <t>Neg50TmDialRange3</t>
  </si>
  <si>
    <t>Neg50TmDialRange4</t>
  </si>
  <si>
    <t>Neg50TmDialRange5</t>
  </si>
  <si>
    <t>Neg50TmDialRange6</t>
  </si>
  <si>
    <t>Neg50TmDialUnit1</t>
  </si>
  <si>
    <t>Neg50TmDialUnit2</t>
  </si>
  <si>
    <t>Neg50TmDialUnit3</t>
  </si>
  <si>
    <t>Neg50TmDialUnit4</t>
  </si>
  <si>
    <t>Neg50TmDialUnit5</t>
  </si>
  <si>
    <t>Neg50TmDialUnit6</t>
  </si>
  <si>
    <t>Neg51Curve1</t>
  </si>
  <si>
    <t>Neg51Curve2</t>
  </si>
  <si>
    <t>Neg51Curve3</t>
  </si>
  <si>
    <t>Neg51Curve4</t>
  </si>
  <si>
    <t>Neg51Curve5</t>
  </si>
  <si>
    <t>Neg51Curve6</t>
  </si>
  <si>
    <t>Neg51Pkup1</t>
  </si>
  <si>
    <t>Neg51Pkup2</t>
  </si>
  <si>
    <t>Neg51Pkup3</t>
  </si>
  <si>
    <t>Neg51Pkup4</t>
  </si>
  <si>
    <t>Neg51Pkup5</t>
  </si>
  <si>
    <t>Neg51Pkup6</t>
  </si>
  <si>
    <t>Neg51PkupRange1</t>
  </si>
  <si>
    <t>Neg51PkupRange2</t>
  </si>
  <si>
    <t>Neg51PkupRange3</t>
  </si>
  <si>
    <t>Neg51PkupRange4</t>
  </si>
  <si>
    <t>Neg51PkupRange5</t>
  </si>
  <si>
    <t>Neg51PkupRange6</t>
  </si>
  <si>
    <t>Neg51TmDial1</t>
  </si>
  <si>
    <t>Neg51TmDial2</t>
  </si>
  <si>
    <t>Neg51TmDial3</t>
  </si>
  <si>
    <t>Neg51TmDial4</t>
  </si>
  <si>
    <t>Neg51TmDial5</t>
  </si>
  <si>
    <t>Neg51TmDial6</t>
  </si>
  <si>
    <t>Neg67Direction1</t>
  </si>
  <si>
    <t>Neg67Direction2</t>
  </si>
  <si>
    <t>Neg67Direction3</t>
  </si>
  <si>
    <t>Neg67Direction4</t>
  </si>
  <si>
    <t>Neg67Direction5</t>
  </si>
  <si>
    <t>Neg67Direction6</t>
  </si>
  <si>
    <t>Neg67Directional1</t>
  </si>
  <si>
    <t>Neg67Directional2</t>
  </si>
  <si>
    <t>Neg67Directional3</t>
  </si>
  <si>
    <t>Neg67Directional4</t>
  </si>
  <si>
    <t>Neg67Directional5</t>
  </si>
  <si>
    <t>Neg67Directional6</t>
  </si>
  <si>
    <t>Neg67MaxTqAngle1</t>
  </si>
  <si>
    <t>Neg67MaxTqAngle2</t>
  </si>
  <si>
    <t>Neg67MaxTqAngle3</t>
  </si>
  <si>
    <t>Neg67MaxTqAngle4</t>
  </si>
  <si>
    <t>Neg67MaxTqAngle5</t>
  </si>
  <si>
    <t>Neg67MaxTqAngle6</t>
  </si>
  <si>
    <t>Neg67Polar1</t>
  </si>
  <si>
    <t>Neg67Polar2</t>
  </si>
  <si>
    <t>Neg67Polar3</t>
  </si>
  <si>
    <t>Neg67Polar4</t>
  </si>
  <si>
    <t>Neg67Polar5</t>
  </si>
  <si>
    <t>Neg67Polar6</t>
  </si>
  <si>
    <t>NegBrdnUnit1</t>
  </si>
  <si>
    <t>NegBrdnUnit2</t>
  </si>
  <si>
    <t>NegBrdnUnit3</t>
  </si>
  <si>
    <t>NegBrdnUnit4</t>
  </si>
  <si>
    <t>NegBrdnUnit5</t>
  </si>
  <si>
    <t>NegBrdnUnit6</t>
  </si>
  <si>
    <t>NegBurden1</t>
  </si>
  <si>
    <t>NegBurden2</t>
  </si>
  <si>
    <t>NegBurden3</t>
  </si>
  <si>
    <t>NegBurden4</t>
  </si>
  <si>
    <t>NegBurden5</t>
  </si>
  <si>
    <t>NegBurden6</t>
  </si>
  <si>
    <t>Negseq50_1</t>
  </si>
  <si>
    <t>Negseq50_2</t>
  </si>
  <si>
    <t>Negseq50_3</t>
  </si>
  <si>
    <t>Negseq50_4</t>
  </si>
  <si>
    <t>Negseq50_5</t>
  </si>
  <si>
    <t>Negseq50_6</t>
  </si>
  <si>
    <t>NegseqTOC1</t>
  </si>
  <si>
    <t>NegseqTOC2</t>
  </si>
  <si>
    <t>NegseqTOC3</t>
  </si>
  <si>
    <t>NegseqTOC4</t>
  </si>
  <si>
    <t>NegseqTOC5</t>
  </si>
  <si>
    <t>NegseqTOC6</t>
  </si>
  <si>
    <t>Neu50Curve1</t>
  </si>
  <si>
    <t>Neu50Curve2</t>
  </si>
  <si>
    <t>Neu50Curve3</t>
  </si>
  <si>
    <t>Neu50Curve4</t>
  </si>
  <si>
    <t>Neu50Curve5</t>
  </si>
  <si>
    <t>Neu50Curve6</t>
  </si>
  <si>
    <t>Neu50Instant1</t>
  </si>
  <si>
    <t>Neu50Instant2</t>
  </si>
  <si>
    <t>Neu50Instant3</t>
  </si>
  <si>
    <t>Neu50Instant4</t>
  </si>
  <si>
    <t>Neu50Instant5</t>
  </si>
  <si>
    <t>Neu50Instant6</t>
  </si>
  <si>
    <t>Neu50Pkup1</t>
  </si>
  <si>
    <t>Neu50Pkup2</t>
  </si>
  <si>
    <t>Neu50Pkup3</t>
  </si>
  <si>
    <t>Neu50Pkup4</t>
  </si>
  <si>
    <t>Neu50Pkup5</t>
  </si>
  <si>
    <t>Neu50Pkup6</t>
  </si>
  <si>
    <t>Neu50PkupRange1</t>
  </si>
  <si>
    <t>Neu50PkupRange2</t>
  </si>
  <si>
    <t>Neu50PkupRange3</t>
  </si>
  <si>
    <t>Neu50PkupRange4</t>
  </si>
  <si>
    <t>Neu50PkupRange5</t>
  </si>
  <si>
    <t>Neu50PkupRange6</t>
  </si>
  <si>
    <t>Neu50TmDial1</t>
  </si>
  <si>
    <t>Neu50TmDial2</t>
  </si>
  <si>
    <t>Neu50TmDial3</t>
  </si>
  <si>
    <t>Neu50TmDial4</t>
  </si>
  <si>
    <t>Neu50TmDial5</t>
  </si>
  <si>
    <t>Neu50TmDial6</t>
  </si>
  <si>
    <t>Neu50TmDialRange1</t>
  </si>
  <si>
    <t>Neu50TmDialRange2</t>
  </si>
  <si>
    <t>Neu50TmDialRange3</t>
  </si>
  <si>
    <t>Neu50TmDialRange4</t>
  </si>
  <si>
    <t>Neu50TmDialRange5</t>
  </si>
  <si>
    <t>Neu50TmDialRange6</t>
  </si>
  <si>
    <t>Neu50TmDialUnit1</t>
  </si>
  <si>
    <t>Neu50TmDialUnit2</t>
  </si>
  <si>
    <t>Neu50TmDialUnit3</t>
  </si>
  <si>
    <t>Neu50TmDialUnit4</t>
  </si>
  <si>
    <t>Neu50TmDialUnit5</t>
  </si>
  <si>
    <t>Neu50TmDialUnit6</t>
  </si>
  <si>
    <t>Neu51Curve1</t>
  </si>
  <si>
    <t>Neu51Curve2</t>
  </si>
  <si>
    <t>Neu51Curve3</t>
  </si>
  <si>
    <t>Neu51Curve4</t>
  </si>
  <si>
    <t>Neu51Curve5</t>
  </si>
  <si>
    <t>Neu51Curve6</t>
  </si>
  <si>
    <t>Neu51Pkup1</t>
  </si>
  <si>
    <t>Neu51Pkup2</t>
  </si>
  <si>
    <t>Neu51Pkup3</t>
  </si>
  <si>
    <t>Neu51Pkup4</t>
  </si>
  <si>
    <t>Neu51Pkup5</t>
  </si>
  <si>
    <t>Neu51Pkup6</t>
  </si>
  <si>
    <t>Neu51PkupRange1</t>
  </si>
  <si>
    <t>Neu51PkupRange2</t>
  </si>
  <si>
    <t>Neu51PkupRange3</t>
  </si>
  <si>
    <t>Neu51PkupRange4</t>
  </si>
  <si>
    <t>Neu51PkupRange5</t>
  </si>
  <si>
    <t>Neu51PkupRange6</t>
  </si>
  <si>
    <t>Neu51TmDial1</t>
  </si>
  <si>
    <t>Neu51TmDial2</t>
  </si>
  <si>
    <t>Neu51TmDial3</t>
  </si>
  <si>
    <t>Neu51TmDial4</t>
  </si>
  <si>
    <t>Neu51TmDial5</t>
  </si>
  <si>
    <t>Neu51TmDial6</t>
  </si>
  <si>
    <t>Neu67Direction1</t>
  </si>
  <si>
    <t>Neu67Direction2</t>
  </si>
  <si>
    <t>Neu67Direction3</t>
  </si>
  <si>
    <t>Neu67Direction4</t>
  </si>
  <si>
    <t>Neu67Direction5</t>
  </si>
  <si>
    <t>Neu67Direction6</t>
  </si>
  <si>
    <t>Neu67Directional1</t>
  </si>
  <si>
    <t>Neu67Directional2</t>
  </si>
  <si>
    <t>Neu67Directional3</t>
  </si>
  <si>
    <t>Neu67Directional4</t>
  </si>
  <si>
    <t>Neu67Directional5</t>
  </si>
  <si>
    <t>Neu67Directional6</t>
  </si>
  <si>
    <t>Neu67MaxTqAngle1</t>
  </si>
  <si>
    <t>Neu67MaxTqAngle2</t>
  </si>
  <si>
    <t>Neu67MaxTqAngle3</t>
  </si>
  <si>
    <t>Neu67MaxTqAngle4</t>
  </si>
  <si>
    <t>Neu67MaxTqAngle5</t>
  </si>
  <si>
    <t>Neu67MaxTqAngle6</t>
  </si>
  <si>
    <t>Neu67Polar1</t>
  </si>
  <si>
    <t>Neu67Polar2</t>
  </si>
  <si>
    <t>Neu67Polar3</t>
  </si>
  <si>
    <t>Neu67Polar4</t>
  </si>
  <si>
    <t>Neu67Polar5</t>
  </si>
  <si>
    <t>Neu67Polar6</t>
  </si>
  <si>
    <t>NeuBrdnUnit1</t>
  </si>
  <si>
    <t>NeuBrdnUnit2</t>
  </si>
  <si>
    <t>NeuBrdnUnit3</t>
  </si>
  <si>
    <t>NeuBrdnUnit4</t>
  </si>
  <si>
    <t>NeuBrdnUnit5</t>
  </si>
  <si>
    <t>NeuBrdnUnit6</t>
  </si>
  <si>
    <t>NeuBurden1</t>
  </si>
  <si>
    <t>NeuBurden2</t>
  </si>
  <si>
    <t>NeuBurden3</t>
  </si>
  <si>
    <t>NeuBurden4</t>
  </si>
  <si>
    <t>NeuBurden5</t>
  </si>
  <si>
    <t>NeuBurden6</t>
  </si>
  <si>
    <t>Neutral50_1</t>
  </si>
  <si>
    <t>Neutral50_2</t>
  </si>
  <si>
    <t>Neutral50_3</t>
  </si>
  <si>
    <t>Neutral50_4</t>
  </si>
  <si>
    <t>Neutral50_5</t>
  </si>
  <si>
    <t>Neutral50_6</t>
  </si>
  <si>
    <t>NeutralTOC1</t>
  </si>
  <si>
    <t>NeutralTOC2</t>
  </si>
  <si>
    <t>NeutralTOC3</t>
  </si>
  <si>
    <t>NeutralTOC4</t>
  </si>
  <si>
    <t>NeutralTOC5</t>
  </si>
  <si>
    <t>NeutralTOC6</t>
  </si>
  <si>
    <t>OCLevel1</t>
  </si>
  <si>
    <t>OCLevel2</t>
  </si>
  <si>
    <t>OCLevel3</t>
  </si>
  <si>
    <t>OCLevel4</t>
  </si>
  <si>
    <t>OCLevel5</t>
  </si>
  <si>
    <t>OCLevel6</t>
  </si>
  <si>
    <t>OLR_K_Dial</t>
  </si>
  <si>
    <t>OLR_Manufacturer</t>
  </si>
  <si>
    <t>OLR_Model</t>
  </si>
  <si>
    <t>OLRTimeDial</t>
  </si>
  <si>
    <t>Ph50Curve1</t>
  </si>
  <si>
    <t>Ph50Curve2</t>
  </si>
  <si>
    <t>Ph50Curve3</t>
  </si>
  <si>
    <t>Ph50Curve4</t>
  </si>
  <si>
    <t>Ph50Curve5</t>
  </si>
  <si>
    <t>Ph50Curve6</t>
  </si>
  <si>
    <t>Ph50Instant1</t>
  </si>
  <si>
    <t>Ph50Instant2</t>
  </si>
  <si>
    <t>Ph50Instant3</t>
  </si>
  <si>
    <t>Ph50Instant4</t>
  </si>
  <si>
    <t>Ph50Instant5</t>
  </si>
  <si>
    <t>Ph50Instant6</t>
  </si>
  <si>
    <t>Ph50Pkup1</t>
  </si>
  <si>
    <t>Ph50Pkup2</t>
  </si>
  <si>
    <t>Ph50Pkup3</t>
  </si>
  <si>
    <t>Ph50Pkup4</t>
  </si>
  <si>
    <t>Ph50Pkup5</t>
  </si>
  <si>
    <t>Ph50Pkup6</t>
  </si>
  <si>
    <t>Ph50PkupRange1</t>
  </si>
  <si>
    <t>Ph50PkupRange2</t>
  </si>
  <si>
    <t>Ph50PkupRange3</t>
  </si>
  <si>
    <t>Ph50PkupRange4</t>
  </si>
  <si>
    <t>Ph50PkupRange5</t>
  </si>
  <si>
    <t>Ph50PkupRange6</t>
  </si>
  <si>
    <t>Ph50TmDial1</t>
  </si>
  <si>
    <t>Ph50TmDial2</t>
  </si>
  <si>
    <t>Ph50TmDial3</t>
  </si>
  <si>
    <t>Ph50TmDial4</t>
  </si>
  <si>
    <t>Ph50TmDial5</t>
  </si>
  <si>
    <t>Ph50TmDial6</t>
  </si>
  <si>
    <t>Ph50TmDialRange1</t>
  </si>
  <si>
    <t>Ph50TmDialRange2</t>
  </si>
  <si>
    <t>Ph50TmDialRange3</t>
  </si>
  <si>
    <t>Ph50TmDialRange4</t>
  </si>
  <si>
    <t>Ph50TmDialRange5</t>
  </si>
  <si>
    <t>Ph50TmDialRange6</t>
  </si>
  <si>
    <t>Ph50TmDialUnit1</t>
  </si>
  <si>
    <t>Ph50TmDialUnit2</t>
  </si>
  <si>
    <t>Ph50TmDialUnit3</t>
  </si>
  <si>
    <t>Ph50TmDialUnit4</t>
  </si>
  <si>
    <t>Ph50TmDialUnit5</t>
  </si>
  <si>
    <t>Ph50TmDialUnit6</t>
  </si>
  <si>
    <t>Ph51Curve1</t>
  </si>
  <si>
    <t>Ph51Curve2</t>
  </si>
  <si>
    <t>Ph51Curve3</t>
  </si>
  <si>
    <t>Ph51Curve4</t>
  </si>
  <si>
    <t>Ph51Curve5</t>
  </si>
  <si>
    <t>Ph51Curve6</t>
  </si>
  <si>
    <t>Ph51Pkup1</t>
  </si>
  <si>
    <t>Ph51Pkup2</t>
  </si>
  <si>
    <t>Ph51Pkup3</t>
  </si>
  <si>
    <t>Ph51Pkup4</t>
  </si>
  <si>
    <t>Ph51Pkup5</t>
  </si>
  <si>
    <t>Ph51Pkup6</t>
  </si>
  <si>
    <t>Ph51PkupRange1</t>
  </si>
  <si>
    <t>Ph51PkupRange2</t>
  </si>
  <si>
    <t>Ph51PkupRange3</t>
  </si>
  <si>
    <t>Ph51PkupRange4</t>
  </si>
  <si>
    <t>Ph51PkupRange5</t>
  </si>
  <si>
    <t>Ph51PkupRange6</t>
  </si>
  <si>
    <t>Ph51TmDial1</t>
  </si>
  <si>
    <t>Ph51TmDial2</t>
  </si>
  <si>
    <t>Ph51TmDial3</t>
  </si>
  <si>
    <t>Ph51TmDial4</t>
  </si>
  <si>
    <t>Ph51TmDial5</t>
  </si>
  <si>
    <t>Ph51TmDial6</t>
  </si>
  <si>
    <t>Ph51VC1</t>
  </si>
  <si>
    <t>Ph51VC2</t>
  </si>
  <si>
    <t>Ph51VC3</t>
  </si>
  <si>
    <t>Ph51VC4</t>
  </si>
  <si>
    <t>Ph51VC5</t>
  </si>
  <si>
    <t>Ph51VC6</t>
  </si>
  <si>
    <t>Ph51VCPkup1</t>
  </si>
  <si>
    <t>Ph51VCPkup2</t>
  </si>
  <si>
    <t>Ph51VCPkup3</t>
  </si>
  <si>
    <t>Ph51VCPkup4</t>
  </si>
  <si>
    <t>Ph51VCPkup5</t>
  </si>
  <si>
    <t>Ph51VCPkup6</t>
  </si>
  <si>
    <t>Ph51Volt1</t>
  </si>
  <si>
    <t>Ph51Volt2</t>
  </si>
  <si>
    <t>Ph51Volt3</t>
  </si>
  <si>
    <t>Ph51Volt4</t>
  </si>
  <si>
    <t>Ph51Volt5</t>
  </si>
  <si>
    <t>Ph51Volt6</t>
  </si>
  <si>
    <t>Ph51VR1</t>
  </si>
  <si>
    <t>Ph51VR2</t>
  </si>
  <si>
    <t>Ph51VR3</t>
  </si>
  <si>
    <t>Ph51VR4</t>
  </si>
  <si>
    <t>Ph51VR5</t>
  </si>
  <si>
    <t>Ph51VR6</t>
  </si>
  <si>
    <t>Ph51VRPkup1</t>
  </si>
  <si>
    <t>Ph51VRPkup2</t>
  </si>
  <si>
    <t>Ph51VRPkup3</t>
  </si>
  <si>
    <t>Ph51VRPkup4</t>
  </si>
  <si>
    <t>Ph51VRPkup5</t>
  </si>
  <si>
    <t>Ph51VRPkup6</t>
  </si>
  <si>
    <t>Ph51VSetting1</t>
  </si>
  <si>
    <t>Ph51VSetting2</t>
  </si>
  <si>
    <t>Ph51VSetting3</t>
  </si>
  <si>
    <t>Ph51VSetting4</t>
  </si>
  <si>
    <t>Ph51VSetting5</t>
  </si>
  <si>
    <t>Ph51VSetting6</t>
  </si>
  <si>
    <t>Ph67Direction1</t>
  </si>
  <si>
    <t>Ph67Direction2</t>
  </si>
  <si>
    <t>Ph67Direction3</t>
  </si>
  <si>
    <t>Ph67Direction4</t>
  </si>
  <si>
    <t>Ph67Direction5</t>
  </si>
  <si>
    <t>Ph67Direction6</t>
  </si>
  <si>
    <t>Ph67Directional1</t>
  </si>
  <si>
    <t>Ph67Directional2</t>
  </si>
  <si>
    <t>Ph67Directional3</t>
  </si>
  <si>
    <t>Ph67Directional4</t>
  </si>
  <si>
    <t>Ph67Directional5</t>
  </si>
  <si>
    <t>Ph67Directional6</t>
  </si>
  <si>
    <t>Ph67MaxTqAngle1</t>
  </si>
  <si>
    <t>Ph67MaxTqAngle2</t>
  </si>
  <si>
    <t>Ph67MaxTqAngle3</t>
  </si>
  <si>
    <t>Ph67MaxTqAngle4</t>
  </si>
  <si>
    <t>Ph67MaxTqAngle5</t>
  </si>
  <si>
    <t>Ph67MaxTqAngle6</t>
  </si>
  <si>
    <t>Ph67Polar1</t>
  </si>
  <si>
    <t>Ph67Polar2</t>
  </si>
  <si>
    <t>Ph67Polar3</t>
  </si>
  <si>
    <t>Ph67Polar4</t>
  </si>
  <si>
    <t>Ph67Polar5</t>
  </si>
  <si>
    <t>Ph67Polar6</t>
  </si>
  <si>
    <t>Phase50_1</t>
  </si>
  <si>
    <t>Phase50_2</t>
  </si>
  <si>
    <t>Phase50_3</t>
  </si>
  <si>
    <t>Phase50_4</t>
  </si>
  <si>
    <t>Phase50_5</t>
  </si>
  <si>
    <t>Phase50_6</t>
  </si>
  <si>
    <t>PhaseTOC1</t>
  </si>
  <si>
    <t>PhaseTOC2</t>
  </si>
  <si>
    <t>PhaseTOC3</t>
  </si>
  <si>
    <t>PhaseTOC4</t>
  </si>
  <si>
    <t>PhaseTOC5</t>
  </si>
  <si>
    <t>PhaseTOC6</t>
  </si>
  <si>
    <t>PhBrdnUnit1</t>
  </si>
  <si>
    <t>PhBrdnUnit2</t>
  </si>
  <si>
    <t>PhBrdnUnit3</t>
  </si>
  <si>
    <t>PhBrdnUnit4</t>
  </si>
  <si>
    <t>PhBrdnUnit5</t>
  </si>
  <si>
    <t>PhBrdnUnit6</t>
  </si>
  <si>
    <t>PhBurden1</t>
  </si>
  <si>
    <t>PhBurden2</t>
  </si>
  <si>
    <t>PhBurden3</t>
  </si>
  <si>
    <t>PhBurden4</t>
  </si>
  <si>
    <t>PhBurden5</t>
  </si>
  <si>
    <t>PhBurden6</t>
  </si>
  <si>
    <t>PinSCkA</t>
  </si>
  <si>
    <t>PLCAmp</t>
  </si>
  <si>
    <t>PLCPercent</t>
  </si>
  <si>
    <t>PreLoadCurrent</t>
  </si>
  <si>
    <t>PTInputGID</t>
  </si>
  <si>
    <t>PTInputIID</t>
  </si>
  <si>
    <t>PTInputPrim</t>
  </si>
  <si>
    <t>PTInputSec</t>
  </si>
  <si>
    <t>PTPhaseGID</t>
  </si>
  <si>
    <t>PTPhaseIID</t>
  </si>
  <si>
    <t>PTPhasePrim</t>
  </si>
  <si>
    <t>PTPhaseSec</t>
  </si>
  <si>
    <t>PTSyncGID</t>
  </si>
  <si>
    <t>PTSyncIID</t>
  </si>
  <si>
    <t>PTSyncPrim</t>
  </si>
  <si>
    <t>PTSyncSec</t>
  </si>
  <si>
    <t>RelayType</t>
  </si>
  <si>
    <t>Residual</t>
  </si>
  <si>
    <t>SenG50Curve1</t>
  </si>
  <si>
    <t>SenG50Curve2</t>
  </si>
  <si>
    <t>SenG50Curve3</t>
  </si>
  <si>
    <t>SenG50Curve4</t>
  </si>
  <si>
    <t>SenG50Curve5</t>
  </si>
  <si>
    <t>SenG50Curve6</t>
  </si>
  <si>
    <t>SenG50Instant1</t>
  </si>
  <si>
    <t>SenG50Instant2</t>
  </si>
  <si>
    <t>SenG50Instant3</t>
  </si>
  <si>
    <t>SenG50Instant4</t>
  </si>
  <si>
    <t>SenG50Instant5</t>
  </si>
  <si>
    <t>SenG50Instant6</t>
  </si>
  <si>
    <t>SenG50Pkup1</t>
  </si>
  <si>
    <t>SenG50Pkup2</t>
  </si>
  <si>
    <t>SenG50Pkup3</t>
  </si>
  <si>
    <t>SenG50Pkup4</t>
  </si>
  <si>
    <t>SenG50Pkup5</t>
  </si>
  <si>
    <t>SenG50Pkup6</t>
  </si>
  <si>
    <t>SenG50PkupRange1</t>
  </si>
  <si>
    <t>SenG50PkupRange2</t>
  </si>
  <si>
    <t>SenG50PkupRange3</t>
  </si>
  <si>
    <t>SenG50PkupRange4</t>
  </si>
  <si>
    <t>SenG50PkupRange5</t>
  </si>
  <si>
    <t>SenG50PkupRange6</t>
  </si>
  <si>
    <t>SenG50TmDial1</t>
  </si>
  <si>
    <t>SenG50TmDial2</t>
  </si>
  <si>
    <t>SenG50TmDial3</t>
  </si>
  <si>
    <t>SenG50TmDial4</t>
  </si>
  <si>
    <t>SenG50TmDial5</t>
  </si>
  <si>
    <t>SenG50TmDial6</t>
  </si>
  <si>
    <t>SenG50TmDialRange1</t>
  </si>
  <si>
    <t>SenG50TmDialRange2</t>
  </si>
  <si>
    <t>SenG50TmDialRange3</t>
  </si>
  <si>
    <t>SenG50TmDialRange4</t>
  </si>
  <si>
    <t>SenG50TmDialRange5</t>
  </si>
  <si>
    <t>SenG50TmDialRange6</t>
  </si>
  <si>
    <t>SenG50TmDialUnit1</t>
  </si>
  <si>
    <t>SenG50TmDialUnit2</t>
  </si>
  <si>
    <t>SenG50TmDialUnit3</t>
  </si>
  <si>
    <t>SenG50TmDialUnit4</t>
  </si>
  <si>
    <t>SenG50TmDialUnit5</t>
  </si>
  <si>
    <t>SenG50TmDialUnit6</t>
  </si>
  <si>
    <t>SenG51Curve1</t>
  </si>
  <si>
    <t>SenG51Curve2</t>
  </si>
  <si>
    <t>SenG51Curve3</t>
  </si>
  <si>
    <t>SenG51Curve4</t>
  </si>
  <si>
    <t>SenG51Curve5</t>
  </si>
  <si>
    <t>SenG51Curve6</t>
  </si>
  <si>
    <t>SenG51Pkup1</t>
  </si>
  <si>
    <t>SenG51Pkup2</t>
  </si>
  <si>
    <t>SenG51Pkup3</t>
  </si>
  <si>
    <t>SenG51Pkup4</t>
  </si>
  <si>
    <t>SenG51Pkup5</t>
  </si>
  <si>
    <t>SenG51Pkup6</t>
  </si>
  <si>
    <t>SenG51PkupRange1</t>
  </si>
  <si>
    <t>SenG51PkupRange2</t>
  </si>
  <si>
    <t>SenG51PkupRange3</t>
  </si>
  <si>
    <t>SenG51PkupRange4</t>
  </si>
  <si>
    <t>SenG51PkupRange5</t>
  </si>
  <si>
    <t>SenG51PkupRange6</t>
  </si>
  <si>
    <t>SenG51TmDial1</t>
  </si>
  <si>
    <t>SenG51TmDial2</t>
  </si>
  <si>
    <t>SenG51TmDial3</t>
  </si>
  <si>
    <t>SenG51TmDial4</t>
  </si>
  <si>
    <t>SenG51TmDial5</t>
  </si>
  <si>
    <t>SenG51TmDial6</t>
  </si>
  <si>
    <t>SenG67Direction1</t>
  </si>
  <si>
    <t>SenG67Direction2</t>
  </si>
  <si>
    <t>SenG67Direction3</t>
  </si>
  <si>
    <t>SenG67Direction4</t>
  </si>
  <si>
    <t>SenG67Direction5</t>
  </si>
  <si>
    <t>SenG67Direction6</t>
  </si>
  <si>
    <t>SenG67Directional1</t>
  </si>
  <si>
    <t>SenG67Directional2</t>
  </si>
  <si>
    <t>SenG67Directional3</t>
  </si>
  <si>
    <t>SenG67Directional4</t>
  </si>
  <si>
    <t>SenG67Directional5</t>
  </si>
  <si>
    <t>SenG67Directional6</t>
  </si>
  <si>
    <t>SenG67MaxTqAngle1</t>
  </si>
  <si>
    <t>SenG67MaxTqAngle2</t>
  </si>
  <si>
    <t>SenG67MaxTqAngle3</t>
  </si>
  <si>
    <t>SenG67MaxTqAngle4</t>
  </si>
  <si>
    <t>SenG67MaxTqAngle5</t>
  </si>
  <si>
    <t>SenG67MaxTqAngle6</t>
  </si>
  <si>
    <t>SenG67Polar1</t>
  </si>
  <si>
    <t>SenG67Polar2</t>
  </si>
  <si>
    <t>SenG67Polar3</t>
  </si>
  <si>
    <t>SenG67Polar4</t>
  </si>
  <si>
    <t>SenG67Polar5</t>
  </si>
  <si>
    <t>SenG67Polar6</t>
  </si>
  <si>
    <t>SenGBrdnUnit1</t>
  </si>
  <si>
    <t>SenGBrdnUnit2</t>
  </si>
  <si>
    <t>SenGBrdnUnit3</t>
  </si>
  <si>
    <t>SenGBrdnUnit4</t>
  </si>
  <si>
    <t>SenGBrdnUnit5</t>
  </si>
  <si>
    <t>SenGBrdnUnit6</t>
  </si>
  <si>
    <t>SenGBurden1</t>
  </si>
  <si>
    <t>SenGBurden2</t>
  </si>
  <si>
    <t>SenGBurden3</t>
  </si>
  <si>
    <t>SenGBurden4</t>
  </si>
  <si>
    <t>SenGBurden5</t>
  </si>
  <si>
    <t>SenGBurden6</t>
  </si>
  <si>
    <t>Senground50_1</t>
  </si>
  <si>
    <t>Senground50_2</t>
  </si>
  <si>
    <t>Senground50_3</t>
  </si>
  <si>
    <t>Senground50_4</t>
  </si>
  <si>
    <t>Senground50_5</t>
  </si>
  <si>
    <t>Senground50_6</t>
  </si>
  <si>
    <t>SengroundTOC1</t>
  </si>
  <si>
    <t>SengroundTOC2</t>
  </si>
  <si>
    <t>SengroundTOC3</t>
  </si>
  <si>
    <t>SengroundTOC4</t>
  </si>
  <si>
    <t>SengroundTOC5</t>
  </si>
  <si>
    <t>SengroundTOC6</t>
  </si>
  <si>
    <t>SymRMS</t>
  </si>
  <si>
    <t>SystemCalculated</t>
  </si>
  <si>
    <t>Thermal</t>
  </si>
  <si>
    <t>ThermalTrip</t>
  </si>
  <si>
    <t>ThermalTripRange</t>
  </si>
  <si>
    <t>ThermalType</t>
  </si>
  <si>
    <t>TotalAsym3PhasekAPh</t>
  </si>
  <si>
    <t>TotalAsymLGkAGrd</t>
  </si>
  <si>
    <t>TotalAsymLGkAPh</t>
  </si>
  <si>
    <t>TotalAsymLGkASenG</t>
  </si>
  <si>
    <t>TotalSym3PhasekAPh</t>
  </si>
  <si>
    <t>TotalSym3PhasekAPhMin</t>
  </si>
  <si>
    <t>TotalSymLGkAGrd</t>
  </si>
  <si>
    <t>TotalSymLGkAGrdMin</t>
  </si>
  <si>
    <t>TotalSymLGkAPh</t>
  </si>
  <si>
    <t>TotalSymLGkAPhMin</t>
  </si>
  <si>
    <t>TotalSymLGkASenG</t>
  </si>
  <si>
    <t>TotalSymLGkASenGMin</t>
  </si>
  <si>
    <t>UDBasekVGrd</t>
  </si>
  <si>
    <t>UDBasekVPh</t>
  </si>
  <si>
    <t>UDBasekVSenG</t>
  </si>
  <si>
    <t>UDGroundkAGrd</t>
  </si>
  <si>
    <t>UDGroundkAGrdMin</t>
  </si>
  <si>
    <t>UDGroundkAPh</t>
  </si>
  <si>
    <t>UDGroundkAPhMin</t>
  </si>
  <si>
    <t>UDGroundkASenG</t>
  </si>
  <si>
    <t>UDGroundkASenGMin</t>
  </si>
  <si>
    <t>UDPhasekAPh</t>
  </si>
  <si>
    <t>UDPhasekAPhMin</t>
  </si>
  <si>
    <t>UserDefinedLRC</t>
  </si>
  <si>
    <t>UserDefinedValue</t>
  </si>
  <si>
    <t>ansiBIL</t>
  </si>
  <si>
    <t>ansiCurrent</t>
  </si>
  <si>
    <t>ansiInstDelay</t>
  </si>
  <si>
    <t>ansiInterrupting</t>
  </si>
  <si>
    <t>ansiInterruptTime</t>
  </si>
  <si>
    <t>ansiLibModified</t>
  </si>
  <si>
    <t>ansiOpenTime</t>
  </si>
  <si>
    <t>ansiShortTimekA</t>
  </si>
  <si>
    <t>ansiTkr</t>
  </si>
  <si>
    <t>ansiVoltage</t>
  </si>
  <si>
    <t>ApplyCurveType</t>
  </si>
  <si>
    <t>CheckerController</t>
  </si>
  <si>
    <t>CheckerController2</t>
  </si>
  <si>
    <t>CheckerControllerGround1</t>
  </si>
  <si>
    <t>CheckerControllerGround2</t>
  </si>
  <si>
    <t>CheckerControllerGround3</t>
  </si>
  <si>
    <t>CheckerControllerGround4</t>
  </si>
  <si>
    <t>CheckerControllerGround5</t>
  </si>
  <si>
    <t>CheckerControllerGround6</t>
  </si>
  <si>
    <t>CheckerControllerPhase1</t>
  </si>
  <si>
    <t>CheckerControllerPhase2</t>
  </si>
  <si>
    <t>CheckerControllerPhase3</t>
  </si>
  <si>
    <t>CheckerControllerPhase4</t>
  </si>
  <si>
    <t>CheckerControllerPhase5</t>
  </si>
  <si>
    <t>CheckerControllerPhase6</t>
  </si>
  <si>
    <t>CheckerControllerSenGround1</t>
  </si>
  <si>
    <t>CheckerControllerSenGround2</t>
  </si>
  <si>
    <t>CheckerControllerSenGround3</t>
  </si>
  <si>
    <t>CheckerControllerSenGround4</t>
  </si>
  <si>
    <t>CheckerControllerSenGround5</t>
  </si>
  <si>
    <t>CheckerControllerSenGround6</t>
  </si>
  <si>
    <t>CheckerInterlockPage</t>
  </si>
  <si>
    <t>CheckerRating</t>
  </si>
  <si>
    <t>CloseLatch</t>
  </si>
  <si>
    <t>CloseLatchCrest</t>
  </si>
  <si>
    <t>ContactPartingTime</t>
  </si>
  <si>
    <t>ControllerMFR</t>
  </si>
  <si>
    <t>ControllerModel</t>
  </si>
  <si>
    <t>ControllerType</t>
  </si>
  <si>
    <t>CoordinationType</t>
  </si>
  <si>
    <t>ElectricalStandard</t>
  </si>
  <si>
    <t>FastAndSlowGround</t>
  </si>
  <si>
    <t>FastAndSlowPhase</t>
  </si>
  <si>
    <t>FaultArrowLG</t>
  </si>
  <si>
    <t>FaultArrowLGMin</t>
  </si>
  <si>
    <t>FirstInterval</t>
  </si>
  <si>
    <t>FPCFactor</t>
  </si>
  <si>
    <t>Ground1stTCC</t>
  </si>
  <si>
    <t>GroundAltTrip1</t>
  </si>
  <si>
    <t>GroundAltTrip2</t>
  </si>
  <si>
    <t>GroundAltTrip3</t>
  </si>
  <si>
    <t>GroundAltTrip4</t>
  </si>
  <si>
    <t>GroundAltTrip5</t>
  </si>
  <si>
    <t>GroundAltTrip6</t>
  </si>
  <si>
    <t>GroundAltTripEnabled1</t>
  </si>
  <si>
    <t>GroundAltTripEnabled2</t>
  </si>
  <si>
    <t>GroundAltTripEnabled3</t>
  </si>
  <si>
    <t>GroundAltTripEnabled4</t>
  </si>
  <si>
    <t>GroundAltTripEnabled5</t>
  </si>
  <si>
    <t>GroundAltTripEnabled6</t>
  </si>
  <si>
    <t>GroundAltTripName</t>
  </si>
  <si>
    <t>GroundConstantTimeAdder1</t>
  </si>
  <si>
    <t>GroundConstantTimeAdder2</t>
  </si>
  <si>
    <t>GroundCTA1</t>
  </si>
  <si>
    <t>GroundCTA2</t>
  </si>
  <si>
    <t>GroundCTA3</t>
  </si>
  <si>
    <t>GroundCTA4</t>
  </si>
  <si>
    <t>GroundCTA5</t>
  </si>
  <si>
    <t>GroundCTA6</t>
  </si>
  <si>
    <t>GroundCurrentMult1</t>
  </si>
  <si>
    <t>GroundCurrentMult2</t>
  </si>
  <si>
    <t>GroundCurveType1</t>
  </si>
  <si>
    <t>GroundCurveType2</t>
  </si>
  <si>
    <t>GroundCurveType3</t>
  </si>
  <si>
    <t>GroundCurveType4</t>
  </si>
  <si>
    <t>GroundCurveType5</t>
  </si>
  <si>
    <t>GroundCurveType6</t>
  </si>
  <si>
    <t>GroundDelay1</t>
  </si>
  <si>
    <t>GroundDelay2</t>
  </si>
  <si>
    <t>GroundDelay3</t>
  </si>
  <si>
    <t>GroundDelay4</t>
  </si>
  <si>
    <t>GroundDelay5</t>
  </si>
  <si>
    <t>GroundDelay6</t>
  </si>
  <si>
    <t>GroundDelayCurve</t>
  </si>
  <si>
    <t>GroundDelayRange1</t>
  </si>
  <si>
    <t>GroundDelayRange2</t>
  </si>
  <si>
    <t>GroundDelayRange3</t>
  </si>
  <si>
    <t>GroundDelayRange4</t>
  </si>
  <si>
    <t>GroundDelayRange5</t>
  </si>
  <si>
    <t>GroundDelayRange6</t>
  </si>
  <si>
    <t>GroundHC1</t>
  </si>
  <si>
    <t>GroundHC2</t>
  </si>
  <si>
    <t>GroundHC3</t>
  </si>
  <si>
    <t>GroundHC4</t>
  </si>
  <si>
    <t>GroundHC5</t>
  </si>
  <si>
    <t>GroundHC6</t>
  </si>
  <si>
    <t>GroundHCLockout</t>
  </si>
  <si>
    <t>GroundHCTrip1</t>
  </si>
  <si>
    <t>GroundHCTrip2</t>
  </si>
  <si>
    <t>GroundHCTrip3</t>
  </si>
  <si>
    <t>GroundHCTrip4</t>
  </si>
  <si>
    <t>GroundHCTrip5</t>
  </si>
  <si>
    <t>GroundHCTrip6</t>
  </si>
  <si>
    <t>GroundHCTripAmps1</t>
  </si>
  <si>
    <t>GroundHCTripAmps2</t>
  </si>
  <si>
    <t>GroundHCTripAmps3</t>
  </si>
  <si>
    <t>GroundHCTripAmps4</t>
  </si>
  <si>
    <t>GroundHCTripAmps5</t>
  </si>
  <si>
    <t>GroundHCTripAmps6</t>
  </si>
  <si>
    <t>GroundHCTripRange1</t>
  </si>
  <si>
    <t>GroundHCTripRange2</t>
  </si>
  <si>
    <t>GroundHCTripRange3</t>
  </si>
  <si>
    <t>GroundHCTripRange4</t>
  </si>
  <si>
    <t>GroundHCTripRange5</t>
  </si>
  <si>
    <t>GroundHCTripRange6</t>
  </si>
  <si>
    <t>GroundLockout</t>
  </si>
  <si>
    <t>GroundLockoutTrip</t>
  </si>
  <si>
    <t>GroundLockoutTripRange</t>
  </si>
  <si>
    <t>GroundMRT1</t>
  </si>
  <si>
    <t>GroundMRT2</t>
  </si>
  <si>
    <t>GroundMRT3</t>
  </si>
  <si>
    <t>GroundMRT4</t>
  </si>
  <si>
    <t>GroundMRT5</t>
  </si>
  <si>
    <t>GroundMRT6</t>
  </si>
  <si>
    <t>GroundOvercurrent1</t>
  </si>
  <si>
    <t>GroundOvercurrent2</t>
  </si>
  <si>
    <t>GroundOvercurrent3</t>
  </si>
  <si>
    <t>GroundOvercurrent4</t>
  </si>
  <si>
    <t>GroundOvercurrent5</t>
  </si>
  <si>
    <t>GroundOvercurrent6</t>
  </si>
  <si>
    <t>GroundTCCModifier1</t>
  </si>
  <si>
    <t>GroundTCCModifier2</t>
  </si>
  <si>
    <t>GroundTCCModifier3</t>
  </si>
  <si>
    <t>GroundTCCModifier4</t>
  </si>
  <si>
    <t>GroundTCCModifier5</t>
  </si>
  <si>
    <t>GroundTCCModifier6</t>
  </si>
  <si>
    <t>GroundTimeMult1</t>
  </si>
  <si>
    <t>GroundTimeMult2</t>
  </si>
  <si>
    <t>GroundTmDial1</t>
  </si>
  <si>
    <t>GroundTmDial2</t>
  </si>
  <si>
    <t>GroundTmDial3</t>
  </si>
  <si>
    <t>GroundTmDial4</t>
  </si>
  <si>
    <t>GroundTmDial5</t>
  </si>
  <si>
    <t>GroundTmDial6</t>
  </si>
  <si>
    <t>GroundTrip1</t>
  </si>
  <si>
    <t>GroundTrip2</t>
  </si>
  <si>
    <t>GroundTrip3</t>
  </si>
  <si>
    <t>GroundTrip4</t>
  </si>
  <si>
    <t>GroundTrip5</t>
  </si>
  <si>
    <t>GroundTrip6</t>
  </si>
  <si>
    <t>GroundTripAmps1</t>
  </si>
  <si>
    <t>GroundTripAmps2</t>
  </si>
  <si>
    <t>GroundTripAmps3</t>
  </si>
  <si>
    <t>GroundTripAmps4</t>
  </si>
  <si>
    <t>GroundTripAmps5</t>
  </si>
  <si>
    <t>GroundTripAmps6</t>
  </si>
  <si>
    <t>GroundTripLockout</t>
  </si>
  <si>
    <t>GroundTripName</t>
  </si>
  <si>
    <t>GroundTripOperation1</t>
  </si>
  <si>
    <t>GroundTripOperation2</t>
  </si>
  <si>
    <t>GroundTripOperation3</t>
  </si>
  <si>
    <t>GroundTripOperation4</t>
  </si>
  <si>
    <t>GroundTripOperation5</t>
  </si>
  <si>
    <t>GroundTripOperation6</t>
  </si>
  <si>
    <t>GroundTripRange1</t>
  </si>
  <si>
    <t>GroundTripRange2</t>
  </si>
  <si>
    <t>GroundTripRange3</t>
  </si>
  <si>
    <t>GroundTripRange4</t>
  </si>
  <si>
    <t>GroundTripRange5</t>
  </si>
  <si>
    <t>GroundTripRange6</t>
  </si>
  <si>
    <t>GroundVSM1</t>
  </si>
  <si>
    <t>GroundVSM2</t>
  </si>
  <si>
    <t>GroundVSM3</t>
  </si>
  <si>
    <t>GroundVSM4</t>
  </si>
  <si>
    <t>GroundVSM5</t>
  </si>
  <si>
    <t>GroundVSM6</t>
  </si>
  <si>
    <t>iecBIL</t>
  </si>
  <si>
    <t>iecBreaking</t>
  </si>
  <si>
    <t>iecBreakTime</t>
  </si>
  <si>
    <t>iecCurrent</t>
  </si>
  <si>
    <t>iecLibModified</t>
  </si>
  <si>
    <t>iecMaking</t>
  </si>
  <si>
    <t>iecMinDelay</t>
  </si>
  <si>
    <t>iecMinOpenTime</t>
  </si>
  <si>
    <t>iecPeak</t>
  </si>
  <si>
    <t>iecShortTimekA</t>
  </si>
  <si>
    <t>IECTimeConstant</t>
  </si>
  <si>
    <t>IECTk</t>
  </si>
  <si>
    <t>iecTkr</t>
  </si>
  <si>
    <t>iecVoltage</t>
  </si>
  <si>
    <t>InstDelay</t>
  </si>
  <si>
    <t>IsPostClose</t>
  </si>
  <si>
    <t>IsPostOpen</t>
  </si>
  <si>
    <t>IsPreClose</t>
  </si>
  <si>
    <t>IsPreOpen</t>
  </si>
  <si>
    <t>LibHeaderData</t>
  </si>
  <si>
    <t>LinkTOCHC1</t>
  </si>
  <si>
    <t>LinkTOCHC2</t>
  </si>
  <si>
    <t>LinkTOCHC3</t>
  </si>
  <si>
    <t>LinkTOCHC4</t>
  </si>
  <si>
    <t>LinkTOCHC5</t>
  </si>
  <si>
    <t>LinkTOCHC6</t>
  </si>
  <si>
    <t>LoadSide</t>
  </si>
  <si>
    <t>Logic_Comment</t>
  </si>
  <si>
    <t>Notes</t>
  </si>
  <si>
    <t>Override</t>
  </si>
  <si>
    <t>Phase1stTCC</t>
  </si>
  <si>
    <t>PhaseAltTrip1</t>
  </si>
  <si>
    <t>PhaseAltTrip2</t>
  </si>
  <si>
    <t>PhaseAltTrip3</t>
  </si>
  <si>
    <t>PhaseAltTrip4</t>
  </si>
  <si>
    <t>PhaseAltTrip5</t>
  </si>
  <si>
    <t>PhaseAltTrip6</t>
  </si>
  <si>
    <t>PhaseAltTripEnabled1</t>
  </si>
  <si>
    <t>PhaseAltTripEnabled2</t>
  </si>
  <si>
    <t>PhaseAltTripEnabled3</t>
  </si>
  <si>
    <t>PhaseAltTripEnabled4</t>
  </si>
  <si>
    <t>PhaseAltTripEnabled5</t>
  </si>
  <si>
    <t>PhaseAltTripEnabled6</t>
  </si>
  <si>
    <t>PhaseAltTripName</t>
  </si>
  <si>
    <t>PhaseConstantTimeAdder1</t>
  </si>
  <si>
    <t>PhaseConstantTimeAdder2</t>
  </si>
  <si>
    <t>PhaseCTA1</t>
  </si>
  <si>
    <t>PhaseCTA2</t>
  </si>
  <si>
    <t>PhaseCTA3</t>
  </si>
  <si>
    <t>PhaseCTA4</t>
  </si>
  <si>
    <t>PhaseCTA5</t>
  </si>
  <si>
    <t>PhaseCTA6</t>
  </si>
  <si>
    <t>PhaseCurrentMult1</t>
  </si>
  <si>
    <t>PhaseCurrentMult2</t>
  </si>
  <si>
    <t>PhaseCurveType1</t>
  </si>
  <si>
    <t>PhaseCurveType2</t>
  </si>
  <si>
    <t>PhaseCurveType3</t>
  </si>
  <si>
    <t>PhaseCurveType4</t>
  </si>
  <si>
    <t>PhaseCurveType5</t>
  </si>
  <si>
    <t>PhaseCurveType6</t>
  </si>
  <si>
    <t>PhaseDelay1</t>
  </si>
  <si>
    <t>PhaseDelay2</t>
  </si>
  <si>
    <t>PhaseDelay3</t>
  </si>
  <si>
    <t>PhaseDelay4</t>
  </si>
  <si>
    <t>PhaseDelay5</t>
  </si>
  <si>
    <t>PhaseDelay6</t>
  </si>
  <si>
    <t>PhaseDelayCurve</t>
  </si>
  <si>
    <t>PhaseDelayRange1</t>
  </si>
  <si>
    <t>PhaseDelayRange2</t>
  </si>
  <si>
    <t>PhaseDelayRange3</t>
  </si>
  <si>
    <t>PhaseDelayRange4</t>
  </si>
  <si>
    <t>PhaseDelayRange5</t>
  </si>
  <si>
    <t>PhaseDelayRange6</t>
  </si>
  <si>
    <t>PhaseHC1</t>
  </si>
  <si>
    <t>PhaseHC2</t>
  </si>
  <si>
    <t>PhaseHC3</t>
  </si>
  <si>
    <t>PhaseHC4</t>
  </si>
  <si>
    <t>PhaseHC5</t>
  </si>
  <si>
    <t>PhaseHC6</t>
  </si>
  <si>
    <t>PhaseHCLockout</t>
  </si>
  <si>
    <t>PhaseHCTrip1</t>
  </si>
  <si>
    <t>PhaseHCTrip2</t>
  </si>
  <si>
    <t>PhaseHCTrip3</t>
  </si>
  <si>
    <t>PhaseHCTrip4</t>
  </si>
  <si>
    <t>PhaseHCTrip5</t>
  </si>
  <si>
    <t>PhaseHCTrip6</t>
  </si>
  <si>
    <t>PhaseHCTripAmps1</t>
  </si>
  <si>
    <t>PhaseHCTripAmps2</t>
  </si>
  <si>
    <t>PhaseHCTripAmps3</t>
  </si>
  <si>
    <t>PhaseHCTripAmps4</t>
  </si>
  <si>
    <t>PhaseHCTripAmps5</t>
  </si>
  <si>
    <t>PhaseHCTripAmps6</t>
  </si>
  <si>
    <t>PhaseHCTripRange1</t>
  </si>
  <si>
    <t>PhaseHCTripRange2</t>
  </si>
  <si>
    <t>PhaseHCTripRange3</t>
  </si>
  <si>
    <t>PhaseHCTripRange4</t>
  </si>
  <si>
    <t>PhaseHCTripRange5</t>
  </si>
  <si>
    <t>PhaseHCTripRange6</t>
  </si>
  <si>
    <t>PhaseLockout</t>
  </si>
  <si>
    <t>PhaseLockoutTrip</t>
  </si>
  <si>
    <t>PhaseLockoutTripRange</t>
  </si>
  <si>
    <t>PhaseMRT1</t>
  </si>
  <si>
    <t>PhaseMRT2</t>
  </si>
  <si>
    <t>PhaseMRT3</t>
  </si>
  <si>
    <t>PhaseMRT4</t>
  </si>
  <si>
    <t>PhaseMRT5</t>
  </si>
  <si>
    <t>PhaseMRT6</t>
  </si>
  <si>
    <t>PhaseOverCurrent1</t>
  </si>
  <si>
    <t>PhaseOverCurrent2</t>
  </si>
  <si>
    <t>PhaseOverCurrent3</t>
  </si>
  <si>
    <t>PhaseOverCurrent4</t>
  </si>
  <si>
    <t>PhaseOverCurrent5</t>
  </si>
  <si>
    <t>PhaseOverCurrent6</t>
  </si>
  <si>
    <t>PhaseTCCModifier1</t>
  </si>
  <si>
    <t>PhaseTCCModifier2</t>
  </si>
  <si>
    <t>PhaseTCCModifier3</t>
  </si>
  <si>
    <t>PhaseTCCModifier4</t>
  </si>
  <si>
    <t>PhaseTCCModifier5</t>
  </si>
  <si>
    <t>PhaseTCCModifier6</t>
  </si>
  <si>
    <t>PhaseTimeMult1</t>
  </si>
  <si>
    <t>PhaseTimeMult2</t>
  </si>
  <si>
    <t>PhaseTmDial1</t>
  </si>
  <si>
    <t>PhaseTmDial2</t>
  </si>
  <si>
    <t>PhaseTmDial3</t>
  </si>
  <si>
    <t>PhaseTmDial4</t>
  </si>
  <si>
    <t>PhaseTmDial5</t>
  </si>
  <si>
    <t>PhaseTmDial6</t>
  </si>
  <si>
    <t>PhaseTrip1</t>
  </si>
  <si>
    <t>PhaseTrip2</t>
  </si>
  <si>
    <t>PhaseTrip3</t>
  </si>
  <si>
    <t>PhaseTrip4</t>
  </si>
  <si>
    <t>PhaseTrip5</t>
  </si>
  <si>
    <t>PhaseTrip6</t>
  </si>
  <si>
    <t>PhaseTripAmps1</t>
  </si>
  <si>
    <t>PhaseTripAmps2</t>
  </si>
  <si>
    <t>PhaseTripAmps3</t>
  </si>
  <si>
    <t>PhaseTripAmps4</t>
  </si>
  <si>
    <t>PhaseTripAmps5</t>
  </si>
  <si>
    <t>PhaseTripAmps6</t>
  </si>
  <si>
    <t>PhaseTripLockout</t>
  </si>
  <si>
    <t>PhaseTripName</t>
  </si>
  <si>
    <t>PhaseTripOperation1</t>
  </si>
  <si>
    <t>PhaseTripOperation2</t>
  </si>
  <si>
    <t>PhaseTripOperation3</t>
  </si>
  <si>
    <t>PhaseTripOperation4</t>
  </si>
  <si>
    <t>PhaseTripOperation5</t>
  </si>
  <si>
    <t>PhaseTripOperation6</t>
  </si>
  <si>
    <t>PhaseTripRange1</t>
  </si>
  <si>
    <t>PhaseTripRange2</t>
  </si>
  <si>
    <t>PhaseTripRange3</t>
  </si>
  <si>
    <t>PhaseTripRange4</t>
  </si>
  <si>
    <t>PhaseTripRange5</t>
  </si>
  <si>
    <t>PhaseTripRange6</t>
  </si>
  <si>
    <t>PhaseVSM1</t>
  </si>
  <si>
    <t>PhaseVSM2</t>
  </si>
  <si>
    <t>PhaseVSM3</t>
  </si>
  <si>
    <t>PhaseVSM4</t>
  </si>
  <si>
    <t>PhaseVSM5</t>
  </si>
  <si>
    <t>PhaseVSM6</t>
  </si>
  <si>
    <t>RatingStd</t>
  </si>
  <si>
    <t>RecloserLevel1</t>
  </si>
  <si>
    <t>RecloserLevel2</t>
  </si>
  <si>
    <t>RecloserLevel3</t>
  </si>
  <si>
    <t>RecloserLevel4</t>
  </si>
  <si>
    <t>RecloserLevel5</t>
  </si>
  <si>
    <t>RecloserLevel6</t>
  </si>
  <si>
    <t>RecloserType</t>
  </si>
  <si>
    <t>ResetTime</t>
  </si>
  <si>
    <t>SecondInterval</t>
  </si>
  <si>
    <t>SenGround1stTCC</t>
  </si>
  <si>
    <t>SenGroundAltTrip1</t>
  </si>
  <si>
    <t>SenGroundAltTrip2</t>
  </si>
  <si>
    <t>SenGroundAltTrip3</t>
  </si>
  <si>
    <t>SenGroundAltTrip4</t>
  </si>
  <si>
    <t>SenGroundAltTrip5</t>
  </si>
  <si>
    <t>SenGroundAltTrip6</t>
  </si>
  <si>
    <t>SenGroundAltTripEnabled1</t>
  </si>
  <si>
    <t>SenGroundAltTripEnabled2</t>
  </si>
  <si>
    <t>SenGroundAltTripEnabled3</t>
  </si>
  <si>
    <t>SenGroundAltTripEnabled4</t>
  </si>
  <si>
    <t>SenGroundAltTripEnabled5</t>
  </si>
  <si>
    <t>SenGroundAltTripEnabled6</t>
  </si>
  <si>
    <t>SenGroundAltTripName</t>
  </si>
  <si>
    <t>SenGroundCTA1</t>
  </si>
  <si>
    <t>SenGroundCTA2</t>
  </si>
  <si>
    <t>SenGroundCTA3</t>
  </si>
  <si>
    <t>SenGroundCTA4</t>
  </si>
  <si>
    <t>SenGroundCTA5</t>
  </si>
  <si>
    <t>SenGroundCTA6</t>
  </si>
  <si>
    <t>SenGroundCurveType1</t>
  </si>
  <si>
    <t>SenGroundCurveType2</t>
  </si>
  <si>
    <t>SenGroundCurveType3</t>
  </si>
  <si>
    <t>SenGroundCurveType4</t>
  </si>
  <si>
    <t>SenGroundCurveType5</t>
  </si>
  <si>
    <t>SenGroundCurveType6</t>
  </si>
  <si>
    <t>SenGroundDelay1</t>
  </si>
  <si>
    <t>SenGroundDelay2</t>
  </si>
  <si>
    <t>SenGroundDelay3</t>
  </si>
  <si>
    <t>SenGroundDelay4</t>
  </si>
  <si>
    <t>SenGroundDelay5</t>
  </si>
  <si>
    <t>SenGroundDelay6</t>
  </si>
  <si>
    <t>SenGroundDelayCurve</t>
  </si>
  <si>
    <t>SenGroundDelayRange1</t>
  </si>
  <si>
    <t>SenGroundDelayRange2</t>
  </si>
  <si>
    <t>SenGroundDelayRange3</t>
  </si>
  <si>
    <t>SenGroundDelayRange4</t>
  </si>
  <si>
    <t>SenGroundDelayRange5</t>
  </si>
  <si>
    <t>SenGroundDelayRange6</t>
  </si>
  <si>
    <t>SenGroundHC1</t>
  </si>
  <si>
    <t>SenGroundHC2</t>
  </si>
  <si>
    <t>SenGroundHC3</t>
  </si>
  <si>
    <t>SenGroundHC4</t>
  </si>
  <si>
    <t>SenGroundHC5</t>
  </si>
  <si>
    <t>SenGroundHC6</t>
  </si>
  <si>
    <t>SenGroundHCLockout</t>
  </si>
  <si>
    <t>SenGroundHCTrip1</t>
  </si>
  <si>
    <t>SenGroundHCTrip2</t>
  </si>
  <si>
    <t>SenGroundHCTrip3</t>
  </si>
  <si>
    <t>SenGroundHCTrip4</t>
  </si>
  <si>
    <t>SenGroundHCTrip5</t>
  </si>
  <si>
    <t>SenGroundHCTrip6</t>
  </si>
  <si>
    <t>SenGroundHCTripAmps1</t>
  </si>
  <si>
    <t>SenGroundHCTripAmps2</t>
  </si>
  <si>
    <t>SenGroundHCTripAmps3</t>
  </si>
  <si>
    <t>SenGroundHCTripAmps4</t>
  </si>
  <si>
    <t>SenGroundHCTripAmps5</t>
  </si>
  <si>
    <t>SenGroundHCTripAmps6</t>
  </si>
  <si>
    <t>SenGroundHCTripRange1</t>
  </si>
  <si>
    <t>SenGroundHCTripRange2</t>
  </si>
  <si>
    <t>SenGroundHCTripRange3</t>
  </si>
  <si>
    <t>SenGroundHCTripRange4</t>
  </si>
  <si>
    <t>SenGroundHCTripRange5</t>
  </si>
  <si>
    <t>SenGroundHCTripRange6</t>
  </si>
  <si>
    <t>SenGroundLockout</t>
  </si>
  <si>
    <t>SenGroundLockoutTrip</t>
  </si>
  <si>
    <t>SenGroundLockoutTripRange</t>
  </si>
  <si>
    <t>SenGroundMRT1</t>
  </si>
  <si>
    <t>SenGroundMRT2</t>
  </si>
  <si>
    <t>SenGroundMRT3</t>
  </si>
  <si>
    <t>SenGroundMRT4</t>
  </si>
  <si>
    <t>SenGroundMRT5</t>
  </si>
  <si>
    <t>SenGroundMRT6</t>
  </si>
  <si>
    <t>SenGroundOvercurrent1</t>
  </si>
  <si>
    <t>SenGroundOvercurrent2</t>
  </si>
  <si>
    <t>SenGroundOvercurrent3</t>
  </si>
  <si>
    <t>SenGroundOvercurrent4</t>
  </si>
  <si>
    <t>SenGroundOvercurrent5</t>
  </si>
  <si>
    <t>SenGroundOvercurrent6</t>
  </si>
  <si>
    <t>SenGroundTCCModifier1</t>
  </si>
  <si>
    <t>SenGroundTCCModifier2</t>
  </si>
  <si>
    <t>SenGroundTCCModifier3</t>
  </si>
  <si>
    <t>SenGroundTCCModifier4</t>
  </si>
  <si>
    <t>SenGroundTCCModifier5</t>
  </si>
  <si>
    <t>SenGroundTCCModifier6</t>
  </si>
  <si>
    <t>SenGroundTmDial1</t>
  </si>
  <si>
    <t>SenGroundTmDial2</t>
  </si>
  <si>
    <t>SenGroundTmDial3</t>
  </si>
  <si>
    <t>SenGroundTmDial4</t>
  </si>
  <si>
    <t>SenGroundTmDial5</t>
  </si>
  <si>
    <t>SenGroundTmDial6</t>
  </si>
  <si>
    <t>SenGroundTrip1</t>
  </si>
  <si>
    <t>SenGroundTrip2</t>
  </si>
  <si>
    <t>SenGroundTrip3</t>
  </si>
  <si>
    <t>SenGroundTrip4</t>
  </si>
  <si>
    <t>SenGroundTrip5</t>
  </si>
  <si>
    <t>SenGroundTrip6</t>
  </si>
  <si>
    <t>SenGroundTripAmps1</t>
  </si>
  <si>
    <t>SenGroundTripAmps2</t>
  </si>
  <si>
    <t>SenGroundTripAmps3</t>
  </si>
  <si>
    <t>SenGroundTripAmps4</t>
  </si>
  <si>
    <t>SenGroundTripAmps5</t>
  </si>
  <si>
    <t>SenGroundTripAmps6</t>
  </si>
  <si>
    <t>SenGroundTripLockout</t>
  </si>
  <si>
    <t>SenGroundTripName</t>
  </si>
  <si>
    <t>SenGroundTripOperation1</t>
  </si>
  <si>
    <t>SenGroundTripOperation2</t>
  </si>
  <si>
    <t>SenGroundTripOperation3</t>
  </si>
  <si>
    <t>SenGroundTripOperation4</t>
  </si>
  <si>
    <t>SenGroundTripOperation5</t>
  </si>
  <si>
    <t>SenGroundTripOperation6</t>
  </si>
  <si>
    <t>SenGroundTripRange1</t>
  </si>
  <si>
    <t>SenGroundTripRange2</t>
  </si>
  <si>
    <t>SenGroundTripRange3</t>
  </si>
  <si>
    <t>SenGroundTripRange4</t>
  </si>
  <si>
    <t>SenGroundTripRange5</t>
  </si>
  <si>
    <t>SenGroundTripRange6</t>
  </si>
  <si>
    <t>SenGroundVSM1</t>
  </si>
  <si>
    <t>SenGroundVSM2</t>
  </si>
  <si>
    <t>SenGroundVSM3</t>
  </si>
  <si>
    <t>SenGroundVSM4</t>
  </si>
  <si>
    <t>SenGroundVSM5</t>
  </si>
  <si>
    <t>SenGroundVSM6</t>
  </si>
  <si>
    <t>SourceSide</t>
  </si>
  <si>
    <t>SpeedAssign1</t>
  </si>
  <si>
    <t>SpeedAssign2</t>
  </si>
  <si>
    <t>SpeedAssign3</t>
  </si>
  <si>
    <t>SpeedAssign4</t>
  </si>
  <si>
    <t>SpeedAssign5</t>
  </si>
  <si>
    <t>SpeedAssign6</t>
  </si>
  <si>
    <t>TCCEnabled1</t>
  </si>
  <si>
    <t>TCCEnabled2</t>
  </si>
  <si>
    <t>TCCEnabled3</t>
  </si>
  <si>
    <t>TCCEnabled4</t>
  </si>
  <si>
    <t>TCCEnabled5</t>
  </si>
  <si>
    <t>TCCEnabled6</t>
  </si>
  <si>
    <t>TCCGroup</t>
  </si>
  <si>
    <t>TestXOverR</t>
  </si>
  <si>
    <t>ThirdInterval</t>
  </si>
  <si>
    <t>TimeUnit</t>
  </si>
  <si>
    <t>TotalAsym3PhasekA</t>
  </si>
  <si>
    <t>TotalAsymLGkA</t>
  </si>
  <si>
    <t>TotalSym3PhasekA</t>
  </si>
  <si>
    <t>TotalSym3PhasekAMin</t>
  </si>
  <si>
    <t>TotalSymLGkA</t>
  </si>
  <si>
    <t>TotalSymLGkAMin</t>
  </si>
  <si>
    <t>TotalTimeGround</t>
  </si>
  <si>
    <t>TotalTimePhase</t>
  </si>
  <si>
    <t>TRVec</t>
  </si>
  <si>
    <t>UDBasekVMin</t>
  </si>
  <si>
    <t>UDGroundkA</t>
  </si>
  <si>
    <t>UDGroundkAMin</t>
  </si>
  <si>
    <t>UDPhasekA</t>
  </si>
  <si>
    <t>UDPhasekAMin</t>
  </si>
  <si>
    <t>WarehouseRef</t>
  </si>
  <si>
    <t>Recloser</t>
  </si>
  <si>
    <t>RECLOSER</t>
  </si>
  <si>
    <t>Device22_WorksheetName</t>
  </si>
  <si>
    <t>Device22_XmlTag</t>
  </si>
  <si>
    <t>Device22_DataAddress</t>
  </si>
  <si>
    <t>Device23_WorksheetName</t>
  </si>
  <si>
    <t>Device23_XmlTag</t>
  </si>
  <si>
    <t>Device23_DataAddress</t>
  </si>
  <si>
    <t>Device24_WorksheetName</t>
  </si>
  <si>
    <t>Device24_XmlTag</t>
  </si>
  <si>
    <t>Device24_DataAddress</t>
  </si>
  <si>
    <t>Device25_WorksheetName</t>
  </si>
  <si>
    <t>Device25_XmlTag</t>
  </si>
  <si>
    <t>Device25_DataAddress</t>
  </si>
  <si>
    <t>Potential Transformer</t>
  </si>
  <si>
    <t>V</t>
  </si>
  <si>
    <t>_eF=Round(_eN[PrimaryKV], 3)</t>
  </si>
  <si>
    <t>_eF=Round(_eN[SecondaryKV], 1)</t>
  </si>
  <si>
    <t>_eF=IF(_eN[Connection]=0, "L-G", "L-L")</t>
  </si>
  <si>
    <t>_eF=IF(_eN[Standard]=0, "ANSI", "IEC")</t>
  </si>
  <si>
    <t>_eF=IF(_eN[Type]=0, "Phase", "Ground")</t>
  </si>
  <si>
    <t>Control Mode</t>
  </si>
  <si>
    <t>1 = Inservice</t>
  </si>
  <si>
    <t>CURRENT TRANSFORMER DATA</t>
  </si>
  <si>
    <t>POTENTIAL TRANSFORMER DATA</t>
  </si>
  <si>
    <t>Rated Voltage (kV)</t>
  </si>
  <si>
    <t>3-phase</t>
  </si>
  <si>
    <t>MVAsc Rating</t>
  </si>
  <si>
    <t>1-phase</t>
  </si>
  <si>
    <t>UNIVERSAL RELAY DATA</t>
  </si>
  <si>
    <t>Relay Type</t>
  </si>
  <si>
    <t>Tag</t>
  </si>
  <si>
    <t>[FDRTag]</t>
  </si>
  <si>
    <t>_eF=CHOOSE((_eN[RelayType] + 1), "Multi-function Relay", "OverCurrent Relay", "Overload/Motor Relay", "Multi-function Relay", "Differential Relay", "Multi-function Relay", "Multi-function Relay", "Multi-function Relay", "Distance Relay", "Multi-function Relay")</t>
  </si>
  <si>
    <t>VRELAY</t>
  </si>
  <si>
    <t>RELAY32</t>
  </si>
  <si>
    <t>FRELAY</t>
  </si>
  <si>
    <t>MVSSTRELAY</t>
  </si>
  <si>
    <t>Voltage Relay</t>
  </si>
  <si>
    <t>Frequency Relay</t>
  </si>
  <si>
    <t>Reverse Power Relay</t>
  </si>
  <si>
    <t>MV Solid State Trip Relay</t>
  </si>
  <si>
    <t>CheckerPageSetting</t>
  </si>
  <si>
    <t>ThresholdList</t>
  </si>
  <si>
    <t>CheckerPageInfo2</t>
  </si>
  <si>
    <t>FdrTag</t>
  </si>
  <si>
    <t>OverDelay</t>
  </si>
  <si>
    <t>OverPower</t>
  </si>
  <si>
    <t>OverPU</t>
  </si>
  <si>
    <t>Setting</t>
  </si>
  <si>
    <t>SettingValue</t>
  </si>
  <si>
    <t>UnderDelay</t>
  </si>
  <si>
    <t>UnderPower</t>
  </si>
  <si>
    <t>UnderPU</t>
  </si>
  <si>
    <t>CheckerSetting</t>
  </si>
  <si>
    <t>GrdInstantaneousPkup</t>
  </si>
  <si>
    <t>GrdInstantaneousPkup_Label</t>
  </si>
  <si>
    <t>GrdLongTimeBand</t>
  </si>
  <si>
    <t>GrdLongTimeBand_Label</t>
  </si>
  <si>
    <t>GrdLongTimeCurve</t>
  </si>
  <si>
    <t>GrdLongTimePkup</t>
  </si>
  <si>
    <t>GrdLongTimePkup_Label</t>
  </si>
  <si>
    <t>GrdShortTimeBand</t>
  </si>
  <si>
    <t>GrdShortTimeBand_Label</t>
  </si>
  <si>
    <t>GrdShortTimeCurve</t>
  </si>
  <si>
    <t>GrdShortTimePkup</t>
  </si>
  <si>
    <t>GrdShortTimePkup_Label</t>
  </si>
  <si>
    <t>GroundInstantaneous</t>
  </si>
  <si>
    <t>GroundLongTime</t>
  </si>
  <si>
    <t>GroundShortTime</t>
  </si>
  <si>
    <t>InstSetting</t>
  </si>
  <si>
    <t>PhaseInstantaneous</t>
  </si>
  <si>
    <t>PhaseLongTime</t>
  </si>
  <si>
    <t>PhaseShortTime</t>
  </si>
  <si>
    <t>PhInstantaneousPkup</t>
  </si>
  <si>
    <t>PhInstantaneousPkup_Label</t>
  </si>
  <si>
    <t>PhLongTimeBand</t>
  </si>
  <si>
    <t>PhLongTimeBand_Label</t>
  </si>
  <si>
    <t>PhLongTimeCurve</t>
  </si>
  <si>
    <t>PhLongTimePkup</t>
  </si>
  <si>
    <t>PhLongTimePkup_Label</t>
  </si>
  <si>
    <t>PhShortTimeBand</t>
  </si>
  <si>
    <t>PhShortTimeBand_Label</t>
  </si>
  <si>
    <t>PhShortTimeCurve</t>
  </si>
  <si>
    <t>PhShortTimePkup</t>
  </si>
  <si>
    <t>PhShortTimePkup_Label</t>
  </si>
  <si>
    <t>CheckerDeviceParams</t>
  </si>
  <si>
    <t>DeviceDBGID</t>
  </si>
  <si>
    <t>DeviceDBIID</t>
  </si>
  <si>
    <t>DeviceTypeGID</t>
  </si>
  <si>
    <t>HeaterUnit</t>
  </si>
  <si>
    <t>OverloadType</t>
  </si>
  <si>
    <t>PreloadingAccel</t>
  </si>
  <si>
    <t>PreloadingRangeAccel</t>
  </si>
  <si>
    <t>PreloadingRangeThermal</t>
  </si>
  <si>
    <t>PreloadingThermal</t>
  </si>
  <si>
    <t>Resistance</t>
  </si>
  <si>
    <t>UserDefined</t>
  </si>
  <si>
    <t>UserDefinedFLA</t>
  </si>
  <si>
    <t>UserDefinedSF</t>
  </si>
  <si>
    <t>[Manufacturer]</t>
  </si>
  <si>
    <t>[Model]</t>
  </si>
  <si>
    <t xml:space="preserve">Overcurrent </t>
  </si>
  <si>
    <t>Curve Type</t>
  </si>
  <si>
    <t>Pickup</t>
  </si>
  <si>
    <t>Time Dial</t>
  </si>
  <si>
    <t>Neg-Seq</t>
  </si>
  <si>
    <t>Neutral</t>
  </si>
  <si>
    <t>Sen-Ground</t>
  </si>
  <si>
    <t>Delay</t>
  </si>
  <si>
    <t>OverLoad</t>
  </si>
  <si>
    <t>Trip</t>
  </si>
  <si>
    <t>OVERLOAD HEATER</t>
  </si>
  <si>
    <t>_eF=IF(_eN[OverloadType] = 0, "In-Line Overload Relay",  "Overload Heater")</t>
  </si>
  <si>
    <t>Controller</t>
  </si>
  <si>
    <t>Curve</t>
  </si>
  <si>
    <t>Making kA rms</t>
  </si>
  <si>
    <t>Max KV</t>
  </si>
  <si>
    <t>Interrupting Time/Break Time</t>
  </si>
  <si>
    <t>CPT/Min. Delay</t>
  </si>
  <si>
    <t>Max. Amps</t>
  </si>
  <si>
    <t>Interrupting kA</t>
  </si>
  <si>
    <t>Test X/R</t>
  </si>
  <si>
    <t>Making kA Peak</t>
  </si>
  <si>
    <t>_eF=IF(_eN[ElectricalStandard]=0, Round(_eN[ansiVoltage],2),Round(_eN[iecVoltage],2))</t>
  </si>
  <si>
    <t>_eF=IF(_eN[ElectricalStandard]=0, Round(_eN[ansiCurrent],0),Round(_eN[iecCurrent],0))</t>
  </si>
  <si>
    <t>_eF=IF(_eN[ElectricalStandard]=0, _eN[ansiInterruptTime],_eN[iecBreakTime])</t>
  </si>
  <si>
    <t>_eF=IF(_eN[ElectricalStandard]=0, _eN[ContactPartingTime],_eN[iecMinDelay])</t>
  </si>
  <si>
    <t>_eF=IF(_eN[ElectricalStandard]=0, _eN[ansiInterrupting],_eN[iecBreaking])</t>
  </si>
  <si>
    <t>[TestXOverR]</t>
  </si>
  <si>
    <t>_eF=IF(_eN[ElectricalStandard]=0, Round(_eN[CloseLatch],2),Round(_eN[iecMaking],2))</t>
  </si>
  <si>
    <t>_eF=IF(_eN[ElectricalStandard]=0, Round(_eN[CloseLatchCrest],2),Round(_eN[iecPeak],2))</t>
  </si>
  <si>
    <t>[PhaseCurveType1]</t>
  </si>
  <si>
    <t>Trip Amps</t>
  </si>
  <si>
    <t>Level/Stage</t>
  </si>
  <si>
    <t>[RecloserLevel1]</t>
  </si>
  <si>
    <t>Alternate Trip</t>
  </si>
  <si>
    <t>Modifers</t>
  </si>
  <si>
    <t>Device26_WorksheetName</t>
  </si>
  <si>
    <t>Device26_XmlTag</t>
  </si>
  <si>
    <t>Device26_DataAddress</t>
  </si>
  <si>
    <t>Device27_WorksheetName</t>
  </si>
  <si>
    <t>Device27_XmlTag</t>
  </si>
  <si>
    <t>Device27_DataAddress</t>
  </si>
  <si>
    <t>VOLTAGE RELAY DATA</t>
  </si>
  <si>
    <t>UTILITY DATA</t>
  </si>
  <si>
    <t>RECLOSER DATA</t>
  </si>
  <si>
    <t>PT</t>
  </si>
  <si>
    <t>A10:H10</t>
  </si>
  <si>
    <t>FREQUENCY RELAY DATA</t>
  </si>
  <si>
    <t>Device28_WorksheetName</t>
  </si>
  <si>
    <t>Device28_XmlTag</t>
  </si>
  <si>
    <t>Device28_DataAddress</t>
  </si>
  <si>
    <t>_eF=IF(TRIM(_eT[CONNECT_ToElement2]) = "", _eT[ToBus], _eT[CONNECT_ToElement2])</t>
  </si>
  <si>
    <t>FromElement1</t>
  </si>
  <si>
    <t>FromElement2</t>
  </si>
  <si>
    <t>FromElement3</t>
  </si>
  <si>
    <t>Device29_WorksheetName</t>
  </si>
  <si>
    <t>Device29_XmlTag</t>
  </si>
  <si>
    <t>Device29_DataAddress</t>
  </si>
  <si>
    <t>CAPACITOR DATA</t>
  </si>
  <si>
    <t>Rated KV</t>
  </si>
  <si>
    <t># of Bank</t>
  </si>
  <si>
    <t>_eF=CHOOSE((_eN[UnitsButton] + 1), "Kvar", "Mvar", "Var")</t>
  </si>
  <si>
    <t>_eF=Round(_eN[NumBanks],0)</t>
  </si>
  <si>
    <t>_eF=CHOOSE((_eN[UnitsButton] + 1), _eN[KvarPerBank] , _eN[KvarPerBank]/1000, _eN[KvarPerBank] * 1000)</t>
  </si>
  <si>
    <t>Reactive Power/bank</t>
  </si>
  <si>
    <t>Max. KV</t>
  </si>
  <si>
    <t>Switching Control Mode</t>
  </si>
  <si>
    <t>A10:S10</t>
  </si>
  <si>
    <t>Xd"/Ra</t>
  </si>
  <si>
    <t>X0/R0</t>
  </si>
  <si>
    <t>_eF=Round(_eN[XOverR2], 1)</t>
  </si>
  <si>
    <t>_eF=Round(_eN[XOverR0], 1)</t>
  </si>
  <si>
    <t>Xd" %</t>
  </si>
  <si>
    <t>X0 %</t>
  </si>
  <si>
    <t>Rdc %</t>
  </si>
  <si>
    <t>Model Type</t>
  </si>
  <si>
    <t>Dynamic Model</t>
  </si>
  <si>
    <t>_eF=Round(_eN[TPrimeD0], 1)</t>
  </si>
  <si>
    <t>_eF=Round(_eN[Sbreak], 1)</t>
  </si>
  <si>
    <t>_eF=Round(_eN[S100], 1)</t>
  </si>
  <si>
    <t>_eF=Round(_eN[S120], 1)</t>
  </si>
  <si>
    <t>Connected Element</t>
  </si>
  <si>
    <t>Connected Relay</t>
  </si>
  <si>
    <t>_eF=IF(TRIM(_eT[CONNECT_ToElement2]) = "", "--", _eT[CONNECT_ToElement2])</t>
  </si>
  <si>
    <t>_eF=IF(TRIM(_eT[CONNECT_FromElement]) = "", "--", _eT[CONNECT_FromElement])</t>
  </si>
  <si>
    <t>_eF=IF(TRIM(_eT[CONNECT_ToElement3]) = "", "--", _eT[CONNECT_ToElement3])</t>
  </si>
  <si>
    <t>_eF=IF(TRIM(_eT[CONNECT_ToElement1]) = "", "--", _eT[CONNECT_ToElement1])</t>
  </si>
  <si>
    <t>_eF=IF(_eN[PhaseTOC1]=1, _eT[Ph51Curve1],"--")</t>
  </si>
  <si>
    <t>_eF=IF(_eN[PhaseTOC1]=1,Round(_eN[Ph51Pkup1],2),"--")</t>
  </si>
  <si>
    <t>_eF=IF(_eN[PhaseTOC1]=1,Round(_eN[Ph51TmDial1],2),"--")</t>
  </si>
  <si>
    <t>_eF=IF(_eN[NeutralTOC1]=1, _eT[Neu51Curve1],"--")</t>
  </si>
  <si>
    <t>_eF=IF(_eN[NeutralTOC1]=1,Round(_eN[Neu51Pkup1],2),"--")</t>
  </si>
  <si>
    <t>_eF=IF(_eN[GroundTOC1]=1, _eT[Grd51Curve1],"--")</t>
  </si>
  <si>
    <t>_eF=IF(_eN[GroundTOC1]=1, Round(_eN[Grd51Pkup1],2),"--")</t>
  </si>
  <si>
    <t>_eF=IF(_eN[SengroundTOC1]=1, _eT[SenG51Curve1],"--")</t>
  </si>
  <si>
    <t>_eF=IF(_eN[SengroundTOC1]=1, Round(_eN[SenG51Pkup1],2),"--")</t>
  </si>
  <si>
    <t>_eF=IF(_eN[NegseqTOC1]=1, _eT[Neg51Curve1],"--")</t>
  </si>
  <si>
    <t>_eF=IF(_eN[OverloadType]=1, Round(_eN[Resistance],4),"--")</t>
  </si>
  <si>
    <t>_eF=IF(_eN[PhaseAltTripEnabled1]=1, _eN[PhaseAltTrip1],"--")</t>
  </si>
  <si>
    <t>_eF=IF(_eN[PhaseTCCModifier1]=1, _eN[PhaseMRT1],"--")</t>
  </si>
  <si>
    <t>RadioButtonss</t>
  </si>
  <si>
    <t>_eF=IF(_eN[RadioButtons]=2, Round(_eN[TDoublePrimeD0], 3),"--")</t>
  </si>
  <si>
    <t>_eF=CHOOSE((_eN[RadioButtons] + 1), "Equivalent", "Transient", "Subtransient")</t>
  </si>
  <si>
    <t>_eF=IF(_eN[RadioButtons]=2, Round(_eN[XqDoublePrime], 3),"--")</t>
  </si>
  <si>
    <t>Secondary V</t>
  </si>
  <si>
    <t>Primary kV</t>
  </si>
  <si>
    <t>_eF=CHOOSE((_eN[SwitchCtrlMode] + 2), "None", "Voltage", "PF", "Current", "kVar")</t>
  </si>
  <si>
    <t>_eF=Round(_eN[MaxkV],2)</t>
  </si>
  <si>
    <t>Differential</t>
  </si>
  <si>
    <t>Operation Time</t>
  </si>
  <si>
    <t>_eF=IF(_eN[RelayType]=4, Round(_eN[DIFOperatingTime],3),"--")</t>
  </si>
  <si>
    <t>A10:AV10</t>
  </si>
  <si>
    <t>_eF=IF(_eN[NegseqTOC1]=1, Round(_eN[Neg51Pkup1],2),"--")</t>
  </si>
  <si>
    <t>_eF=IF(_eN[Phase50_1]=1,Round( _eN[Ph50Pkup1],2),"--")</t>
  </si>
  <si>
    <t>_eF=IF(_eN[Neutral50_1]=1, Round(_eN[Neu50Pkup1],2),"--")</t>
  </si>
  <si>
    <t>_eF=IF(_eN[Ground50_1]=1,Round( _eN[Grd50Pkup1],2),"--")</t>
  </si>
  <si>
    <t>_eF=IF(_eN[Negseq50_1]=1, Round(_eN[Neg50Pkup1],2),"--")</t>
  </si>
  <si>
    <t>_eF=IF(_eN[NeutralTOC1]=1,Round(_eN[Neu51TmDial1],3),"--")</t>
  </si>
  <si>
    <t>_eF=IF(_eN[GroundTOC1]=1, Round(_eN[Grd51TmDial1],3),"--")</t>
  </si>
  <si>
    <t>_eF=IF(_eN[SengroundTOC1]=1, Round(_eN[SenG51TmDial1],3),"--")</t>
  </si>
  <si>
    <t>_eF=IF(_eN[NegseqTOC1]=1, Round(_eN[Neg51TmDial1],3),"--")</t>
  </si>
  <si>
    <t>_eF=IF(_eN[Neutral50_1]=1, Round(_eN[Neu50TmDial1],3),"--")</t>
  </si>
  <si>
    <t>_eF=IF(_eN[Phase50_1]=1, Round(_eN[Ph50TmDial1],3),"--")</t>
  </si>
  <si>
    <t>_eF=IF(_eN[Ground50_1]=1,Round(_eN[Grd50TmDial1],3),"--")</t>
  </si>
  <si>
    <t>_eF=IF(_eN[Negseq50_1]=1, Round(_eN[Neg50TmDial1],3),"--")</t>
  </si>
  <si>
    <t>Pole</t>
  </si>
  <si>
    <t>[Poles]</t>
  </si>
  <si>
    <t>_eF=FIXED(_eN[Efficency], 1)</t>
  </si>
  <si>
    <t>X2 %</t>
  </si>
  <si>
    <t>X2/R2</t>
  </si>
  <si>
    <t>PF %</t>
  </si>
  <si>
    <t>EFF %</t>
  </si>
  <si>
    <t>Xd %</t>
  </si>
  <si>
    <t>Xq %</t>
  </si>
  <si>
    <t>Xdu %</t>
  </si>
  <si>
    <t>Xqu %</t>
  </si>
  <si>
    <t>Tdo' (Sec)</t>
  </si>
  <si>
    <t>Tdo" (Sec)</t>
  </si>
  <si>
    <t>Xd' %</t>
  </si>
  <si>
    <t>Xq' %</t>
  </si>
  <si>
    <t>XL %</t>
  </si>
  <si>
    <t>Xq" %</t>
  </si>
  <si>
    <t>_eF=Round(_eN[Damping], 1)</t>
  </si>
  <si>
    <t xml:space="preserve">In Service </t>
  </si>
  <si>
    <t>No/Phase</t>
  </si>
  <si>
    <t>OL Heater_OL Relay</t>
  </si>
  <si>
    <t>OverLoadHeater_InLineOverLoadRelay</t>
  </si>
  <si>
    <t>CheckerPageRating</t>
  </si>
  <si>
    <t>CheckerSchedulePage</t>
  </si>
  <si>
    <t>CheckerSummaryPage</t>
  </si>
  <si>
    <t>Circuits</t>
  </si>
  <si>
    <t>ConnectionPhase</t>
  </si>
  <si>
    <t>Enclosure</t>
  </si>
  <si>
    <t>EqvConnkvar</t>
  </si>
  <si>
    <t>EqvConnkW</t>
  </si>
  <si>
    <t>EqvLoadPercent0</t>
  </si>
  <si>
    <t>EqvLoadPercent1</t>
  </si>
  <si>
    <t>EqvLoadPercent2</t>
  </si>
  <si>
    <t>EqvLoadPercent3</t>
  </si>
  <si>
    <t>EqvLoadPercent4</t>
  </si>
  <si>
    <t>EqvLoadPercent5</t>
  </si>
  <si>
    <t>EqvLoadPercent6</t>
  </si>
  <si>
    <t>EqvLoadPercent7</t>
  </si>
  <si>
    <t>EqvLoadPercent8</t>
  </si>
  <si>
    <t>EqvLoadPercent9</t>
  </si>
  <si>
    <t>Feed</t>
  </si>
  <si>
    <t>IECIthr</t>
  </si>
  <si>
    <t>IECServiceBreaking</t>
  </si>
  <si>
    <t>IECTkr</t>
  </si>
  <si>
    <t>Layout</t>
  </si>
  <si>
    <t>LibModified</t>
  </si>
  <si>
    <t>LoadingCat</t>
  </si>
  <si>
    <t>Main</t>
  </si>
  <si>
    <t>Main_PD_Accessor</t>
  </si>
  <si>
    <t>Main_PD_MFR</t>
  </si>
  <si>
    <t>Main_PD_Model</t>
  </si>
  <si>
    <t>MainPDBIAC</t>
  </si>
  <si>
    <t>MainPDCurrent</t>
  </si>
  <si>
    <t>MainPDMaking</t>
  </si>
  <si>
    <t>MainPDVoltage</t>
  </si>
  <si>
    <t>MainPF_TRV_MD</t>
  </si>
  <si>
    <t>Mounting</t>
  </si>
  <si>
    <t>PhaseArrange</t>
  </si>
  <si>
    <t>PhaseOrder</t>
  </si>
  <si>
    <t>PinCount</t>
  </si>
  <si>
    <t>Schedule</t>
  </si>
  <si>
    <t>SPWireType</t>
  </si>
  <si>
    <t>ThermalMagMagTrip</t>
  </si>
  <si>
    <t>ThermalMagMagTrip_Label</t>
  </si>
  <si>
    <t>ThermalMagThermalTrip</t>
  </si>
  <si>
    <t>TPWireType</t>
  </si>
  <si>
    <t>TripDeviceMFR</t>
  </si>
  <si>
    <t>TripDeviceModel</t>
  </si>
  <si>
    <t>TripDeviceSizeID</t>
  </si>
  <si>
    <t>UserDef</t>
  </si>
  <si>
    <t>Panel</t>
  </si>
  <si>
    <t>Device30_WorksheetName</t>
  </si>
  <si>
    <t>Device30_XmlTag</t>
  </si>
  <si>
    <t>Device30_DataAddress</t>
  </si>
  <si>
    <t>PANEL</t>
  </si>
  <si>
    <t>PANEL DATA</t>
  </si>
  <si>
    <t>Branch Circuits</t>
  </si>
  <si>
    <t>_eF=IF(_eN[Standard] = 0, "ANSI", "IEC")</t>
  </si>
  <si>
    <t>_eF=IF(TRIM(_eT[CONNECT_FromElement]) = "--", _eT[FromBus], _eT[CONNECT_FromElement])</t>
  </si>
  <si>
    <t>_eF=Round(_eN[Amp],2)</t>
  </si>
  <si>
    <t xml:space="preserve"> _eF=Round(_eN[Circuits],1)</t>
  </si>
  <si>
    <t>[Enclosure]</t>
  </si>
  <si>
    <t>[Mounting]</t>
  </si>
  <si>
    <t>[Feed]</t>
  </si>
  <si>
    <t>Trip Device</t>
  </si>
  <si>
    <t>[TripDeviceMFR]</t>
  </si>
  <si>
    <t>[TripDeviceModel]</t>
  </si>
  <si>
    <t>[TripDeviceSizeID]</t>
  </si>
  <si>
    <t>1st CKT</t>
  </si>
  <si>
    <t xml:space="preserve"> </t>
  </si>
  <si>
    <t>ToElement1</t>
  </si>
  <si>
    <t>ToElement2</t>
  </si>
  <si>
    <t>Center Tap （Y/N）</t>
  </si>
  <si>
    <t>Core Type</t>
  </si>
  <si>
    <t>_eF=IF(_eN[CenterTap] = 0, "N", "Y")</t>
  </si>
  <si>
    <t>_eF=IF(TRIM(_eT[CONNECT_ToElement1]) = "","--", _eT[CONNECT_ToElement1])</t>
  </si>
  <si>
    <t>_eF=IF(_eN[Phase] = 0, "3", "1")</t>
  </si>
  <si>
    <t>_eF=IF(_eN[Phase] = 1, CHOOSE((_eN[SPWireType]+1), "2", "3"),  CHOOSE((_eN[TPWireType]+1), "3", "4"))</t>
  </si>
  <si>
    <t>_eF=CHOOSE((_eN[Phase]+1), "3", "1", "1")</t>
  </si>
  <si>
    <t>_eF=IF(_eN[Phase] = 1, CHOOSE((_eN[NumberOfWires]-1),  "2", "3"), "--")</t>
  </si>
  <si>
    <t>Wire Connection</t>
  </si>
  <si>
    <t>ToElement3</t>
  </si>
  <si>
    <t>ToElement4</t>
  </si>
  <si>
    <t>_eF=IF(TRIM(_eT[CONNECT_ToElement4]) = "", "--", _eT[CONNECT_ToElement4])</t>
  </si>
  <si>
    <t>_eF=CHOOSE((_eN[Phase]+1), "--", "2", "3")</t>
  </si>
  <si>
    <t>_eF=IF(TRIM(_eT[CONNECT_ToElement2]) = "", "", _eT[CONNECT_ToElement2])</t>
  </si>
  <si>
    <t>_eF=IF(_eN[Phase] = 0, CHOOSE((_eN[PhaseArrange]+1), "ABC", "CBA","NEC"), "")</t>
  </si>
  <si>
    <t>_eF=IF(_eN[Phase] = 0, CHOOSE((_eN[PhaseOrder]+1), "A", "B","C"), "")</t>
  </si>
  <si>
    <t>[CabSize]</t>
  </si>
  <si>
    <t>_eF=IF(_eN[RelayType]=1,"--",IF(_eN[Thermal]=1, _eT[ThermalType],"--"))</t>
  </si>
  <si>
    <t>_eF=IF(_eN[RelayType]=1,"--",IF(_eN[Thermal]=1, Round(_eN[ThermalTrip],2),"--"))</t>
  </si>
  <si>
    <t>_eF=IF(OR(_eN[RelayType]=1,_eN[RelayType]=4,_eN[RelayType]=8),"--",IF(_eN[Acceleration]=1, _eT[AccelerationType],"--"))</t>
  </si>
  <si>
    <t>_eF=IF(OR(_eN[RelayType]=1,_eN[RelayType]=4,_eN[RelayType]=8),"--",IF(_eN[Acceleration]=1, _eN[AccelerationTrip],"--"))</t>
  </si>
  <si>
    <t>_eF=IF(OR(_eN[RelayType]=1,_eN[RelayType]=4,_eN[RelayType]=8),"--",IF(_eN[Instantaneous]=1, _eN[InstantaneousTrip],"--"))</t>
  </si>
  <si>
    <t>_eF=IF(OR(_eN[RelayType]=1,_eN[RelayType]=4,_eN[RelayType]=8),"--",IF(_eN[Instantaneous]=1, Round(_eN[InstantaneousTimeDelay],3),"--"))</t>
  </si>
  <si>
    <t>_eF=IF(OR(_eN[RelayType]=1,_eN[RelayType]=4,_eN[RelayType]=8),"--",IF(_eN[Jam]=1, _eN[JamTrip],"--"))</t>
  </si>
  <si>
    <t>_eF=IF(OR(_eN[RelayType]=1,_eN[RelayType]=4,_eN[RelayType]=8),"--",IF(_eN[Jam]=1,Round( _eN[JamTimeDelay],3),"--"))</t>
  </si>
  <si>
    <t>_eF=IF(OR(_eN[RelayType]=1,_eN[RelayType]=4,_eN[RelayType]=8),"--",IF(_eN[Ground]=1, _eN[GroundTrip],"--"))</t>
  </si>
  <si>
    <t>_eF=IF(OR(_eN[RelayType]=1,_eN[RelayType]=4,_eN[RelayType]=8),"--",IF(_eN[Ground]=1, Round(_eN[GroundTimeDelay],3),"--"))</t>
  </si>
  <si>
    <t>_eF=Round(_eN[X_R], 1)</t>
  </si>
  <si>
    <t>_eF=Round(_eN[X_R0], 1)</t>
  </si>
  <si>
    <t>_eF=Round(_eN[X_R2], 1)</t>
  </si>
  <si>
    <t>_eF=CHOOSE((_eN[DynModelType] + 1), "Equivalent", "Transient", "Subtransient","None")</t>
  </si>
  <si>
    <t>Tqo" (Sec)</t>
  </si>
  <si>
    <t>Tqo' (Sec)</t>
  </si>
  <si>
    <t>_eF=IF(_eN[RadioButtons]=2, Round(_eN[TDoublePrimeQ0], 3),"--")</t>
  </si>
  <si>
    <t>A10:AN10</t>
  </si>
  <si>
    <t>_eF=IF(_eN[DynModelType]=3, "--",Round(_eN[Td0P], 1))</t>
  </si>
  <si>
    <t>_eF=IF(_eN[DynModelType]=3, "--",Round(_eN[Sbreak], 1))</t>
  </si>
  <si>
    <t>_eF=IF(_eN[DynModelType]=3, "--",Round(_eN[S100], 1))</t>
  </si>
  <si>
    <t>_eF=IF(_eN[DynModelType]=3, "--",Round(_eN[S120], 1))</t>
  </si>
  <si>
    <t>_eF=IF(_eN[DynModelType]=3, "--",Round(_eN[Damping], 1))</t>
  </si>
  <si>
    <t>_eF=Round(_eN[XdPP], 3)</t>
  </si>
  <si>
    <t>_eF=Round(_eN[X0], 3)</t>
  </si>
  <si>
    <t>_eF=Round(_eN[X2], 3)</t>
  </si>
  <si>
    <t>_eF=Round(_eN[RdcPercent], 3)</t>
  </si>
  <si>
    <t>_eF=IF(_eN[DynModelType]=3, "--", Round(_eN[Xd], 3))</t>
  </si>
  <si>
    <t>_eF=IF(_eN[DynModelType]=3, "--",Round(_eN[Xq], 3))</t>
  </si>
  <si>
    <t>_eF=IF(_eN[DynModelType]=3, "--",Round(_eN[Xdu], 3))</t>
  </si>
  <si>
    <t>_eF=IF(_eN[DynModelType]=3, "--",Round(_eN[Xqu], 3))</t>
  </si>
  <si>
    <t>_eF=IF(_eN[DynModelType]=3, "--",Round(_eN[XdP], 3))</t>
  </si>
  <si>
    <t>_eF=IF(_eN[DynModelType]=3, "--",Round(_eN[X1], 3))</t>
  </si>
  <si>
    <t>_eF=Round(_eN[Xd], 3)</t>
  </si>
  <si>
    <t>_eF=Round(_eN[Xq], 3)</t>
  </si>
  <si>
    <t>_eF=Round(_eN[Xdu], 3)</t>
  </si>
  <si>
    <t>_eF=Round(_eN[Xqu], 3)</t>
  </si>
  <si>
    <t>_eF=Round(_eN[XdPrime], 3)</t>
  </si>
  <si>
    <t>_eF=IF(_eN[RadioButtons]=0, "--", Round(_eN[XqPrime], 3))</t>
  </si>
  <si>
    <t>_eF=Round(_eN[X1], 3)</t>
  </si>
  <si>
    <t>_eF=Round(_eN[XdDoublePrime], 3)</t>
  </si>
  <si>
    <t>_eF=IF(_eN[DynModelType]=3, "--",IF(_eN[DynModelType]=2, Round(_eN[Td0PP], 3),"--"))</t>
  </si>
  <si>
    <t>_eF=IF(_eN[DynModelType]=3, "--",IF(_eN[DynModelType]=0, "--", Round(_eN[XqP], 3)))</t>
  </si>
  <si>
    <t>_eF=IF(_eN[DynModelType]=2, Round(_eN[Tq0PP], 3),"--")</t>
  </si>
  <si>
    <t>_eF=IF(_eN[DynModelType]=2, Round(_eN[XqPP], 3),"--")</t>
  </si>
  <si>
    <t>Phase Conductor Library Data</t>
  </si>
  <si>
    <t>Ground Conductor Library Data</t>
  </si>
  <si>
    <t>General Configuration</t>
  </si>
  <si>
    <t>Transposed</t>
  </si>
  <si>
    <t>Condutors/phase</t>
  </si>
  <si>
    <t>Separation
(inch)</t>
  </si>
  <si>
    <t>Conductor Source</t>
  </si>
  <si>
    <t xml:space="preserve">Conductor Type </t>
  </si>
  <si>
    <t>kcmil Code</t>
  </si>
  <si>
    <t>PhaseA Coordinates</t>
  </si>
  <si>
    <t>PhaseB Coordinates</t>
  </si>
  <si>
    <t>PhaseC Coordinates</t>
  </si>
  <si>
    <t>Ground Conductor 1</t>
  </si>
  <si>
    <t>Ground Conductor 2</t>
  </si>
  <si>
    <t>Temperature(ºC)</t>
  </si>
  <si>
    <t>A10:BD10</t>
  </si>
  <si>
    <t>_eF=IF(_eN[ConfigType]=5, Round(_eN[PhaseAX], 3),"--")</t>
  </si>
  <si>
    <t>_eF=IF(_eN[ConfigType]=5, Round(_eN[PhaseAY], 3),"--")</t>
  </si>
  <si>
    <t>_eF=IF(_eN[ConfigType]=5, Round(_eN[PhaseBX], 3),"--")</t>
  </si>
  <si>
    <t>_eF=IF(_eN[ConfigType]=5, Round(_eN[PhaseBY], 3),"--")</t>
  </si>
  <si>
    <t>_eF=IF(_eN[ConfigType]=5, Round(_eN[PhaseCX], 3),"--")</t>
  </si>
  <si>
    <t>_eF=IF(_eN[ConfigType]=5, Round(_eN[PhaseCY], 3),"--")</t>
  </si>
  <si>
    <t>[Transposed]</t>
  </si>
  <si>
    <t>[CondPerPhase]</t>
  </si>
  <si>
    <t>[LineSeparation]</t>
  </si>
  <si>
    <t>_eF=IF(_eN[GroundG1Check]=1, Round(_eN[GroundG1X], 3),"--")</t>
  </si>
  <si>
    <t>_eF=IF(_eN[GroundG1Check]=1, Round(_eN[GroundG1Y], 3),"--")</t>
  </si>
  <si>
    <t>_eF=IF(_eN[GroundG2Check]=1, Round(_eN[GroundG2X], 3),"--")</t>
  </si>
  <si>
    <t>_eF=IF(_eN[GroundG2Check]=1, Round(_eN[GroundG2Y], 3),"--")</t>
  </si>
  <si>
    <t>[XL_P_UnitSystem]</t>
  </si>
  <si>
    <t>[XL_P_Source]</t>
  </si>
  <si>
    <t>[XL_P_ConductorType]</t>
  </si>
  <si>
    <t>[XL_P_Temperature]</t>
  </si>
  <si>
    <t>[XL_G_UnitSystem]</t>
  </si>
  <si>
    <t>[XL_G_Source]</t>
  </si>
  <si>
    <t>[XL_G_ConductorType]</t>
  </si>
  <si>
    <t>[XL_G_Temperature]</t>
  </si>
  <si>
    <t>[GroundWireLibCode]</t>
  </si>
  <si>
    <t>[CondLibCode]</t>
  </si>
  <si>
    <t>[XL_P_Frequency]</t>
  </si>
  <si>
    <t>[XL_G_Frequency]</t>
  </si>
  <si>
    <t>Manufactuer</t>
  </si>
  <si>
    <t>AC or DC</t>
  </si>
  <si>
    <t>Max kV</t>
  </si>
  <si>
    <t>Speed</t>
  </si>
  <si>
    <t>Lib</t>
  </si>
  <si>
    <t>[Speed]</t>
  </si>
  <si>
    <t>_eF=IF(AND(_eN[OverloadType]=0,_eN[Acceleration]=1),_eT[AccelerationType],"--")</t>
  </si>
  <si>
    <t>Max Start Time</t>
  </si>
  <si>
    <t>_eF=IF(AND(_eN[OverloadType]=0,_eN[Instantaneous]=1),Round(_eN[InstantaneousTrip],3),"--")</t>
  </si>
  <si>
    <t>_eF=IF(AND(_eN[OverloadType]=0,_eN[Instantaneous]=1),Round(_eN[InstantaneousTimeDelay],3),"--")</t>
  </si>
  <si>
    <t>_eF=IF(AND(_eN[OverloadType]=0,_eN[Jam]=1),Round(_eN[JamTrip],3),"--")</t>
  </si>
  <si>
    <t>_eF=IF(AND(_eN[OverloadType]=0,_eN[Jam]=1),Round(_eN[JamTimeDelay],3),"--")</t>
  </si>
  <si>
    <t>_eF=IF(AND(_eN[OverloadType]=0,_eN[Ground]=1),Round(_eN[GroundTrip],3),"--")</t>
  </si>
  <si>
    <t>_eF=IF(AND(_eN[OverloadType]=0,_eN[Thermal]=0),"--", _eT[ThermalType])</t>
  </si>
  <si>
    <t>_eF=IF(AND(_eN[OverloadType]=0,_eN[Thermal]=0),"--", Round(_eN[ThermalTrip], 2))</t>
  </si>
  <si>
    <t>[LibMaxkV]</t>
  </si>
  <si>
    <t>A10:X10</t>
  </si>
  <si>
    <t>Starter</t>
  </si>
  <si>
    <t>Application</t>
  </si>
  <si>
    <t>_eF=IF(_eN[OverloadType]=1, _eT[HT_ID],"--")</t>
  </si>
  <si>
    <t>_eF=IF(_eN[OverloadType]=1, _eT[HT_Starter],"--")</t>
  </si>
  <si>
    <t>_eF=IF(_eN[OverloadType]=1, _eT[HT_App],"--")</t>
  </si>
  <si>
    <t>_eF=IF(_eN[OverloadType]=1, _eT[HT_Type],"--")</t>
  </si>
  <si>
    <t>A10:BH10</t>
  </si>
  <si>
    <t>_eF=Round(_eN[X0], 2)</t>
  </si>
  <si>
    <t>_eF=Round(_eN[X2], 2)</t>
  </si>
  <si>
    <t>X0/R</t>
  </si>
  <si>
    <t>X2/R</t>
  </si>
  <si>
    <t>_eF=Round(_eN[X2OverR], 3)</t>
  </si>
  <si>
    <t>_eF=Round(_eN[X0OverR], 3)</t>
  </si>
  <si>
    <t>NEMA Code</t>
  </si>
  <si>
    <t>A10:AP10</t>
  </si>
  <si>
    <t>_eF=Round(_eN[PosR],3)</t>
  </si>
  <si>
    <t>_eF=Round(_eN[PosX],3)</t>
  </si>
  <si>
    <t>A10:U10</t>
  </si>
  <si>
    <t>KVA_T1</t>
  </si>
  <si>
    <t>KVA_T2</t>
  </si>
  <si>
    <t>KVA_T3</t>
  </si>
  <si>
    <t>Z_T1</t>
  </si>
  <si>
    <t>X/R_T1</t>
  </si>
  <si>
    <t>Z_T2</t>
  </si>
  <si>
    <t>X/R_T2</t>
  </si>
  <si>
    <t>Z_T3</t>
  </si>
  <si>
    <t>X/R_T3</t>
  </si>
  <si>
    <t>Remarks</t>
  </si>
  <si>
    <t>Inst Dat</t>
  </si>
  <si>
    <t>Last Mnt</t>
  </si>
  <si>
    <t>Name</t>
  </si>
  <si>
    <t>Purchasing Date</t>
  </si>
  <si>
    <t>[MFRName]</t>
  </si>
  <si>
    <t>[PurchasingDate]</t>
  </si>
  <si>
    <t>[UserField2]</t>
  </si>
  <si>
    <t>[UserField3]</t>
  </si>
  <si>
    <t>_eF=Round(_eN[Z_T1], 3)</t>
  </si>
  <si>
    <t>_eF=Round(_eN[XoverR_T1], 3)</t>
  </si>
  <si>
    <t>_eF=Round(_eN[Z_T2], 3)</t>
  </si>
  <si>
    <t>_eF=Round(_eN[Z_T3], 3)</t>
  </si>
  <si>
    <t>_eF=Round(_eN[XoverR_T2], 3)</t>
  </si>
  <si>
    <t>_eF=Round(_eN[XoverR_T3], 3)</t>
  </si>
  <si>
    <t>A10:BP10</t>
  </si>
  <si>
    <t>_eF=IF(_eN[PrimCheckBox]=1, _eT[PrimaryRegBusIID], "--")</t>
  </si>
  <si>
    <t>_eF=IF(_eN[SecCheckBox]=1, _eT[SecondaryRegBusIID], "--")</t>
  </si>
  <si>
    <t>Control Bus IID</t>
  </si>
  <si>
    <t>[CA_TemperatureCode]</t>
  </si>
  <si>
    <t>A10:AM10</t>
  </si>
  <si>
    <t>VOLTAGE REGULATOR DATA</t>
  </si>
  <si>
    <t>UseElementColor</t>
  </si>
  <si>
    <t>_SecFLA</t>
  </si>
  <si>
    <t>AnsiMaxMVA</t>
  </si>
  <si>
    <t>AnsiMVA</t>
  </si>
  <si>
    <t>AutoTap1</t>
  </si>
  <si>
    <t>AutoTap2</t>
  </si>
  <si>
    <t>AutoTap3</t>
  </si>
  <si>
    <t>BusConnection</t>
  </si>
  <si>
    <t>ConnectionButton</t>
  </si>
  <si>
    <t>ControlDirection</t>
  </si>
  <si>
    <t>ControlType</t>
  </si>
  <si>
    <t>CTPrimaryAmp</t>
  </si>
  <si>
    <t>CTSecondaryAmp</t>
  </si>
  <si>
    <t>ForwardBaseDelay</t>
  </si>
  <si>
    <t>ForwardControlBranchGID</t>
  </si>
  <si>
    <t>ForwardControlBranchIID</t>
  </si>
  <si>
    <t>ForwardControlBusGID</t>
  </si>
  <si>
    <t>ForwardControlBusIID</t>
  </si>
  <si>
    <t>ForwardControlOpt</t>
  </si>
  <si>
    <t>ForwardInitialDelay</t>
  </si>
  <si>
    <t>ForwardInverseMultiple</t>
  </si>
  <si>
    <t>ForwardInverseOperatingDelay</t>
  </si>
  <si>
    <t>ForwardInversePercentTD</t>
  </si>
  <si>
    <t>ForwardLineDropOhmsR</t>
  </si>
  <si>
    <t>ForwardLineDropOhmsX</t>
  </si>
  <si>
    <t>ForwardOperatingDelay</t>
  </si>
  <si>
    <t>ForwardTimeDelayOpt</t>
  </si>
  <si>
    <t>ForwardVCenterPercent</t>
  </si>
  <si>
    <t>ForwardVLowerPercent</t>
  </si>
  <si>
    <t>ForwardVUpperPercent</t>
  </si>
  <si>
    <t>GangOperated</t>
  </si>
  <si>
    <t>KFactor</t>
  </si>
  <si>
    <t>MaximumTapPercent</t>
  </si>
  <si>
    <t>MinimumTapPercent</t>
  </si>
  <si>
    <t>NeedsToBeVerifiedCommentPage</t>
  </si>
  <si>
    <t>NeedsToBeVerifiedHarmonicPage</t>
  </si>
  <si>
    <t>NeedsToBeVerifiedImpedancePage</t>
  </si>
  <si>
    <t>NeedsToBeVerifiedInfoPage</t>
  </si>
  <si>
    <t>NeedsToBeVerifiedRatingPage</t>
  </si>
  <si>
    <t>NeedsToBeVerifiedRegulationPage</t>
  </si>
  <si>
    <t>NeedsToBeVerifiedReliabilityPage</t>
  </si>
  <si>
    <t>NeedsToBeVerifiedRemarksPage</t>
  </si>
  <si>
    <t>NeedsToBeVerifiedTapPage</t>
  </si>
  <si>
    <t>NegTapSetting</t>
  </si>
  <si>
    <t>OperatingTap1</t>
  </si>
  <si>
    <t>OperatingTap2</t>
  </si>
  <si>
    <t>OperatingTap3</t>
  </si>
  <si>
    <t>PercentR</t>
  </si>
  <si>
    <t>PercentX</t>
  </si>
  <si>
    <t>PercentZ</t>
  </si>
  <si>
    <t>PercentZNeg</t>
  </si>
  <si>
    <t>PercentZNegVariation</t>
  </si>
  <si>
    <t>PercentZPos</t>
  </si>
  <si>
    <t>PercentZPosVariation</t>
  </si>
  <si>
    <t>PosTapSetting</t>
  </si>
  <si>
    <t>PrimFLA</t>
  </si>
  <si>
    <t>PTPrimarykV</t>
  </si>
  <si>
    <t>PTSecondadyV</t>
  </si>
  <si>
    <t>RatedKV</t>
  </si>
  <si>
    <t>Regulator</t>
  </si>
  <si>
    <t>ReverseBaseDelay</t>
  </si>
  <si>
    <t>ReverseControlBranchGID</t>
  </si>
  <si>
    <t>ReverseControlBranchIID</t>
  </si>
  <si>
    <t>ReverseControlBusGID</t>
  </si>
  <si>
    <t>ReverseControlBusIID</t>
  </si>
  <si>
    <t>ReverseControlOpt</t>
  </si>
  <si>
    <t>ReverseInitialDelay</t>
  </si>
  <si>
    <t>ReverseInverseMultiple</t>
  </si>
  <si>
    <t>ReverseInverseOperatingDelay</t>
  </si>
  <si>
    <t>ReverseInversePercentTD</t>
  </si>
  <si>
    <t>ReverseLineDropOhmsR</t>
  </si>
  <si>
    <t>ReverseLineDropOhmsX</t>
  </si>
  <si>
    <t>ReverseOperatingDelay</t>
  </si>
  <si>
    <t>ReverseTimeDelayOpt</t>
  </si>
  <si>
    <t>ReverseVCenterPercent</t>
  </si>
  <si>
    <t>ReverseVLowerPercent</t>
  </si>
  <si>
    <t>ReverseVUpperPercent</t>
  </si>
  <si>
    <t>RoverX</t>
  </si>
  <si>
    <t>StepTapPercent</t>
  </si>
  <si>
    <t>SubstationID</t>
  </si>
  <si>
    <t>TapRangeUnit</t>
  </si>
  <si>
    <t>Temperature1</t>
  </si>
  <si>
    <t>Temperature2</t>
  </si>
  <si>
    <t>TypeA</t>
  </si>
  <si>
    <t>UseImpedanceInCalculation</t>
  </si>
  <si>
    <t>UserDefinedAlert</t>
  </si>
  <si>
    <t>UseTypicalZXR</t>
  </si>
  <si>
    <t>XFMRClass</t>
  </si>
  <si>
    <t>xfmrStd</t>
  </si>
  <si>
    <t>XFMRSubType</t>
  </si>
  <si>
    <t>XFMRType</t>
  </si>
  <si>
    <t>XoverR</t>
  </si>
  <si>
    <t>AltitudeOPER</t>
  </si>
  <si>
    <t>AmbientTempOPER</t>
  </si>
  <si>
    <t>Class1MVA</t>
  </si>
  <si>
    <t>Class2MVA</t>
  </si>
  <si>
    <t>ClassName</t>
  </si>
  <si>
    <t>DataFromLib</t>
  </si>
  <si>
    <t>DeratedSelection</t>
  </si>
  <si>
    <t>ITotalPercent</t>
  </si>
  <si>
    <t>ManufacturerName</t>
  </si>
  <si>
    <t>PhaseShiftHL</t>
  </si>
  <si>
    <t>TypeName</t>
  </si>
  <si>
    <t>VoltRegSubType</t>
  </si>
  <si>
    <t>VoltRegType</t>
  </si>
  <si>
    <t>SpecialID</t>
  </si>
  <si>
    <t>MomentaryRate</t>
  </si>
  <si>
    <t>VoltageRegulator</t>
  </si>
  <si>
    <t>Secondary Branch ID</t>
  </si>
  <si>
    <t>_eF=IF(TRIM( _eT[CONNECT_FromElement]) = "", "", _eT[CONNECT_FromElement])</t>
  </si>
  <si>
    <t>_eF=IF(TRIM( _eT[CONNECT_ToElement1]) = "","",_eT[CONNECT_ToElement1])</t>
  </si>
  <si>
    <t>_eF=IF(_eN[xfmrStd] = 0, "ANSI", "IEC")</t>
  </si>
  <si>
    <t>_eF=IF(_eN[TypeA] = 0, "TypeA", "TypeB")</t>
  </si>
  <si>
    <t>Max MVA</t>
  </si>
  <si>
    <t>Rated Power</t>
  </si>
  <si>
    <t>Rated Power Unit</t>
  </si>
  <si>
    <t>Include Impedance</t>
  </si>
  <si>
    <t>%Z</t>
  </si>
  <si>
    <t>[PercentZ]</t>
  </si>
  <si>
    <t>[XoverR]</t>
  </si>
  <si>
    <t>[UseImpedanceInCalculation]</t>
  </si>
  <si>
    <t>_eF=CHOOSE((_eN[MVAButton] + 1), "MVA", "KVA", "VA")</t>
  </si>
  <si>
    <t>_eF=CHOOSE((_eN[MVAButton] + 1), _eN[AnsiMVA]/1000, _eN[AnsiMVA] , _eN[AnsiMVA] * 1000)</t>
  </si>
  <si>
    <t>Voltage Regulator</t>
  </si>
  <si>
    <t>_eF=IF(_eN[ElectricalStandard] = 0,_eT[ansiMFR],_eT[iecMFR])</t>
  </si>
  <si>
    <t>_eF=IF(_eN[ElectricalStandard] = 0,_eT[ansiTypeClass],_eT[iecTypeClass])</t>
  </si>
  <si>
    <t>_eF=IF(_eN[ElectricalStandard] = 0, Round(_eN[Contin], 1), "")</t>
  </si>
  <si>
    <t>_eF=IF(_eN[ElectricalStandard] = 0,Round(_eN[MaxkV], 3),"")</t>
  </si>
  <si>
    <t>_eF=IF(_eN[ElectricalStandard] = 0,Round(_eN[Interrupting], 1),"")</t>
  </si>
  <si>
    <t>_eF=IF(_eN[ElectricalStandard] = 0,Round(_eN[MaxInterrupting], 1),"")</t>
  </si>
  <si>
    <t>_eF=IF(_eN[ElectricalStandard] = 0,Round(_eN[CloseLatch], 1),"")</t>
  </si>
  <si>
    <t>_eF=IF(_eN[ElectricalStandard] = 0,Round(_eN[CloseLatchCrest], 1),"")</t>
  </si>
  <si>
    <t>_eF=IF(_eN[ElectricalStandard] = 0,CHOOSE(_eN[Cycles] + 1, 3,5,8,2),"")</t>
  </si>
  <si>
    <t>_eF=IF(_eN[ElectricalStandard] = 0,_eT[ContactPartingT],"")</t>
  </si>
  <si>
    <t>_eF=IF(_eN[ElectricalStandard] = 1,Round(_eN[Normal], 1),"")</t>
  </si>
  <si>
    <t>_eF=IF(_eN[ElectricalStandard] = 1,Round(_eN[Rated], 3),"")</t>
  </si>
  <si>
    <t>_eF=IF(_eN[ElectricalStandard] = 1,Round(_eN[ACBreaking], 1),"")</t>
  </si>
  <si>
    <t>_eF=IF(_eN[ElectricalStandard] = 1,Round(_eN[Making], 1),"")</t>
  </si>
  <si>
    <t>_eF=IF(_eN[ElectricalStandard] = 1,Round(_eN[TimeDelay], 3),"")</t>
  </si>
  <si>
    <t>_eF=IF(_eN[ElectricalStandard] = 1,Round(_eN[Ithr], 1),"")</t>
  </si>
  <si>
    <t>_eF=IF(_eN[ElectricalStandard] = 1,Round(_eN[Tkr], 1),"")</t>
  </si>
  <si>
    <t>A10:AI10</t>
  </si>
  <si>
    <t>_eF=IF(_eN[ElectricalStandard] = 0,IF(_eN[Test] = 0, "Total", "Symmetrical"),"")</t>
  </si>
  <si>
    <t>Device Type</t>
  </si>
  <si>
    <t>Coil ID</t>
  </si>
  <si>
    <t>Coil</t>
  </si>
  <si>
    <t>[RE_Standard]</t>
  </si>
  <si>
    <t>[RE_MFR]</t>
  </si>
  <si>
    <t>[RE_Type]</t>
  </si>
  <si>
    <t>[RE_Model]</t>
  </si>
  <si>
    <t>_eF=IF(_eT[RE_Type]= "Recloser - Hydraulic",_eT[RE_Coil], "")</t>
  </si>
  <si>
    <t>_eF=IF(_eT[RE_Type]= "Recloser - Hydraulic",_eT[RE_CoilID], "")</t>
  </si>
  <si>
    <t>Controller Type</t>
  </si>
  <si>
    <t>_eF=IF(_eT[RE_Type]= "Recloser - Hydraulic","",_eT[ControllerType])</t>
  </si>
  <si>
    <t>_eF=IF(_eT[RE_Type]= "Recloser - Hydraulic","",_eT[PhaseCurveType1])</t>
  </si>
  <si>
    <t>[RE_Rating]</t>
  </si>
  <si>
    <t>_eF=IF(_eT[RE_Type]= "Recloser - Hydraulic","",_eT[RE_ControlType])</t>
  </si>
  <si>
    <t>Device31_WorksheetName</t>
  </si>
  <si>
    <t>Device31_XmlTag</t>
  </si>
  <si>
    <t>Device31_DataAddress</t>
  </si>
  <si>
    <t xml:space="preserve">% Loading 1 </t>
  </si>
  <si>
    <t>_eF=Round(_eN[LengthValue], 7)</t>
  </si>
  <si>
    <t>% Loading 1</t>
  </si>
  <si>
    <t>_eF=FIXED(_eN[PercentLoad1],1)</t>
  </si>
  <si>
    <t>Control Manufacturer</t>
  </si>
  <si>
    <t>Control Model</t>
  </si>
  <si>
    <t>A10:AA10</t>
  </si>
  <si>
    <t>_eF=Round(CHOOSE((_eN[MVAButton] + 1), _eN[MVA] / 1000, _eN[MVA], _eN[MVA] * 1000),3)</t>
  </si>
  <si>
    <t>%X</t>
  </si>
  <si>
    <t>[PercentX]</t>
  </si>
  <si>
    <t>Tap</t>
  </si>
  <si>
    <t>CT</t>
  </si>
  <si>
    <t>Sec. V</t>
  </si>
  <si>
    <t>Pri. Kv</t>
  </si>
  <si>
    <t>Pri. A</t>
  </si>
  <si>
    <t>Sec. A</t>
  </si>
  <si>
    <t>[PTPrimarykV]</t>
  </si>
  <si>
    <t>[PTSecondadyV]</t>
  </si>
  <si>
    <t>[CTPrimaryAmp]</t>
  </si>
  <si>
    <t>[CTSecondaryAmp]</t>
  </si>
  <si>
    <t>A10:V10</t>
  </si>
  <si>
    <t>_eF=IF(_eN[Phase]=0,IF(_eN[DeltaY] = 0, "Y",  "Δ"),"")</t>
  </si>
  <si>
    <t>_eF=IF(_eN[Phase]=0,IF(_eN[DeltaY]=1, "--", CHOOSE((_eN[GroundingType] + 1), "Open", "Solid", "Resistor", "Reactor")),"")</t>
  </si>
  <si>
    <t>_eF=CHOOSE((_eN[MVAButton] + 1), "MVA", "kVA", "VA")</t>
  </si>
  <si>
    <t>_eF=CHOOSE((_eN[MVAButton] + 1), _eN[AnsiMVA] / 1000,_eN[AnsiMVA], _eN[AnsiMVA] * 1000)</t>
  </si>
  <si>
    <r>
      <t>_eF=IF(_eN[Phase] = 0, IF(_eN[PrimConnectionButton]=0, "Y", "</t>
    </r>
    <r>
      <rPr>
        <sz val="10"/>
        <rFont val="Calibri"/>
        <family val="2"/>
      </rPr>
      <t>Δ</t>
    </r>
    <r>
      <rPr>
        <sz val="10"/>
        <rFont val="Arial"/>
        <family val="2"/>
      </rPr>
      <t>"),"--")</t>
    </r>
  </si>
  <si>
    <t>_eF=IF(_eN[Phase] = 0, CHOOSE((_eN[CoreType]+1), "Shell", "3 Limb","4 Limb","5 Limb","3 1-Phase"), IF(_eN[CenterTap] = 1,CHOOSE((_eN[CoreType]+1), "Shell", "Core"),"--"))</t>
  </si>
  <si>
    <t>_eF=IF(_eN[CoreType] = 4,CHOOSE((_eN[MVAButton] + 1), _eN[ZBaseMVA_T1] / 1000,_eN[ZBaseMVA_T1], _eN[ZBaseMVA_T1] * 1000),"--")</t>
  </si>
  <si>
    <t>_eF=IF(_eN[CoreType] = 4,CHOOSE((_eN[MVAButton] + 1), _eN[ZBaseMVA_T2] / 1000,_eN[ZBaseMVA_T2], _eN[ZBaseMVA_T2] * 1000),"--")</t>
  </si>
  <si>
    <t>_eF=IF(_eN[CoreType] = 4,CHOOSE((_eN[MVAButton] + 1), _eN[ZBaseMVA_T3] / 1000,_eN[ZBaseMVA_T3], _eN[ZBaseMVA_T3] * 1000),"--")</t>
  </si>
  <si>
    <t>_eF=IF(_eN[InrushType]=2,Round(_eN[InrushTimeConstant], 1),Round(_eN[InrushDuration], 1))</t>
  </si>
  <si>
    <r>
      <t>_eF=IF(_eN[Phase] = 0, IF(_eN[SecConnectionButton]=0,  "Y", "</t>
    </r>
    <r>
      <rPr>
        <sz val="10"/>
        <rFont val="Calibri"/>
        <family val="2"/>
      </rPr>
      <t>Δ"</t>
    </r>
    <r>
      <rPr>
        <sz val="10"/>
        <rFont val="Arial"/>
        <family val="2"/>
      </rPr>
      <t>),IF(_eN[Grounded]=0,  "Ungrounded", "Grounded"))</t>
    </r>
  </si>
  <si>
    <t>_eF=IF(_eN[Phase] = 0,IF(_eN[SecConnectionButton]=1, "--", CHOOSE((_eN[SecGroundingType] + 1), "Open", "Solid", "Resistor", "Reactor", "Xfmr-Resistor", "Xfmr-Reactor"))," ")</t>
  </si>
  <si>
    <t>_eF=CHOOSE((_eN[kVAButton] + 1), _eN[PrimkVA] / 1000,_eN[PrimkVA], _eN[PrimkVA] * 1000)</t>
  </si>
  <si>
    <t>_eF=CHOOSE((_eN[kVAButton] + 1), "MVA", "kVA", "VA")</t>
  </si>
  <si>
    <t>_eF=CHOOSE((_eN[kVAButton] + 1), _eN[SeckVA] / 1000,_eN[SeckVA], _eN[SeckVA] * 1000)</t>
  </si>
  <si>
    <t>_eF=CHOOSE((_eN[kVAButton] + 1), _eN[TerkVA] / 1000,_eN[TerkVA], _eN[TerkVA] * 1000)</t>
  </si>
  <si>
    <t>_eF=IF(_eN[Phase] = 0,Round(_eN[RZeroValue], 3),"--")</t>
  </si>
  <si>
    <t>_eF=IF(_eN[Phase] = 0,Round(_eN[XZeroValue], 3),"--")</t>
  </si>
  <si>
    <t>_eF=IF(_eN[Phase] = 0,Round(_eN[YZeroValue], 5),"--")</t>
  </si>
  <si>
    <t>_eF=IF(_eN[ImpedanceUnits] = 0,[OhmsPerLengthValue],"--")</t>
  </si>
  <si>
    <t>_eF=IF(_eN[ImpedanceUnits] = 0,CHOOSE((_eN[OhmsPerLengthUnit] + 1), "ft", "mile", "m", "km"),"--")</t>
  </si>
  <si>
    <t>_eF=IF(AND(_eN[GroundingType]=2,_eN[GroundingType]=3), Round(_eN[GroundingAmp], 1),"--")</t>
  </si>
  <si>
    <t>_eF=IF(OR(_eN[DeltaY]=1,_eN[Phase] = 1),"--", CHOOSE((_eN[GroundingType] + 1), "Open", "Solid", "Resistor", "Reactor"))</t>
  </si>
  <si>
    <t>_eF=IF(_eN[Phase] = 0, IF(_eN[DeltaY] = 0, "Y", "Δ"),"--")</t>
  </si>
  <si>
    <t>_eF=IF(_eN[DesignStandard]=1, _eT[NemaCode], "--")</t>
  </si>
  <si>
    <t>_eF=IF(_eN[UnitSystem] = 0,Round(_eN[PerLength], 0),"--")</t>
  </si>
  <si>
    <t>_eF=IF(_eN[UnitSystem] = 0,CHOOSE((_eN[PerLengthUnit] + 1), "ft", "mile", "m", "km"),"--")</t>
  </si>
  <si>
    <t>_eF=IF(_eN[Phase] = 0, IF(_eN[GroundingConnection]=0,  "Y", "Δ"),IF(_eN[SingleGrounded]=0,  "Ungrounded", "Grounded"))</t>
  </si>
  <si>
    <t>_eF=IF(OR(_eN[GroundingConnection] = 0,_eN[Phase] = 1),CHOOSE((_eN[MVAButton] + 1), "MVAsc", "KVAsc", "VAsc"),"--")</t>
  </si>
  <si>
    <t>_eF=IF(OR(_eN[GroundingConnection] = 0,_eN[Phase] = 1),Round(_eN[OnePhaseXoverR], 1),"--")</t>
  </si>
  <si>
    <t>_eF=IF(_eN[Phase] = 0,Round(CHOOSE((_eN[MVAButton] + 1), _eN[ThreePhase] / 1000, _eN[ThreePhase], _eN[ThreePhase] * 1000),3),"--")</t>
  </si>
  <si>
    <t>_eF=IF(_eN[Phase] = 0,CHOOSE((_eN[MVAButton] + 1), "MVAsc", "KVAsc", "VAsc"),"--")</t>
  </si>
  <si>
    <t>_eF=IF(_eN[Phase] = 0,Round(_eN[ThreePhaseXoverR], 1),"--")</t>
  </si>
  <si>
    <t>_eF=IF(OR(_eN[GroundingConnection] = 1,_eN[Phase]=1),"--",Round(_eN[ZeroX],3))</t>
  </si>
  <si>
    <t>_eF=IF(OR(_eN[GroundingConnection] = 1,_eN[Phase]=1),"--",Round(_eN[ZeroR],3))</t>
  </si>
  <si>
    <t>_eF=IF(_eN[ElectricalStandard] = 0,Round(_eN[ansiCurrent], 1),"")</t>
  </si>
  <si>
    <t>_eF=IF(_eN[ElectricalStandard] = 0,Round(_eN[ansiVoltage], 3),"")</t>
  </si>
  <si>
    <t>_eF=IF(_eN[ElectricalStandard] = 0,Round(_eN[ansiTestPF], 1),"")</t>
  </si>
  <si>
    <t>_eF=IF(_eN[ElectricalStandard] = 0,Round(_eN[ansiInterrupting], 1),"")</t>
  </si>
  <si>
    <t>_eF=IF(_eN[ElectricalStandard] = 1,Round(_eN[iecCurrent], 1),"")</t>
  </si>
  <si>
    <t>_eF=IF(_eN[ElectricalStandard] = 1,Round(_eN[iecVoltage], 3),"")</t>
  </si>
  <si>
    <t>_eF=IF(_eN[ElectricalStandard] = 1,Round(_eN[iecMaking], 1),"")</t>
  </si>
  <si>
    <t>_eF=IF(_eN[ElectricalStandard] = 1,Round(_eN[iecServiceBreaking], 1),"")</t>
  </si>
  <si>
    <t>_eF=IF(_eN[ElectricalStandard] = 1,Round(_eN[iecTimeDelay], 2),"")</t>
  </si>
  <si>
    <t>_eF=IF(_eN[ElectricalStandard] = 1,Round(_eN[iecBreaking], 1),"")</t>
  </si>
  <si>
    <t>_eF=IF(_eN[ElectricalStandard] = 0,Round(_eN[Continuous], 1),"")</t>
  </si>
  <si>
    <t>_eF=IF(_eN[ElectricalStandard] = 0,Round(_eN[TestPF], 1),"")</t>
  </si>
  <si>
    <t>_eF=IF(_eN[ElectricalStandard] = 1,Round(_eN[IECCurrent], 1),"")</t>
  </si>
  <si>
    <t>_eF=IF(_eN[ElectricalStandard] = 1,Round(_eN[Breaking], 1),"")</t>
  </si>
  <si>
    <t>_eF=IF(_eN[ElectricalStandard] = 1,Round(_eN[TRV], 1),"")</t>
  </si>
  <si>
    <t>A10:L10</t>
  </si>
  <si>
    <t>_eF=IF(_eN[HP_KW] = 0, "HP", "kW")</t>
  </si>
  <si>
    <t>_eF=IF(_eT[PdeStatus] ="Throttle","", FIXED(_eN[I_LR], 1))</t>
  </si>
  <si>
    <t>_eF=IF(_eT[PdeStatus] ="Throttle","", FIXED(_eN[PF_LR], 1))</t>
  </si>
  <si>
    <t>_eF=IF(_eT[PdeStatus] ="Throttle","",FIXED(_eN[StartTime], 1))</t>
  </si>
  <si>
    <t>_eF=IF(_eT[PdeStatus] ="Throttle","",FIXED(_eN[I_NL], 1))</t>
  </si>
  <si>
    <t>_eF=IF(_eT[PdeStatus] ="Throttle","",FIXED(_eN[PF_NL], 1))</t>
  </si>
  <si>
    <t>_eF=IF(_eT[PdeStatus] ="Throttle","",FIXED(_eN[FSTime], 1))</t>
  </si>
  <si>
    <t>_eF=IF(_eT[PdeStatus] ="Throttle","",FIXED(_eN[NormalTime], 1))</t>
  </si>
  <si>
    <t>_eF=IF(_eT[PdeStatus] ="Throttle","",FIXED(_eN[I_RatedT], 1))</t>
  </si>
  <si>
    <t>_eF=IF(_eT[PdeStatus] ="Throttle","",FIXED(_eN[PF_RatedT], 1))</t>
  </si>
  <si>
    <t>_eF=IF(_eT[PdeStatus] ="Throttle","",FIXED(_eN[SeatTime], 1))</t>
  </si>
  <si>
    <t>A10:AB10</t>
  </si>
  <si>
    <t>_eF=IF(AND(_eN[OverloadType]=0,_eN[Acceleration]=1),Round(_eN[AccelerationTrip],3),"--")</t>
  </si>
  <si>
    <t>_eF=IF(AND(_eN[OverloadType]=0,_eN[Acceleration]=1,_eN[AcclTimeDial]&lt;&gt;0),Round(_eN[AcclTimeDial],3),"--")</t>
  </si>
  <si>
    <t>_eF=IF(AND(_eN[OverloadType]=0,_eN[Ground]=1),Round(_eN[GroundTimeDelay],3),"--")</t>
  </si>
  <si>
    <t>_eF=IF(_eN[Phase] = 0,CHOOSE((_eN[GroundingConnection] + 1), "Y", "Y Grounded", "Δ"),"")</t>
  </si>
  <si>
    <t>Primary A</t>
  </si>
  <si>
    <t>Secondary A</t>
  </si>
  <si>
    <t>[F_ACDC]</t>
  </si>
  <si>
    <t>_eF=IF(_eN[Phase] = 0,CHOOSE((_eN[GroundingConnection] + 1), "Y", "Y Grounded", "Δ"),"--")</t>
  </si>
  <si>
    <t>_eF=IF(_eN[ElectricalStandard] = 1,CHOOSE(_eN[FPCFactor] + 1, 1.3,1.5),"")</t>
  </si>
  <si>
    <t>_eF=IF(_eN[Phase] = 0,Round(_eN[ZZero], 1),"--")</t>
  </si>
  <si>
    <t>_eF=IF(_eN[Phase] = 0,Round(_eN[XRZero], 1),"--")</t>
  </si>
  <si>
    <t>_eF=IF(_eN[Phase] = 0,Round(_eN[RZero], 1),"--")</t>
  </si>
  <si>
    <t>_eF=IF(_eN[Phase] = 0,Round(_eN[XZero], 1),"--")</t>
  </si>
  <si>
    <t>_eF=IF(_eN[Phase] = 0,Round(_eN[YZero], 1),"--")</t>
  </si>
  <si>
    <t xml:space="preserve">
_eF=IF(_eN[Phase] = 0,CHOOSE((_eN[DeltaY] + 1), "Y",  "Δ"),"--")</t>
  </si>
  <si>
    <t>_eF=IF(_eN[Phase] = 1,Round(CHOOSE((_eN[MVAButton] + 1), _eN[ThreePhase] / 1000, _eN[ThreePhase], _eN[ThreePhase] * 1000),3),IF(AND(_eN[GroundingConnection] = 0,_eN[Phase] = 0),Round(CHOOSE((_eN[MVAButton] + 1), _eN[OnePhase] / 1000, _eN[OnePhase], _eN[OnePhase] * 1000),3),"--"))</t>
  </si>
  <si>
    <t>_eF=IF(OR(_eN[RadioButtons]=0, _eN[MachineType]=1),"--", Round(_eN[TPrimeQ0], 1))</t>
  </si>
  <si>
    <t>_eF=IF(_eT[RE_Type]= "Recloser - Hydraulic",Round(_eN[PhaseTripAmps1],0),Round(_eN[PhaseAltTrip1],0))</t>
  </si>
  <si>
    <t>_eF=IF(_eT[RE_Type]= "Recloser - Hydraulic",_eT[RE_Model],_eT[ControllerModel])</t>
  </si>
  <si>
    <t>_eF=IF(_eT[RE_Type]= "Recloser - Hydraulic",_eT[RE_MFR],_eT[ControllerMFR])</t>
  </si>
  <si>
    <t>INVERTER DATA</t>
  </si>
  <si>
    <t>SC</t>
  </si>
  <si>
    <t>DC Bus</t>
  </si>
  <si>
    <t>AC Bus</t>
  </si>
  <si>
    <t>Equipment Name</t>
  </si>
  <si>
    <t>Operation Mode</t>
  </si>
  <si>
    <t>Output Connection</t>
  </si>
  <si>
    <t>DC</t>
  </si>
  <si>
    <t>AC</t>
  </si>
  <si>
    <t>Auto Trip</t>
  </si>
  <si>
    <t>Trip Time</t>
  </si>
  <si>
    <t>%V shut-off</t>
  </si>
  <si>
    <t>Ctrl Adjust. Angle</t>
  </si>
  <si>
    <t>%Vmax</t>
  </si>
  <si>
    <t>%Vmin</t>
  </si>
  <si>
    <t>%Imax</t>
  </si>
  <si>
    <t>%Imin</t>
  </si>
  <si>
    <t>PF Option</t>
  </si>
  <si>
    <t>UD PF</t>
  </si>
  <si>
    <t>I(1)sk1PF</t>
  </si>
  <si>
    <t>I(1)sk2PF</t>
  </si>
  <si>
    <t>IkPFmax</t>
  </si>
  <si>
    <t>IkPFmin</t>
  </si>
  <si>
    <t>[EquipmentName]</t>
  </si>
  <si>
    <t>[ACOperationMode]</t>
  </si>
  <si>
    <t>_eF=Round(_eN[DcV], 3)</t>
  </si>
  <si>
    <t>_eF=Round(_eN[DcVMax], 3)</t>
  </si>
  <si>
    <t>_eF=Round(_eN[DcVMin], 3)</t>
  </si>
  <si>
    <t>_eF=Round(_eN[PF], 1)</t>
  </si>
  <si>
    <t>[DcSCK]</t>
  </si>
  <si>
    <t>Inverter</t>
  </si>
  <si>
    <t>INVERTER</t>
  </si>
  <si>
    <t>Device32_WorksheetName</t>
  </si>
  <si>
    <t>Device32_XmlTag</t>
  </si>
  <si>
    <t>Device32_DataAddress</t>
  </si>
  <si>
    <t>_eF=IF(TRIM(_eT[CONNECT_FromElement]) = "--", _eT[CZNetwork], _eT[CONNECT_FromElement])</t>
  </si>
  <si>
    <t>_eF=IF(_eT[CZNetwork] = "", "--", _eT[CZNetwork])</t>
  </si>
  <si>
    <t>_eF=IF(_eT[BusID] = "", "--", _eT[BusID])</t>
  </si>
  <si>
    <t>_eF=IF(_eN[Phase] = 0, "3 Phase", "1 Phase")</t>
  </si>
  <si>
    <t>_eF=IF(_eN[AcGrounded] = 1, "Grounded", "Not Grounded")</t>
  </si>
  <si>
    <t>Power Rating</t>
  </si>
  <si>
    <t>_eF=CHOOSE((_eN[DckWButton] + 1), "MW", "KW", "W")</t>
  </si>
  <si>
    <t>_eF=Round(CHOOSE((_eN[DckWButton] + 1), _eN[DckW] / 1000, _eN[DckW], _eN[DckW] * 1000),3)</t>
  </si>
  <si>
    <t>_eF=Round(CHOOSE((_eN[DckWButton] + 1), _eN[KVA] / 1000, _eN[KVA], _eN[KVA] * 1000),3)</t>
  </si>
  <si>
    <t>_eF=CHOOSE((_eN[DckWButton] + 1), "MVA", "KVA", "VA")</t>
  </si>
  <si>
    <t>DCConnElement</t>
  </si>
  <si>
    <t>ACConnElement</t>
  </si>
  <si>
    <t>_eF=IF(TRIM(_eT[CONNECT_ToElement1]) = "--", _eT[BusID], _eT[CONNECT_ToElement1])</t>
  </si>
  <si>
    <t>_eF=IF(_eN[Phase] = 0, Round(_eN[Imin], 0), "--")</t>
  </si>
  <si>
    <t>_eF=IF(_eN[Phase] = 0, IF(_eN[PowerFactorOpt] = 2, [ScPF], "--"), "--")</t>
  </si>
  <si>
    <t>_eF=IF(_eN[Phase] = 0, [Isk1PF], "--")</t>
  </si>
  <si>
    <t>_eF=IF(_eN[Phase] = 0, [Isk2PF], "--")</t>
  </si>
  <si>
    <t>_eF=IF(_eN[Phase] = 0, [IkPFMax], "--")</t>
  </si>
  <si>
    <t>_eF=IF(_eN[Phase] = 0, [IkPFMin], "--")</t>
  </si>
  <si>
    <t>_eF=IF(_eN[Phase] = 0, IF(_eN[AutoTrip] = 0, "No", "Yes"), "--")</t>
  </si>
  <si>
    <t>_eF=IF(_eN[Phase] = 0, IF(_eN[AutoTrip] = 1, Round(_eN[AutoTripTime], 4), "--"), "--")</t>
  </si>
  <si>
    <t>_eF=IF(_eN[Phase] = 0, IF(_eN[AutoTrip] = 1, Round(_eN[VShutOff], 1), "--"), "--")</t>
  </si>
  <si>
    <t>_eF=IF(_eN[Phase] = 0, Round(_eN[CtrlAdjAngle], 1), "--")</t>
  </si>
  <si>
    <t>_eF=IF(_eN[Phase] = 0, CHOOSE((_eN[PowerFactorOpt] + 1), "Reactive Current Priority", "Real Power Priority", "User-Defined"), "--")</t>
  </si>
  <si>
    <t>_eF=Round(_eN[PanelRatedkV],2)</t>
  </si>
  <si>
    <t>Max Transformer Rating (kVA)</t>
  </si>
  <si>
    <t>_eF= _eN[AnsiMaxMVA]</t>
  </si>
  <si>
    <t>_eF=IF(_eN[XFMRStandard] = 1, "--",  CHOOSE((_eN[FaultFrequency] + 1), "Infrequent","Frequent","Both"))</t>
  </si>
  <si>
    <t>_eF=Round(10000*_eN[XOverR]/(_eN[LRC]*sqrt(1+(_eN[XOverR])^2)),3)</t>
  </si>
  <si>
    <t>UD5</t>
  </si>
  <si>
    <t>[UserField5]</t>
  </si>
  <si>
    <t>_FormulaHelpers_!A43:B52</t>
  </si>
  <si>
    <t>ProjectTitle</t>
    <phoneticPr fontId="2" type="noConversion"/>
  </si>
  <si>
    <t>Location</t>
    <phoneticPr fontId="2" type="noConversion"/>
  </si>
  <si>
    <t>ContractNo</t>
    <phoneticPr fontId="2" type="noConversion"/>
  </si>
  <si>
    <t>Date</t>
    <phoneticPr fontId="2" type="noConversion"/>
  </si>
  <si>
    <t>Engineer</t>
    <phoneticPr fontId="2" type="noConversion"/>
  </si>
  <si>
    <t>Revision</t>
    <phoneticPr fontId="2" type="noConversion"/>
  </si>
  <si>
    <t>Base</t>
    <phoneticPr fontId="2" type="noConversion"/>
  </si>
  <si>
    <t>Standard</t>
    <phoneticPr fontId="2" type="noConversion"/>
  </si>
  <si>
    <t>Frequency</t>
    <phoneticPr fontId="2" type="noConversion"/>
  </si>
  <si>
    <t>UnitSystem</t>
    <phoneticPr fontId="2" type="noConversion"/>
  </si>
  <si>
    <t>Config</t>
    <phoneticPr fontId="2" type="noConversion"/>
  </si>
  <si>
    <t>Normal</t>
    <phoneticPr fontId="2" type="noConversion"/>
  </si>
  <si>
    <t>BUS_#1变_818_1525</t>
  </si>
  <si>
    <t>New</t>
  </si>
  <si>
    <t>{CE95539E-299F-451F-A9DA-FF67D405948A}</t>
  </si>
  <si>
    <t>BUS_#2变_819_1527</t>
  </si>
  <si>
    <t>{27BF4589-F957-47C4-A9C0-5C4688BD6371}</t>
  </si>
  <si>
    <t>BUS_1#箱变_814_1517</t>
  </si>
  <si>
    <t>{2FF1C2AD-F074-4FFB-80C7-A17B39461A3E}</t>
  </si>
  <si>
    <t>BUS_1#配电所1#_80_1487</t>
  </si>
  <si>
    <t>{25E8EF3D-C8A7-4304-8E81-4E3B9FF53675}</t>
  </si>
  <si>
    <t>BUS_1#配电所2#_80_1495</t>
  </si>
  <si>
    <t>{7C0AD8F6-22ED-4BE2-862F-319D80E532E0}</t>
  </si>
  <si>
    <t>BUS_1#配电所3#_80_1485</t>
  </si>
  <si>
    <t>{A3C66960-B9E7-4F7B-84D5-852695F82A7A}</t>
  </si>
  <si>
    <t>BUS_1#配电所4#_80_1497</t>
  </si>
  <si>
    <t>{29F24C89-44DD-4300-A3EB-C89E1B9648E8}</t>
  </si>
  <si>
    <t>BUS_CNODE_JCT__1277</t>
  </si>
  <si>
    <t>{28D4AB7E-3711-40FF-8B15-527F7CACD2D8}</t>
  </si>
  <si>
    <t>BUS_CNODE_JCT__1278</t>
  </si>
  <si>
    <t>{6BB087BE-2630-4F8C-AEE1-802509685127}</t>
  </si>
  <si>
    <t>BUS_CNODE_JCT__1279</t>
  </si>
  <si>
    <t>{68B08807-5F09-4ED1-82FF-83CDED72BB0D}</t>
  </si>
  <si>
    <t>BUS_CNODE_JCT__1280</t>
  </si>
  <si>
    <t>{3E2E9CAE-716D-4C5E-A355-B4F234629692}</t>
  </si>
  <si>
    <t>BUS_CNODE_JCT__1281</t>
  </si>
  <si>
    <t>{534A27B5-9CCF-49EA-A6D4-1E9F685C0AED}</t>
  </si>
  <si>
    <t>BUS_CNODE_JCT__1282</t>
  </si>
  <si>
    <t>{A1C9B6EA-E7CF-4A5F-8D73-0004CB2082BB}</t>
  </si>
  <si>
    <t>BUS_CNODE_JCT__1283</t>
  </si>
  <si>
    <t>{13D82B61-BC3B-4AC6-81C9-8290EC94FDD5}</t>
  </si>
  <si>
    <t>BUS_CNODE_JCT__1284</t>
  </si>
  <si>
    <t>{FCD47926-9B50-43B2-8FD5-F6BE3D94F4D0}</t>
  </si>
  <si>
    <t>BUS_CNODE_JCT__1285</t>
  </si>
  <si>
    <t>{49334F60-8991-4C72-9283-65CD98CD8E8F}</t>
  </si>
  <si>
    <t>BUS_CNODE_JCT__1286</t>
  </si>
  <si>
    <t>{7F26B0F0-1A13-4B75-BE40-4D20F092DE8A}</t>
  </si>
  <si>
    <t>BUS_CNODE_JCT__1287</t>
  </si>
  <si>
    <t>{502ABE99-1DCC-44AA-B544-EA1397DD9C33}</t>
  </si>
  <si>
    <t>BUS_CNODE_JCT__1288</t>
  </si>
  <si>
    <t>{7163F441-5106-455E-8A58-5052AAA49115}</t>
  </si>
  <si>
    <t>BUS_CNODE_JCT__1289</t>
  </si>
  <si>
    <t>{800F2EA8-823F-43A0-B1CE-6A12BD8E0B6B}</t>
  </si>
  <si>
    <t>BUS_CNODE_JCT__1290</t>
  </si>
  <si>
    <t>{67F9E617-3894-409E-9890-F7EFE36137D0}</t>
  </si>
  <si>
    <t>BUS_CNODE_JCT__1291</t>
  </si>
  <si>
    <t>{F4AA92E1-46AB-4F2C-BCD8-44BD97C3E733}</t>
  </si>
  <si>
    <t>BUS_CNODE_JCT__1292</t>
  </si>
  <si>
    <t>{EB6FDC06-331E-44BF-891A-A954B315C1E8}</t>
  </si>
  <si>
    <t>BUS_CNODE_JCT__1293</t>
  </si>
  <si>
    <t>{D9426632-572C-46D0-91EB-69E0806A9DFD}</t>
  </si>
  <si>
    <t>BUS_CNODE_JCT__1294</t>
  </si>
  <si>
    <t>{EE0FDDAE-A6E5-4467-BDD5-92AB72F962D0}</t>
  </si>
  <si>
    <t>BUS_CNODE_JCT__1295</t>
  </si>
  <si>
    <t>{52DBBC1B-21B6-4D05-A66D-6A0581A909FE}</t>
  </si>
  <si>
    <t>BUS_CNODE_JCT__1296</t>
  </si>
  <si>
    <t>{93CF8CBF-68CA-4FB4-A778-021269C2FE93}</t>
  </si>
  <si>
    <t>BUS_CNODE_JCT__1297</t>
  </si>
  <si>
    <t>{E8E12544-C041-43E2-B37B-A21CA143E014}</t>
  </si>
  <si>
    <t>BUS_CNODE_JCT__1298</t>
  </si>
  <si>
    <t>{8C165C93-7FD0-4DDE-9AB8-D979D98F0B14}</t>
  </si>
  <si>
    <t>BUS_CNODE_JCT__1299</t>
  </si>
  <si>
    <t>{C107C325-93A6-411F-9624-4E2687D003F5}</t>
  </si>
  <si>
    <t>BUS_CNODE_JCT__1300</t>
  </si>
  <si>
    <t>{2E31187E-16CD-4272-9DA2-D0F38ADCEB7D}</t>
  </si>
  <si>
    <t>BUS_CNODE_JCT__1301</t>
  </si>
  <si>
    <t>{4204B760-99E9-427B-8989-1D4ECA37AD7F}</t>
  </si>
  <si>
    <t>BUS_CNODE_JCT__1302</t>
  </si>
  <si>
    <t>{4FEFD2E8-6059-4B75-A293-F481EBAA5F17}</t>
  </si>
  <si>
    <t>BUS_CNODE_JCT__1303</t>
  </si>
  <si>
    <t>{5F33D427-B3A8-4448-95ED-90991535745D}</t>
  </si>
  <si>
    <t>BUS_CNODE_JCT__1304</t>
  </si>
  <si>
    <t>{9A241146-B9DF-470B-B385-877458AC3479}</t>
  </si>
  <si>
    <t>BUS_CNODE_JCT__1305</t>
  </si>
  <si>
    <t>{D9E8190C-ACBD-4EE9-89C7-4DB2691CBCD1}</t>
  </si>
  <si>
    <t>BUS_CNODE_JCT__1306</t>
  </si>
  <si>
    <t>{6B084FFC-2C04-4DB3-8F74-839BEBF3FCCA}</t>
  </si>
  <si>
    <t>BUS_CNODE_JCT__1307</t>
  </si>
  <si>
    <t>{58770481-6044-40C1-A519-11320090946A}</t>
  </si>
  <si>
    <t>BUS_CNODE_JCT__1308</t>
  </si>
  <si>
    <t>{CFCB9716-8557-48C5-9216-FDABE4D925B0}</t>
  </si>
  <si>
    <t>BUS_CNODE_JCT__1309</t>
  </si>
  <si>
    <t>{9B63037E-EEF1-48E1-9EA8-4F6C47F31DB9}</t>
  </si>
  <si>
    <t>BUS_CNODE_JCT__1310</t>
  </si>
  <si>
    <t>{98B91E35-D244-45C2-AFB0-2052F33DBDF7}</t>
  </si>
  <si>
    <t>BUS_CNODE_JCT__1311</t>
  </si>
  <si>
    <t>{C66B0485-F060-4F1D-8BCB-4A87C412CDAA}</t>
  </si>
  <si>
    <t>BUS_CNODE_JCT__1312</t>
  </si>
  <si>
    <t>{47D855CF-43E8-4B54-8DDB-4EF4339F7A11}</t>
  </si>
  <si>
    <t>BUS_CNODE_JCT__1313</t>
  </si>
  <si>
    <t>{8C21EE81-E69F-4892-B878-8866E669FD80}</t>
  </si>
  <si>
    <t>BUS_CNODE_JCT__1314</t>
  </si>
  <si>
    <t>{3948B353-E4AD-4CDF-BFCF-17C0F5BFD196}</t>
  </si>
  <si>
    <t>BUS_CNODE_JCT__1315</t>
  </si>
  <si>
    <t>{D1EE4261-A40E-4DB9-ADCC-D6C3E42AD1B5}</t>
  </si>
  <si>
    <t>BUS_CNODE_JCT__1316</t>
  </si>
  <si>
    <t>{02C4F398-C2FD-475D-B531-0F98D7B690D0}</t>
  </si>
  <si>
    <t>BUS_CNODE_JCT__1317</t>
  </si>
  <si>
    <t>{2C5F1E50-6B71-4361-9467-0008C2CE4651}</t>
  </si>
  <si>
    <t>BUS_CNODE_JCT__1318</t>
  </si>
  <si>
    <t>{BD1C3919-1DA9-4F24-9B2C-FA5863079FF1}</t>
  </si>
  <si>
    <t>BUS_CNODE_JCT__1319</t>
  </si>
  <si>
    <t>{14F09C7D-D403-4606-ACE1-CAA7BF164811}</t>
  </si>
  <si>
    <t>BUS_CNODE_JCT__1320</t>
  </si>
  <si>
    <t>{97D3DEAF-3144-4C7A-8715-D7C51D859344}</t>
  </si>
  <si>
    <t>BUS_CNODE_JCT__1321</t>
  </si>
  <si>
    <t>{D2FA42F9-AB4A-4508-AE47-2BF3D7147E4C}</t>
  </si>
  <si>
    <t>BUS_CNODE_JCT__1322</t>
  </si>
  <si>
    <t>{1B1E16A0-4F65-4A5E-BD43-3C4D6022C7B8}</t>
  </si>
  <si>
    <t>BUS_CNODE_JCT__1323</t>
  </si>
  <si>
    <t>{7F1FEC44-C86C-4374-8174-2F7E3FAC8D5E}</t>
  </si>
  <si>
    <t>BUS_CNODE_JCT__1324</t>
  </si>
  <si>
    <t>{8241052E-FDA3-434D-B551-99589FD5B615}</t>
  </si>
  <si>
    <t>BUS_CNODE_JCT__1325</t>
  </si>
  <si>
    <t>{4B753EF3-B6B0-4591-8E11-2B636F5D6882}</t>
  </si>
  <si>
    <t>BUS_CNODE_JCT__1326</t>
  </si>
  <si>
    <t>{767942E4-1604-4F7A-8ABA-81660B1AE05A}</t>
  </si>
  <si>
    <t>BUS_CNODE_JCT__1327</t>
  </si>
  <si>
    <t>{74657BCD-C833-49BB-9A12-A249BA320968}</t>
  </si>
  <si>
    <t>BUS_CNODE_JCT__1328</t>
  </si>
  <si>
    <t>{6286BEC4-8AFB-44ED-9589-A663CEFCF8F1}</t>
  </si>
  <si>
    <t>BUS_CNODE_JCT__1329</t>
  </si>
  <si>
    <t>{8DC16102-BF1B-490F-9BE2-B867E6A655C2}</t>
  </si>
  <si>
    <t>BUS_CNODE_JCT__1330</t>
  </si>
  <si>
    <t>{E0FDAF5B-C084-4ACD-BABB-55D9458ED3B6}</t>
  </si>
  <si>
    <t>BUS_CNODE_JCT__1331</t>
  </si>
  <si>
    <t>{CAFF30F2-EC75-4766-92CD-B16E113E0BFE}</t>
  </si>
  <si>
    <t>BUS_CNODE_JCT__1332</t>
  </si>
  <si>
    <t>{48B98888-91C1-4D85-B782-2C3EF56AEB27}</t>
  </si>
  <si>
    <t>BUS_CNODE_JCT__1333</t>
  </si>
  <si>
    <t>{EF03AF9F-43C3-4A0E-9DB5-0103907015B4}</t>
  </si>
  <si>
    <t>BUS_CNODE_JCT__1334</t>
  </si>
  <si>
    <t>{343E887E-24AE-4F34-B6CD-2BA406D38B4A}</t>
  </si>
  <si>
    <t>BUS_CNODE_JCT__1335</t>
  </si>
  <si>
    <t>{F49CE938-22F3-4E95-9592-E3A841691975}</t>
  </si>
  <si>
    <t>BUS_CNODE_JCT__1336</t>
  </si>
  <si>
    <t>{92ED0AF1-2DE7-49D3-BB51-E2707039A5EC}</t>
  </si>
  <si>
    <t>BUS_CNODE_JCT__1337</t>
  </si>
  <si>
    <t>{4625BCE4-74A1-4B64-89C0-9E458E34729D}</t>
  </si>
  <si>
    <t>BUS_CNODE_JCT__1338</t>
  </si>
  <si>
    <t>{199FAD81-AAC0-47B4-B339-86FD64A8A15F}</t>
  </si>
  <si>
    <t>BUS_CNODE_JCT__1339</t>
  </si>
  <si>
    <t>{A46DBE34-7F68-4463-ADDA-72329439D99A}</t>
  </si>
  <si>
    <t>BUS_CNODE_JCT__1340</t>
  </si>
  <si>
    <t>{8A832188-F951-4263-B370-6F59C4AB01AB}</t>
  </si>
  <si>
    <t>BUS_CNODE_JCT__1341</t>
  </si>
  <si>
    <t>{0D96DD68-883F-4D7A-84BE-4DE72AD252D6}</t>
  </si>
  <si>
    <t>BUS_CNODE_JCT__1342</t>
  </si>
  <si>
    <t>{F9261C04-501A-43A0-9516-43FDB88B7075}</t>
  </si>
  <si>
    <t>BUS_CNODE_JCT__1343</t>
  </si>
  <si>
    <t>{9554CEC8-B94F-4EA2-9945-24198CE8801D}</t>
  </si>
  <si>
    <t>BUS_CNODE_JCT__1344</t>
  </si>
  <si>
    <t>{639951C9-C407-43B8-A5E5-54EDBDDFA8EA}</t>
  </si>
  <si>
    <t>BUS_CNODE_JCT__1345</t>
  </si>
  <si>
    <t>{21B3480B-8B00-4347-A800-6135A0F395EF}</t>
  </si>
  <si>
    <t>BUS_CNODE_JCT__1346</t>
  </si>
  <si>
    <t>{4707B75B-CB44-48E4-BBA7-61E010149337}</t>
  </si>
  <si>
    <t>BUS_CNODE_JCT__1347</t>
  </si>
  <si>
    <t>{D1237680-0AC4-429F-BC34-FAF341FCB936}</t>
  </si>
  <si>
    <t>BUS_CNODE_JCT__1348</t>
  </si>
  <si>
    <t>{93A32376-3F6E-4F5C-A029-C9AF3CC17C79}</t>
  </si>
  <si>
    <t>BUS_CNODE_JCT__1349</t>
  </si>
  <si>
    <t>{A48AEF6B-025D-460B-85AA-F276F454045A}</t>
  </si>
  <si>
    <t>BUS_CNODE_JCT__1350</t>
  </si>
  <si>
    <t>{05F0EDA1-A12D-4914-8E5F-CF5B65B3508D}</t>
  </si>
  <si>
    <t>BUS_CNODE_JCT__1351</t>
  </si>
  <si>
    <t>{4F21C5C2-26FF-4654-92E8-6840CD575CCB}</t>
  </si>
  <si>
    <t>BUS_CNODE_JCT__1352</t>
  </si>
  <si>
    <t>{286C3AE7-61B6-47E3-949B-ECF14064A421}</t>
  </si>
  <si>
    <t>BUS_CNODE_JCT__1353</t>
  </si>
  <si>
    <t>{335DD593-7B45-48D0-85DD-CD69EC3AF6C1}</t>
  </si>
  <si>
    <t>BUS_CNODE_JCT__1354</t>
  </si>
  <si>
    <t>{883CF4F0-5325-4EBC-A03B-34EFC01B6D73}</t>
  </si>
  <si>
    <t>BUS_CNODE_JCT__1355</t>
  </si>
  <si>
    <t>{C77CEA9A-9616-4937-ABF9-78C9328A8ED2}</t>
  </si>
  <si>
    <t>BUS_CNODE_JCT__1356</t>
  </si>
  <si>
    <t>{170F9857-D081-45CF-A11C-B7783D2BC631}</t>
  </si>
  <si>
    <t>BUS_CNODE_JCT__1357</t>
  </si>
  <si>
    <t>{717F1EBA-BA21-46C4-9144-693B89B0D84E}</t>
  </si>
  <si>
    <t>BUS_CNODE_JCT__1358</t>
  </si>
  <si>
    <t>{CA031202-ED23-4755-A704-FB6A70BC997B}</t>
  </si>
  <si>
    <t>BUS_CNODE_JCT__1359</t>
  </si>
  <si>
    <t>{1E34C8E9-711D-4129-B0AA-5B5C34824AEC}</t>
  </si>
  <si>
    <t>BUS_CNODE_JCT__1360</t>
  </si>
  <si>
    <t>{3F93DF0B-A373-4BA6-8B57-24792924302E}</t>
  </si>
  <si>
    <t>BUS_CNODE_JCT__1361</t>
  </si>
  <si>
    <t>{1DD1CEBA-AABA-444C-B6CC-DE60384EDA4A}</t>
  </si>
  <si>
    <t>BUS_CNODE_JCT__1362</t>
  </si>
  <si>
    <t>{3503BACC-B5FB-4D9F-8863-6A6B1603ED77}</t>
  </si>
  <si>
    <t>BUS_CNODE_JCT__1363</t>
  </si>
  <si>
    <t>{6AB2C448-B320-40CE-B378-12F5A500F38D}</t>
  </si>
  <si>
    <t>BUS_CNODE_JCT__1364</t>
  </si>
  <si>
    <t>{C37A963B-3AC7-4D75-9164-1BF2A159D48A}</t>
  </si>
  <si>
    <t>BUS_CNODE_JCT__1365</t>
  </si>
  <si>
    <t>{E4FCD734-C5FB-46C2-A31F-63188205E87A}</t>
  </si>
  <si>
    <t>BUS_CNODE_JCT__1366</t>
  </si>
  <si>
    <t>{773590CD-75D8-4D1F-9D78-90E6A0FA2F5C}</t>
  </si>
  <si>
    <t>BUS_CNODE_JCT__1367</t>
  </si>
  <si>
    <t>{5C6B0795-16FD-45D7-A0C6-32AB1A10A329}</t>
  </si>
  <si>
    <t>BUS_CNODE_JCT__1368</t>
  </si>
  <si>
    <t>{9137E175-BDC4-4488-BD95-41B02DD0BAB6}</t>
  </si>
  <si>
    <t>BUS_CNODE_JCT__1369</t>
  </si>
  <si>
    <t>{0E9B75F4-FCD1-4722-8148-D93D451EB9FE}</t>
  </si>
  <si>
    <t>BUS_CNODE_JCT__1370</t>
  </si>
  <si>
    <t>{24AF6BF5-AABD-459E-B78B-11D72412AAF8}</t>
  </si>
  <si>
    <t>BUS_CNODE_JCT__1371</t>
  </si>
  <si>
    <t>{C5033513-3954-45DF-AA56-0A098C182033}</t>
  </si>
  <si>
    <t>BUS_CNODE_JCT__1372</t>
  </si>
  <si>
    <t>{258AA12B-14CA-4705-91D7-497F8F3583B6}</t>
  </si>
  <si>
    <t>BUS_CNODE_JCT__1373</t>
  </si>
  <si>
    <t>{DB274510-B5EC-4F58-892A-322F6B0D944F}</t>
  </si>
  <si>
    <t>BUS_CNODE_JCT__1374</t>
  </si>
  <si>
    <t>{3DB6E27D-5350-468C-BB4A-72381F2FABE8}</t>
  </si>
  <si>
    <t>BUS_CNODE_JCT__1375</t>
  </si>
  <si>
    <t>{E4E9B90C-B219-47C8-A6E2-2BCD9687DF0D}</t>
  </si>
  <si>
    <t>BUS_CNODE_JCT__1376</t>
  </si>
  <si>
    <t>{676F1C8D-F946-4789-93C6-73C405586829}</t>
  </si>
  <si>
    <t>BUS_CNODE_JCT__1377</t>
  </si>
  <si>
    <t>{E3B58774-75FA-4C82-9166-C7A069D95146}</t>
  </si>
  <si>
    <t>BUS_CNODE_JCT__1378</t>
  </si>
  <si>
    <t>{83465BF2-E501-471B-8EFF-B9936F866FE4}</t>
  </si>
  <si>
    <t>BUS_CNODE_JCT__1379</t>
  </si>
  <si>
    <t>{D0E9D305-B88A-401A-AEEF-F16DD84DF2F7}</t>
  </si>
  <si>
    <t>BUS_CNODE_JCT__1380</t>
  </si>
  <si>
    <t>{D9CF4EF5-775F-49CB-849D-35F08E5E0A5B}</t>
  </si>
  <si>
    <t>BUS_CNODE_JCT__1381</t>
  </si>
  <si>
    <t>{E1628F6D-7F29-4D5A-B36E-3C2B8576CB62}</t>
  </si>
  <si>
    <t>BUS_CNODE_JCT__1382</t>
  </si>
  <si>
    <t>{D1569437-33A1-47BC-A551-22F34394CEC5}</t>
  </si>
  <si>
    <t>BUS_CNODE_JCT__1383</t>
  </si>
  <si>
    <t>{A0382BBD-0CC3-4685-876E-BDE91C3E7248}</t>
  </si>
  <si>
    <t>BUS_CNODE_JCT__1384</t>
  </si>
  <si>
    <t>{3CB6CE50-845B-4323-A1BE-AF4F6548E1CE}</t>
  </si>
  <si>
    <t>BUS_CNODE_JCT__1385</t>
  </si>
  <si>
    <t>{7BA4E106-3E7A-4557-A492-E6B175AD1075}</t>
  </si>
  <si>
    <t>BUS_CNODE_JCT__1386</t>
  </si>
  <si>
    <t>{82175126-0529-4095-AA33-9B9DD83A566B}</t>
  </si>
  <si>
    <t>BUS_CNODE_JCT__1387</t>
  </si>
  <si>
    <t>{E8CBE81F-AEE2-4EEE-B012-FE5417ABDBF6}</t>
  </si>
  <si>
    <t>BUS_CNODE_JCT__1388</t>
  </si>
  <si>
    <t>{82CDA7EC-50F1-4216-909B-C251A5288F79}</t>
  </si>
  <si>
    <t>BUS_CNODE_JCT__1389</t>
  </si>
  <si>
    <t>{31B6C5C8-D88A-419A-BE55-FF3A98E47A20}</t>
  </si>
  <si>
    <t>BUS_CNODE_JCT__1390</t>
  </si>
  <si>
    <t>{2C15664D-03D7-42F5-AA5E-064C64CF73EB}</t>
  </si>
  <si>
    <t>BUS_CNODE_JCT__1391</t>
  </si>
  <si>
    <t>{5DCD67FD-3273-4B51-BEBD-1A9468250724}</t>
  </si>
  <si>
    <t>BUS_CNODE_JCT__1392</t>
  </si>
  <si>
    <t>{FBED208E-5EA7-4BAE-B5E4-BFEBBE5A0F5B}</t>
  </si>
  <si>
    <t>BUS_CNODE_JCT__1393</t>
  </si>
  <si>
    <t>{FD5E143A-0897-4678-B8F3-CEC242670A8A}</t>
  </si>
  <si>
    <t>BUS_CNODE_JCT__1394</t>
  </si>
  <si>
    <t>{C355CA00-4BCE-43D6-892C-D86ABB9D61C9}</t>
  </si>
  <si>
    <t>BUS_CNODE_JCT__1395</t>
  </si>
  <si>
    <t>{B511B2C6-B037-41F6-BAC1-739436F11EF8}</t>
  </si>
  <si>
    <t>BUS_CNODE_JCT__1396</t>
  </si>
  <si>
    <t>{D2B5BC26-9FB9-4EBB-8B33-2B4935A20235}</t>
  </si>
  <si>
    <t>BUS_CNODE_JCT__1397</t>
  </si>
  <si>
    <t>{2DDAD458-0226-4C22-9FB5-6884A5BE4C99}</t>
  </si>
  <si>
    <t>BUS_CNODE_JCT__1398</t>
  </si>
  <si>
    <t>{9F97F09C-6103-4BC1-918C-C23FD03FED55}</t>
  </si>
  <si>
    <t>BUS_CNODE_JCT__1399</t>
  </si>
  <si>
    <t>{241D49E3-B463-4156-9E83-1C89596C87C5}</t>
  </si>
  <si>
    <t>BUS_CNODE_JCT__1400</t>
  </si>
  <si>
    <t>{BBBF2226-6302-42CA-9A6E-4D77E172D5A0}</t>
  </si>
  <si>
    <t>BUS_CNODE_JCT__1401</t>
  </si>
  <si>
    <t>{4322B021-965B-44F6-A1C0-57DB7C1FA08E}</t>
  </si>
  <si>
    <t>BUS_CNODE_JCT__1402</t>
  </si>
  <si>
    <t>{26ED718C-BDDF-4712-BA4F-E29B6CF3F71C}</t>
  </si>
  <si>
    <t>BUS_CNODE_JCT__1403</t>
  </si>
  <si>
    <t>{AFB08824-E6E2-4024-A684-0ECEF8D8900A}</t>
  </si>
  <si>
    <t>BUS_CNODE_JCT__1404</t>
  </si>
  <si>
    <t>{89886540-CB02-4C34-98CA-81A23E3C5246}</t>
  </si>
  <si>
    <t>BUS_CNODE_JCT__1405</t>
  </si>
  <si>
    <t>{F7B7C11B-F93B-4382-BBB4-0662F548E6A3}</t>
  </si>
  <si>
    <t>BUS_CNODE_JCT__1406</t>
  </si>
  <si>
    <t>{AF19684B-9D46-4341-91F9-CA4C98A0C3AC}</t>
  </si>
  <si>
    <t>BUS_CNODE_JCT__1407</t>
  </si>
  <si>
    <t>{E1C2AA6D-FEBB-4D13-AD60-EC20C6C87DBD}</t>
  </si>
  <si>
    <t>BUS_CNODE_JCT__1408</t>
  </si>
  <si>
    <t>{850836C0-DE75-4094-9155-26487B840B80}</t>
  </si>
  <si>
    <t>BUS_CNODE_JCT__1409</t>
  </si>
  <si>
    <t>{C5D37864-6A9A-454A-803A-EDB4778F9935}</t>
  </si>
  <si>
    <t>BUS_CNODE_JCT__1410</t>
  </si>
  <si>
    <t>{884BBCD0-9D2C-4F3D-A99E-E9B4CE623C5C}</t>
  </si>
  <si>
    <t>BUS_CNODE_JCT__1411</t>
  </si>
  <si>
    <t>{11847D30-BAA2-4425-B531-5F0D4AE1BDAE}</t>
  </si>
  <si>
    <t>BUS_CNODE_JCT__1412</t>
  </si>
  <si>
    <t>{89509439-702A-4FD0-A8A2-2F114854258A}</t>
  </si>
  <si>
    <t>BUS_CNODE_JCT__1413</t>
  </si>
  <si>
    <t>{D5F3E5C0-711E-438C-901A-4CF5167FDAF6}</t>
  </si>
  <si>
    <t>BUS_CNODE_JCT__1414</t>
  </si>
  <si>
    <t>{CA06E3BB-05E6-4DCD-9CB8-E2EF4B3A5B83}</t>
  </si>
  <si>
    <t>BUS_CNODE_JCT__1415</t>
  </si>
  <si>
    <t>{B97BB66D-6E4D-4203-9414-57E1DA6F3F6A}</t>
  </si>
  <si>
    <t>BUS_CNODE_JCT__1416</t>
  </si>
  <si>
    <t>{5D876CFA-CEF5-40EF-9C68-18CEC4284611}</t>
  </si>
  <si>
    <t>BUS_CNODE_JCT__1417</t>
  </si>
  <si>
    <t>{B260C56D-D27B-44A4-AD3D-D07D09AED830}</t>
  </si>
  <si>
    <t>BUS_CNODE_JCT__1418</t>
  </si>
  <si>
    <t>{1EF54929-AFDC-4B88-BEF4-337476B6BB72}</t>
  </si>
  <si>
    <t>BUS_CNODE_JCT__1419</t>
  </si>
  <si>
    <t>{84A54E42-219B-45AE-9D22-A673C566DC32}</t>
  </si>
  <si>
    <t>BUS_CNODE_JCT__1420</t>
  </si>
  <si>
    <t>{614DF6F9-0D55-4D60-A795-358195D35945}</t>
  </si>
  <si>
    <t>BUS_CNODE_JCT__1421</t>
  </si>
  <si>
    <t>{B8B5C716-C436-492A-BC0F-B821E797C936}</t>
  </si>
  <si>
    <t>BUS_CNODE_JCT__1422</t>
  </si>
  <si>
    <t>{0C95F89A-F716-4C35-AD53-092DCAEE9630}</t>
  </si>
  <si>
    <t>BUS_CNODE_JCT__1423</t>
  </si>
  <si>
    <t>{6B396F99-BAFD-4660-AA16-A2523F495160}</t>
  </si>
  <si>
    <t>BUS_CNODE_JCT__1424</t>
  </si>
  <si>
    <t>{5882C7D3-D7BD-4412-9E2C-1ABEF9B16279}</t>
  </si>
  <si>
    <t>BUS_CNODE_JCT__1425</t>
  </si>
  <si>
    <t>{74F5A7AB-9C75-4E87-8265-AE9A05E80AEE}</t>
  </si>
  <si>
    <t>BUS_CNODE_JCT__1426</t>
  </si>
  <si>
    <t>{A4C6226E-623A-4AB6-8921-BF188182AA18}</t>
  </si>
  <si>
    <t>BUS_CNODE_JCT__1427</t>
  </si>
  <si>
    <t>{7779BCD1-F59B-4F5D-B813-BDE16BDFF6AA}</t>
  </si>
  <si>
    <t>BUS_CNODE_JCT__1428</t>
  </si>
  <si>
    <t>{C8A3139E-48AB-4E5C-9595-96612AE171BA}</t>
  </si>
  <si>
    <t>BUS_CNODE_JCT__1429</t>
  </si>
  <si>
    <t>{B7299DB6-30DD-4585-A6A5-CC7739AD571A}</t>
  </si>
  <si>
    <t>BUS_CNODE_JCT__1430</t>
  </si>
  <si>
    <t>{56AAB322-4FF4-468E-9E1D-99C61C2709F1}</t>
  </si>
  <si>
    <t>BUS_CNODE_JCT__1431</t>
  </si>
  <si>
    <t>{66B6008C-4620-488C-87DE-33D157DD898F}</t>
  </si>
  <si>
    <t>BUS_CNODE_JCT__1432</t>
  </si>
  <si>
    <t>{EF4F2C79-4B47-49FD-8ECE-17189C27A376}</t>
  </si>
  <si>
    <t>BUS_CNODE_JCT__1433</t>
  </si>
  <si>
    <t>{826F2CA2-D3D2-4CB8-8EA2-DDCD5EB2061A}</t>
  </si>
  <si>
    <t>BUS_CNODE_JCT__1434</t>
  </si>
  <si>
    <t>{2D3395DC-B69D-4167-B0E6-7FBBA15663A9}</t>
  </si>
  <si>
    <t>BUS_CNODE_JCT__1435</t>
  </si>
  <si>
    <t>{1B137CC8-51D4-44C9-A5C5-9B9A512F9DF7}</t>
  </si>
  <si>
    <t>BUS_CNODE_JCT__1436</t>
  </si>
  <si>
    <t>{F31B34D5-330A-46A1-A9F9-58453278DA7A}</t>
  </si>
  <si>
    <t>BUS_CNODE_JCT__1437</t>
  </si>
  <si>
    <t>{AFD0A36D-7CD2-4917-B646-6553A1C62F4A}</t>
  </si>
  <si>
    <t>BUS_CNODE_JCT__1438</t>
  </si>
  <si>
    <t>{0381A90B-0D5F-43DC-B531-1D17C2F6B922}</t>
  </si>
  <si>
    <t>BUS_CNODE_JCT__1439</t>
  </si>
  <si>
    <t>{E03E1BBC-75F6-4CF9-AB61-0845965620EA}</t>
  </si>
  <si>
    <t>BUS_CNODE_JCT__1440</t>
  </si>
  <si>
    <t>{CCE61DC1-2D9F-4D1E-8081-70DEA0727071}</t>
  </si>
  <si>
    <t>BUS_CNODE_JCT__1441</t>
  </si>
  <si>
    <t>{34B49136-73D7-45D4-8625-1A5FBD060B24}</t>
  </si>
  <si>
    <t>BUS_CNODE_JCT__1442</t>
  </si>
  <si>
    <t>{CEEAA96D-E8E9-4624-85EF-E07B86F3E4A7}</t>
  </si>
  <si>
    <t>BUS_CNODE_JCT__1443</t>
  </si>
  <si>
    <t>{5C1E8540-D7B4-44D0-9EBC-CFD1D6FA7D7F}</t>
  </si>
  <si>
    <t>BUS_CNODE_JCT__1444</t>
  </si>
  <si>
    <t>{D6CB3E11-8FA2-4D3F-B682-45A7871B91DA}</t>
  </si>
  <si>
    <t>BUS_CNODE_JCT__1445</t>
  </si>
  <si>
    <t>{9ED2D9DC-5F5A-4CB2-B4FE-7D30A44C8B47}</t>
  </si>
  <si>
    <t>BUS_CNODE_JCT__1446</t>
  </si>
  <si>
    <t>{0EB46F88-16A8-4FC0-BD47-45B681ABFCBB}</t>
  </si>
  <si>
    <t>BUS_CNODE_JCT__1447</t>
  </si>
  <si>
    <t>{F7EFCF4C-95E5-4C59-9F95-0861F1CD2BD9}</t>
  </si>
  <si>
    <t>BUS_CNODE_JCT__1448</t>
  </si>
  <si>
    <t>{FFFD63D3-2ECA-4463-8773-4DD22B86C1D0}</t>
  </si>
  <si>
    <t>BUS_CNODE_JCT__1449</t>
  </si>
  <si>
    <t>{1EA7FE96-B8BC-47F0-A41C-AB6E328F18EF}</t>
  </si>
  <si>
    <t>BUS_CNODE_JCT__1450</t>
  </si>
  <si>
    <t>{E1D6B99E-69A1-4823-9711-045315C82505}</t>
  </si>
  <si>
    <t>BUS_CNODE_JCT__1451</t>
  </si>
  <si>
    <t>{F56CA89C-D8B0-48AC-A876-9562AB7C1D58}</t>
  </si>
  <si>
    <t>BUS_CNODE_JCT__1452</t>
  </si>
  <si>
    <t>{78DFF18E-B6B2-474B-8399-D87BE9A157D7}</t>
  </si>
  <si>
    <t>BUS_CNODE_JCT__1453</t>
  </si>
  <si>
    <t>{11199CCB-643F-4E85-B91E-C770531EB080}</t>
  </si>
  <si>
    <t>BUS_CNODE_JCT__1454</t>
  </si>
  <si>
    <t>{35B9FD2A-C278-460E-8F99-3349346D4C8E}</t>
  </si>
  <si>
    <t>BUS_CNODE_JCT__1455</t>
  </si>
  <si>
    <t>{14721056-FC1E-474B-B95A-643C6E92051E}</t>
  </si>
  <si>
    <t>BUS_CNODE_JCT__1456</t>
  </si>
  <si>
    <t>{151687C7-60EC-4328-94FC-CE4B7A6F54D9}</t>
  </si>
  <si>
    <t>BUS_CNODE_JCT__1457</t>
  </si>
  <si>
    <t>{9E4C6F0D-80E2-4017-B64C-6401C9395158}</t>
  </si>
  <si>
    <t>BUS_CNODE_JCT__1458</t>
  </si>
  <si>
    <t>{7A13FADC-7B48-4BC2-BC1B-B9F150FF6234}</t>
  </si>
  <si>
    <t>BUS_CNODE_JCT__1459</t>
  </si>
  <si>
    <t>{6D906FE4-F07A-4CDE-9CA8-3D9F31907FAA}</t>
  </si>
  <si>
    <t>BUS_CNODE_JCT__1460</t>
  </si>
  <si>
    <t>{71EADC85-6888-4B4A-B919-E6921733068B}</t>
  </si>
  <si>
    <t>BUS_CNODE_JCT__1461</t>
  </si>
  <si>
    <t>{F36B695C-89B5-4580-BCA6-B6C1D401E4ED}</t>
  </si>
  <si>
    <t>BUS_CNODE_JCT__1462</t>
  </si>
  <si>
    <t>{47C4AB3C-E9EF-4185-9A7B-3F9AAB2E2C3E}</t>
  </si>
  <si>
    <t>BUS_CNODE_JCT__1463</t>
  </si>
  <si>
    <t>{717A5E55-FA52-4557-A27D-7A81BB3D129A}</t>
  </si>
  <si>
    <t>BUS_CNODE_JCT__1464</t>
  </si>
  <si>
    <t>{8F9B880C-9AF1-4411-8651-B117007FF6A2}</t>
  </si>
  <si>
    <t>BUS_CNODE_JCT__1465</t>
  </si>
  <si>
    <t>{78213B2D-DE2A-4493-9F9F-CAA2B7E8115C}</t>
  </si>
  <si>
    <t>BUS_CNODE_JCT__1466</t>
  </si>
  <si>
    <t>{CA2E88FD-E6CF-4238-8C68-118F476FBC5D}</t>
  </si>
  <si>
    <t>BUS_CNODE_JCT__1467</t>
  </si>
  <si>
    <t>{18C8CDBF-8244-48B9-8221-48501D1B6C07}</t>
  </si>
  <si>
    <t>BUS_CNODE_JCT__1468</t>
  </si>
  <si>
    <t>{EDB10EF5-B665-485D-94D4-449A1A3F0148}</t>
  </si>
  <si>
    <t>BUS_CNODE_JCT__1469</t>
  </si>
  <si>
    <t>{5D6C638A-9181-4487-97F9-A76A7974B19B}</t>
  </si>
  <si>
    <t>BUS_CNODE_JCT__1470</t>
  </si>
  <si>
    <t>{8EA9AEDE-729B-4CFC-904A-B5B1D67A3117}</t>
  </si>
  <si>
    <t>BUS_CNODE_JCT__1471</t>
  </si>
  <si>
    <t>{E7D0B100-6F0D-4411-9578-68C38D99DCCF}</t>
  </si>
  <si>
    <t>BUS_CNODE_JCT__1472</t>
  </si>
  <si>
    <t>{D7AA5C28-C67D-4EE7-BCF7-E7EEEF340F8E}</t>
  </si>
  <si>
    <t>BUS_CNODE_JCT__1473</t>
  </si>
  <si>
    <t>{21FB3B82-048C-4A9E-8700-C864FE46AB8A}</t>
  </si>
  <si>
    <t>BUS_CNODE_JCT__1474</t>
  </si>
  <si>
    <t>{9E859FF9-00DC-4C53-9313-2CFF3B599B0F}</t>
  </si>
  <si>
    <t>BUS_CNODE_JCT__1475</t>
  </si>
  <si>
    <t>{9FA1D092-695D-4359-8205-8EB9CA008B5C}</t>
  </si>
  <si>
    <t>BUS_CNODE_JCT__1476</t>
  </si>
  <si>
    <t>{42246F2C-224E-49FE-9B32-1F34B6030307}</t>
  </si>
  <si>
    <t>BUS_CNODE_JCT__1477</t>
  </si>
  <si>
    <t>{BB716F60-FA0F-4801-9B33-07649058B8EF}</t>
  </si>
  <si>
    <t>BUS_CNODE_JCT__1478</t>
  </si>
  <si>
    <t>{44A243DD-E19D-4783-86A7-253FF0994FBA}</t>
  </si>
  <si>
    <t>BUS_CNODE_JCT__1479</t>
  </si>
  <si>
    <t>{837EEC6E-024A-47F6-A3AC-AA75FBDBAF0D}</t>
  </si>
  <si>
    <t>BUS_CNODE_JCT__1480</t>
  </si>
  <si>
    <t>{371881FD-FB21-48CF-8801-D1E1CA9EFE41}</t>
  </si>
  <si>
    <t>BUS_kV爱涛线亚都环网柜_203</t>
  </si>
  <si>
    <t>{43FD6E48-48C4-4998-B344-BDDF2B50034B}</t>
  </si>
  <si>
    <t>BUS_kV爱涛线腾亚环网柜_207</t>
  </si>
  <si>
    <t>{BC44436A-83CC-4939-93DE-AAF55F18EE02}</t>
  </si>
  <si>
    <t>BUS_line1_222</t>
  </si>
  <si>
    <t>{58254A90-6227-4E82-91E9-496289EDCAF0}</t>
  </si>
  <si>
    <t>BUS_line1_223</t>
  </si>
  <si>
    <t>{1C0D43DF-5867-450F-A227-0594D15E971A}</t>
  </si>
  <si>
    <t>BUS_line1_224</t>
  </si>
  <si>
    <t>{102EA38F-7495-4156-BE05-CA37B711A55F}</t>
  </si>
  <si>
    <t>BUS_line1_228</t>
  </si>
  <si>
    <t>{62CD27C7-3812-4DAF-B1E4-DA12D6465DBD}</t>
  </si>
  <si>
    <t>BUS_line1_230</t>
  </si>
  <si>
    <t>{6128E9F6-64CD-4D9A-8F40-887F56675E8F}</t>
  </si>
  <si>
    <t>BUS_line1_236</t>
  </si>
  <si>
    <t>{1E237EDC-AEC8-466D-85F8-251F38FAB133}</t>
  </si>
  <si>
    <t>BUS_line47_218</t>
  </si>
  <si>
    <t>{031C27DB-847E-47AB-A371-B1F8B1B4F2D4}</t>
  </si>
  <si>
    <t>BUS_V爱涛线1号环_79_1491</t>
  </si>
  <si>
    <t>{9A96EF2B-D997-4F5D-BB5F-8A5D0C56D1EB}</t>
  </si>
  <si>
    <t>BUS_V爱涛线3号环_83_1551</t>
  </si>
  <si>
    <t>{C25AA52F-3B1E-41BB-8AED-771AEA1E7751}</t>
  </si>
  <si>
    <t>BUS_V爱涛线4号环_79_1493</t>
  </si>
  <si>
    <t>{DD5EB7DB-FA43-42C1-A506-4086F97F4318}</t>
  </si>
  <si>
    <t>BUS_V爱涛线路灯所环网柜_204</t>
  </si>
  <si>
    <t>{CDFB6B96-0C70-443A-A6D3-CFD3C177E5FF}</t>
  </si>
  <si>
    <t>BUS_V苏源4号线2_83_1549</t>
  </si>
  <si>
    <t>{9B56ED0E-43C3-40F1-86F0-279DBC7865BC}</t>
  </si>
  <si>
    <t>BUS_V西花园线6号环网柜_209</t>
  </si>
  <si>
    <t>{5A0D3F4E-0786-4777-B0BB-FC46CBCACE75}</t>
  </si>
  <si>
    <t>BUS_九龙变_243</t>
  </si>
  <si>
    <t>{5AF0E003-ED68-4455-9FC4-2F1F335725C0}</t>
  </si>
  <si>
    <t>BUS_亚都天元居#1箱变_227</t>
  </si>
  <si>
    <t>{55813485-2783-4685-98BC-F9E97190D217}</t>
  </si>
  <si>
    <t>BUS_亚都天元居#3箱变_229</t>
  </si>
  <si>
    <t>{5BF7B311-8D36-4572-B5DD-46430198D400}</t>
  </si>
  <si>
    <t>BUS_元居#3箱变_816_1521</t>
  </si>
  <si>
    <t>{046DC980-27BB-4B4E-AE19-BDE6F4454FFC}</t>
  </si>
  <si>
    <t>BUS_元居#4箱变_815_1519</t>
  </si>
  <si>
    <t>{F8AC9073-94D3-4006-B987-62837CB482C5}</t>
  </si>
  <si>
    <t>BUS_元居1#配电所母线1_216</t>
  </si>
  <si>
    <t>{F03AF197-C69B-4EAD-86C6-4A903AC0A1E8}</t>
  </si>
  <si>
    <t>BUS_元居1#配电所母线2_217</t>
  </si>
  <si>
    <t>{C11F273C-D7F4-46C0-8C22-63269D55E9E2}</t>
  </si>
  <si>
    <t>BUS_元居1#配电所母线3_215</t>
  </si>
  <si>
    <t>{B3E28061-5773-4340-A57A-9ED5BC0D81BF}</t>
  </si>
  <si>
    <t>BUS_元居1#配电所母线4_214</t>
  </si>
  <si>
    <t>{B0596DF1-3DAE-4404-9496-0F7B07972EF4}</t>
  </si>
  <si>
    <t>BUS_区1变_811_1511</t>
  </si>
  <si>
    <t>{D07F824F-0AAA-45CC-AF20-57F887B757EF}</t>
  </si>
  <si>
    <t>BUS_区2变_817_1523</t>
  </si>
  <si>
    <t>{60AB8D5B-4096-4950-9EE3-F729C37EDACA}</t>
  </si>
  <si>
    <t>BUS_号环网柜（自）（气）_205</t>
  </si>
  <si>
    <t>{9A2EFBAC-C0B4-4DBC-A05C-BB1044F4BA0C}</t>
  </si>
  <si>
    <t>BUS_号线2号环网柜（自）_241</t>
  </si>
  <si>
    <t>{77AF8C15-A77E-4392-8231-DACE9608AEF9}</t>
  </si>
  <si>
    <t>BUS_小区#1箱变_813_1515</t>
  </si>
  <si>
    <t>{FD6162AA-C9AF-49FA-AF58-E9E3D6404728}</t>
  </si>
  <si>
    <t>BUS_小区#2箱变_812_1513</t>
  </si>
  <si>
    <t>{7DCDF75F-BC69-4DD1-B604-D76FD02D76B6}</t>
  </si>
  <si>
    <t>BUS_平花苑#3变高压母线_238</t>
  </si>
  <si>
    <t>{154F8A04-5BF4-4360-82D4-0CF8B0938AE2}</t>
  </si>
  <si>
    <t>BUS_平花苑#4变高压母线_239</t>
  </si>
  <si>
    <t>{CFBD6017-EBC1-49C1-B014-2C4955B80E4C}</t>
  </si>
  <si>
    <t>BUS_平花苑#5变高压母线_237</t>
  </si>
  <si>
    <t>{17835611-D8C2-46FD-98E6-F4E6E684C51C}</t>
  </si>
  <si>
    <t>BUS_涛线#2环网柜（自）_211</t>
  </si>
  <si>
    <t>{603E2916-2280-4108-A72F-2C7DC942F689}</t>
  </si>
  <si>
    <t>BUS_涛线3号环网柜（自）_242</t>
  </si>
  <si>
    <t>{C98D126B-1EC6-4B6E-AAD3-8B9191FC8CA7}</t>
  </si>
  <si>
    <t>BUS_涛线4号环网柜（自）_213</t>
  </si>
  <si>
    <t>{4B0A7DCA-AD55-4B06-B788-EABC6ADCB784}</t>
  </si>
  <si>
    <t>BUS_涛线颐秀居#1环网柜_210</t>
  </si>
  <si>
    <t>{42024BB3-82C3-4FCE-9729-A12EB707B2A9}</t>
  </si>
  <si>
    <t>BUS_爱涛线太平南区环网柜_208</t>
  </si>
  <si>
    <t>{9C0BBBE9-A0BF-4C98-933E-2C4D4B186102}</t>
  </si>
  <si>
    <t>BUS_爱涛线爱佛#2环网柜_212</t>
  </si>
  <si>
    <t>{BAB2B983-2758-4B9B-89D4-5CDC655BAD92}</t>
  </si>
  <si>
    <t>BUS_线太平花苑#1环网柜_202</t>
  </si>
  <si>
    <t>{855699B5-C3C7-451B-B98D-7963E7057195}</t>
  </si>
  <si>
    <t>BUS_线太平花苑#5环网柜_201</t>
  </si>
  <si>
    <t>{B2AD1051-81B2-41C0-9447-E1235E85B54D}</t>
  </si>
  <si>
    <t>BUS_航线#4环网柜（自）_200</t>
  </si>
  <si>
    <t>{67D94F1B-CD62-4171-8EED-21CF45398DC8}</t>
  </si>
  <si>
    <t>BUS_花苑#16变高压母线_221</t>
  </si>
  <si>
    <t>{E611A2D7-E5EB-4161-B528-D5910D2A14BA}</t>
  </si>
  <si>
    <t>BUS_花苑#8变高压母线1_233</t>
  </si>
  <si>
    <t>{D7997EF6-6182-4253-BBEC-1B1D1232190D}</t>
  </si>
  <si>
    <t>BUS_花苑#8变高压母线2_234</t>
  </si>
  <si>
    <t>{FEBCEE71-2A9F-4D45-A032-E0E5CC5A94BF}</t>
  </si>
  <si>
    <t>BUS_苑#16变1变_80_1499</t>
  </si>
  <si>
    <t>{CF1DCAE4-AB8E-4369-B638-6F5FBE19C5DD}</t>
  </si>
  <si>
    <t>BUS_苑#16变2变_80_1501</t>
  </si>
  <si>
    <t>{C6A8A8EA-C3CB-4C1E-8175-971B663BB173}</t>
  </si>
  <si>
    <t>BUS_苑#17变1变_80_1507</t>
  </si>
  <si>
    <t>{B675CBA8-4328-48F9-A493-6CE28717D893}</t>
  </si>
  <si>
    <t>BUS_苑#17变2变_81_1509</t>
  </si>
  <si>
    <t>{4A36C9D4-7EDC-4165-A4D3-0D63719B46FD}</t>
  </si>
  <si>
    <t>BUS_苑#5变1变_824_1537</t>
  </si>
  <si>
    <t>{14B82558-0271-428B-B618-8201F552DA2B}</t>
  </si>
  <si>
    <t>BUS_苑#5变2变_825_1539</t>
  </si>
  <si>
    <t>{3A6B1EA7-25F3-4DE0-8F0A-47D06AA14CD5}</t>
  </si>
  <si>
    <t>BUS_苑#7变高压间隔母线_235</t>
  </si>
  <si>
    <t>{3B37FE9B-B4B6-462B-9E3C-493B230D2BAC}</t>
  </si>
  <si>
    <t>BUS_苑#9变高压间隔母线_240</t>
  </si>
  <si>
    <t>{4E828906-F90D-4161-A9C7-B50981CE222F}</t>
  </si>
  <si>
    <t>BUS_苑10主变1变_80_1505</t>
  </si>
  <si>
    <t>{035C65E5-997C-4838-9E70-3A41DEF607C6}</t>
  </si>
  <si>
    <t>BUS_苑10主变2变_80_1503</t>
  </si>
  <si>
    <t>{1A2325C4-4AEB-45AA-9358-5E87303AF28F}</t>
  </si>
  <si>
    <t>BUS_苑3主变1变_826_1541</t>
  </si>
  <si>
    <t>{4CDD39FA-DCE0-448D-ADDE-F297CD9CDAFC}</t>
  </si>
  <si>
    <t>BUS_苑3主变2变_827_1489</t>
  </si>
  <si>
    <t>{AF0FFF39-4631-4DF9-92BA-3EF02BF22BF4}</t>
  </si>
  <si>
    <t>BUS_苑4主变1变_828_1543</t>
  </si>
  <si>
    <t>{20426A9A-5CEF-4638-91E5-F54F5AF1396C}</t>
  </si>
  <si>
    <t>BUS_苑4主变2变_829_1483</t>
  </si>
  <si>
    <t>{5A990FC0-8E75-4DD1-882F-84D31410942F}</t>
  </si>
  <si>
    <t>BUS_苑6主变_823_1535</t>
  </si>
  <si>
    <t>{3F5DD9FF-B90C-4092-97E4-3C77DB16AEF0}</t>
  </si>
  <si>
    <t>BUS_苑7主变_822_1533</t>
  </si>
  <si>
    <t>{60B2230E-0F22-4027-9C68-D7B3A8657751}</t>
  </si>
  <si>
    <t>BUS_苑8主变1变_820_1529</t>
  </si>
  <si>
    <t>{9FB4F926-8B4F-41FD-A08A-6A8B784D8011}</t>
  </si>
  <si>
    <t>BUS_苑8主变2变_821_1531</t>
  </si>
  <si>
    <t>{C58FF018-284B-4B05-9236-FB86BF01C0AB}</t>
  </si>
  <si>
    <t>BUS_苑9主变1变_830_1545</t>
  </si>
  <si>
    <t>{54E34515-9B1F-474E-AA8A-683B100035D8}</t>
  </si>
  <si>
    <t>BUS_苑9主变2变_831_1547</t>
  </si>
  <si>
    <t>{DEE06FA2-82FA-47EE-B7C0-549477D1872F}</t>
  </si>
  <si>
    <t>BUS_苑菜场配电所_804_1481</t>
  </si>
  <si>
    <t>{BBE6772B-3978-44ED-8BAF-DE2E299341C6}</t>
  </si>
  <si>
    <t>BUS_西花园线13号环网柜_206</t>
  </si>
  <si>
    <t>{366C155F-B09E-4D71-BB4D-74B0364A11D8}</t>
  </si>
  <si>
    <t>BUS_逸翠居小区#1箱变_226</t>
  </si>
  <si>
    <t>{1843D255-A862-4AA1-B76D-356A260D6CF3}</t>
  </si>
  <si>
    <t>BUS_逸翠居小区#2箱变_225</t>
  </si>
  <si>
    <t>{6AF90F0E-0097-4ED5-ACDA-19BC201C7A2D}</t>
  </si>
  <si>
    <t>BUS_都天元居开闭所（自）_219</t>
  </si>
  <si>
    <t>{97EF3A0E-E0D0-4B57-B220-7E67FF27BA09}</t>
  </si>
  <si>
    <t>BUS_都天元居开闭所（自）_220</t>
  </si>
  <si>
    <t>{7F63E9B9-DCAA-4899-A7CB-64119D3BE805}</t>
  </si>
  <si>
    <t>BUS_颐秀居#1变母线_231</t>
  </si>
  <si>
    <t>{04F34B8A-AEFE-4F9A-A80F-991E2F4695F1}</t>
  </si>
  <si>
    <t>BUS_颐秀居#2变母母线_232</t>
  </si>
  <si>
    <t>{4403ABDE-D579-44E3-BAEB-2B6B6614815F}</t>
  </si>
  <si>
    <t>CABLE_10kV爱涛线1号环_1081</t>
  </si>
  <si>
    <t/>
  </si>
  <si>
    <t>{0199FE9E-220E-4292-A862-3E7666458134}</t>
  </si>
  <si>
    <t>CABLE_10kV爱涛线1号环_1082</t>
  </si>
  <si>
    <t>{5D70E857-D876-45E5-89E1-C022D58F8626}</t>
  </si>
  <si>
    <t>CABLE_10kV爱涛线1号环_1104</t>
  </si>
  <si>
    <t>{095A7372-392C-4245-A6A0-37273C22CAF8}</t>
  </si>
  <si>
    <t>CABLE_10kV爱涛线3号环_1093</t>
  </si>
  <si>
    <t>{69769C5B-3905-4B7B-BE30-4FD5A52EDAE5}</t>
  </si>
  <si>
    <t>CABLE_3号环网柜111~站_1094</t>
  </si>
  <si>
    <t>{E3210119-9E2C-49E9-BE98-7F4151B93408}</t>
  </si>
  <si>
    <t>CABLE_3号环网柜114~站_1102</t>
  </si>
  <si>
    <t>{0524A8C2-09A5-4207-BC85-116512AB7B7A}</t>
  </si>
  <si>
    <t>CABLE_3号环网柜115~站_1114</t>
  </si>
  <si>
    <t>{D241E1F3-9863-4121-80F5-1B2092C9C801}</t>
  </si>
  <si>
    <t>CABLE_GLT（A或B）F2_1054</t>
  </si>
  <si>
    <t>{AF111CCB-988B-4A05-9734-EF4656DB4ADB}</t>
  </si>
  <si>
    <t>CABLE_GLTZ002-12_1053</t>
  </si>
  <si>
    <t>{BD07AC7C-5B77-4B43-8824-4BEB5A7BC6C3}</t>
  </si>
  <si>
    <t>CABLE_LZDO07185~_1061</t>
  </si>
  <si>
    <t>{E3AF2B76-A6D2-46FB-8351-FD00D6042088}</t>
  </si>
  <si>
    <t>CABLE_LZDO11242~_1073</t>
  </si>
  <si>
    <t>{78CA7A89-9907-4250-8878-DF1C848A0BC9}</t>
  </si>
  <si>
    <t>CABLE_LZDO11350~_1062</t>
  </si>
  <si>
    <t>{48875648-56F8-4278-B0D7-4ADEA8A89DF8}</t>
  </si>
  <si>
    <t>CABLE_LZDO18757~_1110</t>
  </si>
  <si>
    <t>{64BEF596-36AD-4F8A-8AE7-DEDD819482E7}</t>
  </si>
  <si>
    <t>CABLE_LZDO18810~_1083</t>
  </si>
  <si>
    <t>{360C6445-A3B8-4325-890F-34664715153A}</t>
  </si>
  <si>
    <t>CABLE_LZDO18816~_1055</t>
  </si>
  <si>
    <t>{8936D558-04A5-4367-BFDE-183EAD4C66BA}</t>
  </si>
  <si>
    <t>CABLE_LZDO18835~_1076</t>
  </si>
  <si>
    <t>{83DA8D06-A5DC-42D9-84D7-A875229CCCCB}</t>
  </si>
  <si>
    <t>CABLE_LZDO18836~_1064</t>
  </si>
  <si>
    <t>{725CD40A-E270-4603-8AD4-1AD47971CBA5}</t>
  </si>
  <si>
    <t>CABLE_LZDO18840~_1101</t>
  </si>
  <si>
    <t>{D879A8D1-E8E1-4891-889E-6D0739C308A0}</t>
  </si>
  <si>
    <t>CABLE_LZDO18850~_1069</t>
  </si>
  <si>
    <t>{498B815E-B8FA-47B2-AF02-40F8C25722D4}</t>
  </si>
  <si>
    <t>CABLE_LZDO18853~_1077</t>
  </si>
  <si>
    <t>{3E353ED0-4339-4A5E-8B1A-8A6B8C0D5821}</t>
  </si>
  <si>
    <t>CABLE_LZDO18854~_1070</t>
  </si>
  <si>
    <t>{787488D2-90AF-432C-AA9D-9B61E1E1357A}</t>
  </si>
  <si>
    <t>CABLE_LZDO18856~_1071</t>
  </si>
  <si>
    <t>{638BA311-15F8-4117-BBCA-10319CD88A63}</t>
  </si>
  <si>
    <t>CABLE_LZDO18858~_1095</t>
  </si>
  <si>
    <t>{66C2B49B-D1CE-4ED9-A9C4-F7767A3D3849}</t>
  </si>
  <si>
    <t>CABLE_LZDO18860~_1072</t>
  </si>
  <si>
    <t>{B621D8C2-86E3-479B-A587-D9535AB387EB}</t>
  </si>
  <si>
    <t>CABLE_LZDO21822~_1107</t>
  </si>
  <si>
    <t>{E167BA02-C4AD-4E0E-9A56-D1614F90E809}</t>
  </si>
  <si>
    <t>CABLE_LZDO27462~_1059</t>
  </si>
  <si>
    <t>{B7135698-637D-4DC8-A0C3-538094CABEF2}</t>
  </si>
  <si>
    <t>CABLE_LZJO00644~_1060</t>
  </si>
  <si>
    <t>{5C4BCE78-0DF5-49DB-BB7E-3837B9D8DE5D}</t>
  </si>
  <si>
    <t>CABLE_LZJO02124~_1051</t>
  </si>
  <si>
    <t>{71BA42A9-5AA8-4D0B-BA3B-BF123D322A30}</t>
  </si>
  <si>
    <t>CABLE_爱涛线12~站外-电_1112</t>
  </si>
  <si>
    <t>{23223786-0260-4573-A111-A1C175485FCA}</t>
  </si>
  <si>
    <t>CABLE_爱涛线4号环网柜10_1091</t>
  </si>
  <si>
    <t>{7FD553F3-BF8B-473F-8788-CDA17A154B2F}</t>
  </si>
  <si>
    <t>CABLE_站外-电缆中间接头~_1067</t>
  </si>
  <si>
    <t>{DDF1C006-7333-41A3-ADFF-E0AA039A05C7}</t>
  </si>
  <si>
    <t>CABLE_站外-电缆中间接头~_1068</t>
  </si>
  <si>
    <t>{F916FBA5-E859-49F5-80FF-64F5D87D710B}</t>
  </si>
  <si>
    <t>CABLE_站外-电缆中间接头~_1078</t>
  </si>
  <si>
    <t>{6256F6FE-DE95-41BF-863D-CC4C9216514C}</t>
  </si>
  <si>
    <t>CABLE_站外-电缆中间接头~_1088</t>
  </si>
  <si>
    <t>{4BAA9760-C3B0-4CBC-BFEF-3491A28CD7E5}</t>
  </si>
  <si>
    <t>CABLE_站外-电缆中间接头~_1089</t>
  </si>
  <si>
    <t>{AEE450A3-CB76-46D2-93C7-38CD45C12099}</t>
  </si>
  <si>
    <t>CABLE_站外-电缆中间接头~_1090</t>
  </si>
  <si>
    <t>{4BDED3AF-47BC-47D0-96BA-AA08E2341A9F}</t>
  </si>
  <si>
    <t>CABLE_站外-电缆中间接头~_1092</t>
  </si>
  <si>
    <t>{625C0601-AA73-4FDF-A250-48C46FDD0853}</t>
  </si>
  <si>
    <t>CABLE_站外-电缆中间接头~_1105</t>
  </si>
  <si>
    <t>{2214F550-C092-4283-930A-0BA8E0C4A3B1}</t>
  </si>
  <si>
    <t>CABLE_站外-电缆中间接头1_1086</t>
  </si>
  <si>
    <t>{A78573F8-E26F-49C5-A940-6FE65A9BBF73}</t>
  </si>
  <si>
    <t>CABLE_站外-电缆中间接头1_1113</t>
  </si>
  <si>
    <t>{B5C4E9F7-35EC-4E15-B6C0-2CB4E9EB94B2}</t>
  </si>
  <si>
    <t>CABLE_站外-电缆终端头~L_1052</t>
  </si>
  <si>
    <t>{429D6C7B-D006-4146-B888-A0CEC9AA0B1C}</t>
  </si>
  <si>
    <t>CABLE_站外-电缆终端头~L_1066</t>
  </si>
  <si>
    <t>{5CA7DF97-B905-4114-A77E-F2C1BE142CE5}</t>
  </si>
  <si>
    <t>CABLE_站外-电缆终端头~L_1080</t>
  </si>
  <si>
    <t>{1A7723EE-7588-4456-92A2-5348B1BB2312}</t>
  </si>
  <si>
    <t>CABLE_站外-电缆终端头~L_1103</t>
  </si>
  <si>
    <t>{DC5F8562-369F-4B05-87A8-978B76C9D8BD}</t>
  </si>
  <si>
    <t>CABLE_站外-电缆终端头~L_1174</t>
  </si>
  <si>
    <t>{E6177FDF-A4E1-4665-A94F-CABCD1C90425}</t>
  </si>
  <si>
    <t>CABLE_站外-电缆终端头~爱_1111</t>
  </si>
  <si>
    <t>{90B8979C-24F5-4945-B011-78E2A6A3D174}</t>
  </si>
  <si>
    <t>CABLE_站外-电缆终端头~站_1049</t>
  </si>
  <si>
    <t>{7511FB47-5D28-4117-82E8-FF49EF9CEECC}</t>
  </si>
  <si>
    <t>CABLE_站外-电缆终端头~站_1050</t>
  </si>
  <si>
    <t>{7D21A0EA-BF91-4AEE-940F-ACEFD0431D2B}</t>
  </si>
  <si>
    <t>CABLE_站外-电缆终端头~站_1057</t>
  </si>
  <si>
    <t>{67A1EF8E-55B1-48A2-A917-BF19A6F35A69}</t>
  </si>
  <si>
    <t>CABLE_站外-电缆终端头~站_1058</t>
  </si>
  <si>
    <t>{D8B931E8-0F10-45CF-BD70-DDEC27258CCE}</t>
  </si>
  <si>
    <t>CABLE_站外-电缆终端头~站_1065</t>
  </si>
  <si>
    <t>{E93C89C9-5BFA-40E6-9FD1-3F9D98F8BC61}</t>
  </si>
  <si>
    <t>CABLE_站外-电缆终端头~站_1074</t>
  </si>
  <si>
    <t>{645BCFD6-DE8E-4BFF-BFAB-526F15FE43C4}</t>
  </si>
  <si>
    <t>CABLE_站外-电缆终端头~站_1075</t>
  </si>
  <si>
    <t>{4FBF79EA-411F-46CC-87DE-FA972E21776B}</t>
  </si>
  <si>
    <t>CABLE_站外-电缆终端头~站_1084</t>
  </si>
  <si>
    <t>{18A653ED-EC33-4FDD-A218-0A5B07155478}</t>
  </si>
  <si>
    <t>CABLE_站外-电缆终端头~站_1085</t>
  </si>
  <si>
    <t>{36D66D6A-BCF3-4054-8639-8B7C98F0CA23}</t>
  </si>
  <si>
    <t>CABLE_站外-电缆终端头~站_1096</t>
  </si>
  <si>
    <t>{ED1B1ECD-68F2-4E0B-9C2A-D665D142EA69}</t>
  </si>
  <si>
    <t>CABLE_站外-电缆终端头~站_1097</t>
  </si>
  <si>
    <t>{A6F7AA10-1CB5-418F-B507-2068E502EF24}</t>
  </si>
  <si>
    <t>CABLE_站外-电缆终端头~站_1098</t>
  </si>
  <si>
    <t>{82B4CADB-0C62-434E-B594-67EFA73756F7}</t>
  </si>
  <si>
    <t>CABLE_站外-电缆终端头~站_1099</t>
  </si>
  <si>
    <t>{DAC706D7-6C31-4533-A38A-B90B99BE5D4E}</t>
  </si>
  <si>
    <t>CABLE_站外-电缆终端头~站_1100</t>
  </si>
  <si>
    <t>{065BF479-7E0D-4017-84A9-E0C837F10D75}</t>
  </si>
  <si>
    <t>CABLE_站外-电缆终端头~站_1106</t>
  </si>
  <si>
    <t>{ED1A7BBC-C55C-46B4-AC4A-D46060C40AF4}</t>
  </si>
  <si>
    <t>CABLE_站外-电缆终端头~站_1108</t>
  </si>
  <si>
    <t>{D05A7596-3E97-4B15-AAED-766BE118D74F}</t>
  </si>
  <si>
    <t>CABLE_站外-电缆终端头~站_1109</t>
  </si>
  <si>
    <t>{66990B6F-EB76-4C96-93F4-80A8923DAC10}</t>
  </si>
  <si>
    <t>CABLE_站外-电缆终端头18_1079</t>
  </si>
  <si>
    <t>{B3067146-CC5A-4336-BB4A-FB4996EEE90E}</t>
  </si>
  <si>
    <t>CABLE_站外-电缆终端头18_1087</t>
  </si>
  <si>
    <t>{63A1E462-75F7-4F4A-A244-7AA1D5539267}</t>
  </si>
  <si>
    <t>CABLE_站外-电缆终端头24_1063</t>
  </si>
  <si>
    <t>{AF5132CD-F33A-4429-80F8-0C8AB9E4231F}</t>
  </si>
  <si>
    <t>CABLE_能瑞充电一~南京能瑞_1171</t>
  </si>
  <si>
    <t>{0ED77A13-50D6-467B-A289-29EA5EA86AE1}</t>
  </si>
  <si>
    <t>CABLE_隐龙山支4~江宁经济_1056</t>
  </si>
  <si>
    <t>{B7FA9D77-F771-4FD7-8774-0B4000454D05}</t>
  </si>
  <si>
    <t>CABLE_高湖路灯~开发总公司_1176</t>
  </si>
  <si>
    <t>{840F4471-CC72-4829-AD19-5D74CBEED858}</t>
  </si>
  <si>
    <t>HVCB_#1、#2箱变1线__544</t>
  </si>
  <si>
    <t>Closed</t>
  </si>
  <si>
    <t>{3E84E4C9-07D3-481E-83F7-16506863BDD7}</t>
  </si>
  <si>
    <t>HVCB_#1、#2箱变2线__543</t>
  </si>
  <si>
    <t>{2AF7BC13-947D-4165-9610-BEEF8415BE81}</t>
  </si>
  <si>
    <t>HVCB_#1、2变II线_1_540</t>
  </si>
  <si>
    <t>{9CC70AED-5D0B-4D28-B459-771B4AB81FAB}</t>
  </si>
  <si>
    <t>HVCB_#1、2变I线_1_547</t>
  </si>
  <si>
    <t>{EE84E1FD-9996-4A4D-9561-FE4EC6D168E5}</t>
  </si>
  <si>
    <t>HVCB_#1客户变线_1_545</t>
  </si>
  <si>
    <t>{4B1CC591-3CDB-4FF5-BA67-043A6D8CB3D7}</t>
  </si>
  <si>
    <t>HVCB_#1母联_1_536</t>
  </si>
  <si>
    <t>Open</t>
  </si>
  <si>
    <t>{EDE8DD07-8130-44AB-B0CF-96D28DDC3D19}</t>
  </si>
  <si>
    <t>HVCB_#1环网柜线（客户变_548</t>
  </si>
  <si>
    <t>{038C3BAD-4F7B-4494-87B1-40F7A705367B}</t>
  </si>
  <si>
    <t>HVCB_#2客户变线_1_542</t>
  </si>
  <si>
    <t>{89020A8A-6DF0-47AB-BA5F-71A9C5F6EDBC}</t>
  </si>
  <si>
    <t>HVCB_#2所变_1_538</t>
  </si>
  <si>
    <t>{7034812D-E459-4E81-9300-9FD5DB72D907}</t>
  </si>
  <si>
    <t>HVCB_#2母联_1_537</t>
  </si>
  <si>
    <t>{75CB9A85-18F0-49C9-A3F6-F427F2C3E617}</t>
  </si>
  <si>
    <t>HVCB_#2环网柜线（客户变_539</t>
  </si>
  <si>
    <t>{75E4FDBD-9449-437B-A62C-27D64CFF8E7D}</t>
  </si>
  <si>
    <t>HVCB_#3、4变II线_1_541</t>
  </si>
  <si>
    <t>{EC512411-AED9-40C3-BBE3-A20D2341012B}</t>
  </si>
  <si>
    <t>HVCB_#3、4变I线_1_546</t>
  </si>
  <si>
    <t>{A7F4D0F4-DDFC-40A9-AED9-8B18B74F5E07}</t>
  </si>
  <si>
    <t>HVCB_1#所用变_1_549</t>
  </si>
  <si>
    <t>{1872BB4C-11A5-4B2A-9700-D972DE072B3A}</t>
  </si>
  <si>
    <t>HVCB_1013_1_677</t>
  </si>
  <si>
    <t>{FB66D1C8-151F-414B-8401-347D300E001E}</t>
  </si>
  <si>
    <t>HVCB_1013_1_683</t>
  </si>
  <si>
    <t>{EB5A8028-EE90-40EA-8681-2D20B1D155E5}</t>
  </si>
  <si>
    <t>HVCB_1013_1_686</t>
  </si>
  <si>
    <t>{2EEDA131-9B4A-44FD-B1F2-3BD4087464B1}</t>
  </si>
  <si>
    <t>HVCB_1013_1_694</t>
  </si>
  <si>
    <t>{8E20279A-B4FA-41F7-8735-BB5074D9E145}</t>
  </si>
  <si>
    <t>HVCB_1023_1_684</t>
  </si>
  <si>
    <t>{EDFB8330-022C-4BBA-8172-0478B06F006D}</t>
  </si>
  <si>
    <t>HVCB_1033_1_689</t>
  </si>
  <si>
    <t>{F96EA6AA-B41F-4059-B7C7-96CB7FC7D40A}</t>
  </si>
  <si>
    <t>HVCB_1043_1_691</t>
  </si>
  <si>
    <t>{44DA9BA7-F727-49AA-9A46-F4EBD4403074}</t>
  </si>
  <si>
    <t>HVCB_1053_1_690</t>
  </si>
  <si>
    <t>{AA2DE634-6D88-4798-B76E-74CDF0B8E0C3}</t>
  </si>
  <si>
    <t>HVCB_10kV爱涛线_1_550</t>
  </si>
  <si>
    <t>{E6FE3CB2-FD7E-402E-91F6-051C408400F6}</t>
  </si>
  <si>
    <t>HVCB_10kV通淮线_1_551</t>
  </si>
  <si>
    <t>{F1C11147-2405-4361-8C39-ED2C6874E913}</t>
  </si>
  <si>
    <t>HVCB_1113_1_676</t>
  </si>
  <si>
    <t>{777269F1-0B3D-40A9-8372-628717DE40E9}</t>
  </si>
  <si>
    <t>HVCB_1113_1_685</t>
  </si>
  <si>
    <t>{88F64187-A147-4FD5-B0A3-8E5C49753909}</t>
  </si>
  <si>
    <t>HVCB_1113_1_687</t>
  </si>
  <si>
    <t>{1F0416DC-89D4-446D-AF2D-7E8C540C149F}</t>
  </si>
  <si>
    <t>HVCB_1113_1_695</t>
  </si>
  <si>
    <t>{EF74C2B1-93AB-4E65-93D6-704F42D618CB}</t>
  </si>
  <si>
    <t>HVCB_1123_1_678</t>
  </si>
  <si>
    <t>{9720CAF0-6733-4A60-8622-E9F794F3C58A}</t>
  </si>
  <si>
    <t>HVCB_1123_1_682</t>
  </si>
  <si>
    <t>{D6F714FB-5902-42CB-8AD8-6349196B93D3}</t>
  </si>
  <si>
    <t>HVCB_1123_1_688</t>
  </si>
  <si>
    <t>{C3930765-8B19-4541-B745-C3EB61B01EBA}</t>
  </si>
  <si>
    <t>HVCB_1123_1_692</t>
  </si>
  <si>
    <t>{284EF6E2-578A-4FDD-9537-6D180D59156C}</t>
  </si>
  <si>
    <t>HVCB_1133_1_679</t>
  </si>
  <si>
    <t>{64894641-74A9-4751-9086-C194E030C9F5}</t>
  </si>
  <si>
    <t>HVCB_1133_1_693</t>
  </si>
  <si>
    <t>{0332C07C-9A54-4276-893C-D36238A819EE}</t>
  </si>
  <si>
    <t>HVCB_1143_1_680</t>
  </si>
  <si>
    <t>{0E5A806A-C421-46BD-B581-D913185E4999}</t>
  </si>
  <si>
    <t>HVCB_1143_1_696</t>
  </si>
  <si>
    <t>{938262BD-7A7A-4B1A-A42B-B8F34FA429F5}</t>
  </si>
  <si>
    <t>HVCB_1153_1_681</t>
  </si>
  <si>
    <t>{144837FE-B81C-4613-80DD-8BD2BFB8261C}</t>
  </si>
  <si>
    <t>HVCB_1153_1_697</t>
  </si>
  <si>
    <t>{82ADAAD8-DB8F-4360-A9B2-F22716AD16A5}</t>
  </si>
  <si>
    <t>HVCB_PT柜_1_510</t>
  </si>
  <si>
    <t>{DF0CD7F2-9115-42C0-A496-DD1DF9CB572A}</t>
  </si>
  <si>
    <t>HVCB_PT柜_1_535</t>
  </si>
  <si>
    <t>{7AE91675-AE43-40C0-9F86-86BB99108E35}</t>
  </si>
  <si>
    <t>HVCB_PT柜_1_574</t>
  </si>
  <si>
    <t>{F47C705A-03F3-4940-A256-78751BDC655C}</t>
  </si>
  <si>
    <t>HVCB_PT柜_1_575</t>
  </si>
  <si>
    <t>{7F143916-2A04-44FC-9D44-7F472FA26ED7}</t>
  </si>
  <si>
    <t>HVCB_亚都I_487</t>
  </si>
  <si>
    <t>{15D94660-B798-4917-AC6F-A92266D62A09}</t>
  </si>
  <si>
    <t>HVCB_亚都天元居#3箱变进_561</t>
  </si>
  <si>
    <t>{321C76B3-C781-420B-A696-D60DF3BBCDB4}</t>
  </si>
  <si>
    <t>HVCB_亚都天元居#4箱变进_560</t>
  </si>
  <si>
    <t>{8310336C-A9C5-458D-BFF6-7DDC0042F11A}</t>
  </si>
  <si>
    <t>HVCB_低压总开关_367</t>
  </si>
  <si>
    <t>{568B97EA-C4CF-404D-AD65-8AEA868D8FFF}</t>
  </si>
  <si>
    <t>HVCB_凤涛（自）_490</t>
  </si>
  <si>
    <t>{D988745E-BFE2-4E21-A52E-A1A4D36222E1}</t>
  </si>
  <si>
    <t>HVCB_备用_1_499</t>
  </si>
  <si>
    <t>{AD1A636D-EAB9-44A0-B692-310B3661F096}</t>
  </si>
  <si>
    <t>HVCB_备用_1_511</t>
  </si>
  <si>
    <t>{B9C62AC1-0044-474D-BEB6-0C88E6B56C1A}</t>
  </si>
  <si>
    <t>HVCB_备用_1_515</t>
  </si>
  <si>
    <t>{A5974E5A-E3C8-42FA-910B-2B36EA81589C}</t>
  </si>
  <si>
    <t>HVCB_备用_1_523</t>
  </si>
  <si>
    <t>{3CF1AAFA-6AC2-40F5-B02B-02AD5DC8C162}</t>
  </si>
  <si>
    <t>HVCB_备用_1_527</t>
  </si>
  <si>
    <t>{6B935C6B-DB03-4B1B-87E9-BBA6FAEC5E9E}</t>
  </si>
  <si>
    <t>HVCB_备用_1_529</t>
  </si>
  <si>
    <t>{2DA4D86D-B4F1-4720-BCAD-26CBB0C5E7EF}</t>
  </si>
  <si>
    <t>HVCB_备用_1_532</t>
  </si>
  <si>
    <t>{909264BE-6688-4DC1-888F-D022035C6B10}</t>
  </si>
  <si>
    <t>HVCB_备用_1_533</t>
  </si>
  <si>
    <t>{06F06212-EDB8-4107-9700-5ED274BE3E2D}</t>
  </si>
  <si>
    <t>HVCB_备用_353</t>
  </si>
  <si>
    <t>{E6718DBB-C844-4F5B-B034-3A7BC157F6A7}</t>
  </si>
  <si>
    <t>HVCB_备用_354</t>
  </si>
  <si>
    <t>{124FA012-7860-4AAC-A3BB-167566209DFC}</t>
  </si>
  <si>
    <t>HVCB_备用_361</t>
  </si>
  <si>
    <t>{FC143042-6398-4F91-83E6-1844C82D6A39}</t>
  </si>
  <si>
    <t>HVCB_备用_362</t>
  </si>
  <si>
    <t>{6C78C87F-C549-47EE-A23D-536CB164F486}</t>
  </si>
  <si>
    <t>HVCB_备用_372</t>
  </si>
  <si>
    <t>{A59CBACB-9438-41C0-8CB6-2316F0642CBB}</t>
  </si>
  <si>
    <t>HVCB_备用_378</t>
  </si>
  <si>
    <t>{15CB4BD5-9FDA-480D-B0C3-E7AA2435092F}</t>
  </si>
  <si>
    <t>HVCB_备用_508</t>
  </si>
  <si>
    <t>{15594264-2E4A-4AE8-A3F0-67A3756ABBBA}</t>
  </si>
  <si>
    <t>HVCB_天元居#1箱变进线开_559</t>
  </si>
  <si>
    <t>{4B78941E-ED3D-46D0-B21A-1A6360885325}</t>
  </si>
  <si>
    <t>HVCB_太平南区#1欧变进线_557</t>
  </si>
  <si>
    <t>{6A1294F8-D05B-4571-BCA9-6E837A293084}</t>
  </si>
  <si>
    <t>HVCB_太平南区#2欧变进线_562</t>
  </si>
  <si>
    <t>{0C7BDB14-1E35-40AC-84C8-447905BCF9DC}</t>
  </si>
  <si>
    <t>HVCB_太平小区_484</t>
  </si>
  <si>
    <t>{E28D112E-3D29-407A-8D2F-13B7B1BA576F}</t>
  </si>
  <si>
    <t>HVCB_太平花苑#10变#1_554</t>
  </si>
  <si>
    <t>{8246C217-2235-4738-AFDA-538FFCC580BC}</t>
  </si>
  <si>
    <t>HVCB_太平花苑#10变#2_363</t>
  </si>
  <si>
    <t>{1C8F36EA-E652-45DC-953F-00A51989631C}</t>
  </si>
  <si>
    <t>HVCB_太平花苑#16变进线_552</t>
  </si>
  <si>
    <t>{E72C3207-F65A-452A-84E9-399C64AB8224}</t>
  </si>
  <si>
    <t>HVCB_太平花苑#16变进线_553</t>
  </si>
  <si>
    <t>{58886461-EBBD-4AF6-A8C2-CC0FC700CFD5}</t>
  </si>
  <si>
    <t>HVCB_太平花苑#17变进线_555</t>
  </si>
  <si>
    <t>{950F48AE-F6F2-4E6F-86A6-C90B685F2431}</t>
  </si>
  <si>
    <t>HVCB_太平花苑#17变进线_556</t>
  </si>
  <si>
    <t>{A8CFE99A-9A5B-4C5A-B692-928EAC8ADDF5}</t>
  </si>
  <si>
    <t>HVCB_太平花苑#3变进线开_570</t>
  </si>
  <si>
    <t>{24F79F40-D01A-4785-ABC8-8BB27DC8B0F5}</t>
  </si>
  <si>
    <t>HVCB_太平花苑#4变进线开_571</t>
  </si>
  <si>
    <t>{FCF4B028-AE12-4664-96E6-58F01FA33EF1}</t>
  </si>
  <si>
    <t>HVCB_太平花苑#5变进线开_568</t>
  </si>
  <si>
    <t>{95B4C32B-28C9-43CB-A761-B214CB6817CE}</t>
  </si>
  <si>
    <t>HVCB_太平花苑#5变进线开_569</t>
  </si>
  <si>
    <t>{9B6EA1EC-BC34-463E-82D4-8EE9FF5C81F8}</t>
  </si>
  <si>
    <t>HVCB_太平花苑#6变进线开_567</t>
  </si>
  <si>
    <t>{59660A5B-AB59-4C34-9ABF-5F2404EEC881}</t>
  </si>
  <si>
    <t>HVCB_太平花苑#7变进线开_566</t>
  </si>
  <si>
    <t>{9C336F34-E96A-4B1C-AC15-7EE38C4410D5}</t>
  </si>
  <si>
    <t>HVCB_太平花苑#8变进线开_565</t>
  </si>
  <si>
    <t>{239716F7-E213-4000-A931-DBB2224DA3FB}</t>
  </si>
  <si>
    <t>HVCB_太平花苑#9变进线开_369</t>
  </si>
  <si>
    <t>{42C9D411-0512-49F8-895C-7BD8B9642350}</t>
  </si>
  <si>
    <t>HVCB_太平花苑9#变进线开_370</t>
  </si>
  <si>
    <t>{4B4A36EE-7F26-41FA-BDE2-8569F760A9E1}</t>
  </si>
  <si>
    <t>HVCB_太平花苑Ⅱ_483</t>
  </si>
  <si>
    <t>{2D43A5B2-F09C-4276-AED4-97CDCF4D2C54}</t>
  </si>
  <si>
    <t>HVCB_学苑_491</t>
  </si>
  <si>
    <t>{75DD98A0-B52F-4A0E-8791-6AD84C5F6F62}</t>
  </si>
  <si>
    <t>HVCB_寒锐_486</t>
  </si>
  <si>
    <t>{6FFC3F35-9960-47A4-980D-9BEC7DFD8EE8}</t>
  </si>
  <si>
    <t>HVCB_平泰_493</t>
  </si>
  <si>
    <t>{0287B118-B5F3-4136-9E30-561651E413A5}</t>
  </si>
  <si>
    <t>HVCB_母联_368</t>
  </si>
  <si>
    <t>{181F1BE5-422D-4F8F-9E40-C305D590C598}</t>
  </si>
  <si>
    <t>HVCB_爱涛线#42#杆_1_497</t>
  </si>
  <si>
    <t>{FDA46F0D-29A5-4484-8B46-7C613D2088B8}</t>
  </si>
  <si>
    <t>HVCB_爱涛线147断路器_344</t>
  </si>
  <si>
    <t>{F9A2F0EA-D9F2-4564-9414-6D0336668A2C}</t>
  </si>
  <si>
    <t>HVCB_由10kV爱涛线#2_505</t>
  </si>
  <si>
    <t>{281DA00D-D2D1-4DBE-9D7A-0E3D1AC5F15D}</t>
  </si>
  <si>
    <t>HVCB_由10kV爱涛线16_350</t>
  </si>
  <si>
    <t>{3B573227-408F-447C-AE43-D92A0E970C45}</t>
  </si>
  <si>
    <t>HVCB_由10kV爱涛线18_355</t>
  </si>
  <si>
    <t>{5C44C472-158B-4E80-A736-E3BBC44E166B}</t>
  </si>
  <si>
    <t>HVCB_由10kV爱涛线1号_509</t>
  </si>
  <si>
    <t>{5D7827B9-08A8-4322-BB8B-3117CF8502B8}</t>
  </si>
  <si>
    <t>HVCB_由10kV爱涛线36_379</t>
  </si>
  <si>
    <t>{2307F321-01CB-4DA5-90A1-8B9080B88D03}</t>
  </si>
  <si>
    <t>HVCB_由10kV爱涛线4号_534</t>
  </si>
  <si>
    <t>{B8678868-00D3-401D-991F-9595FAEEEB47}</t>
  </si>
  <si>
    <t>HVCB_由10kV爱涛线太平_501</t>
  </si>
  <si>
    <t>{C894CB17-B5FC-4D54-A8C0-01910BD0CAB0}</t>
  </si>
  <si>
    <t>HVCB_由10kV爱涛线隐龙_526</t>
  </si>
  <si>
    <t>{0D474F76-5CC6-4184-82F7-F4AC25C57FC5}</t>
  </si>
  <si>
    <t>HVCB_由10kV苏源4号线_371</t>
  </si>
  <si>
    <t>{7BA36E9F-4FBB-40E4-AB7C-59E503C7C0F0}</t>
  </si>
  <si>
    <t>HVCB_由10kV西花园线1_514</t>
  </si>
  <si>
    <t>{932CBB4B-5D4C-4EE6-915A-C216DA9EA322}</t>
  </si>
  <si>
    <t>HVCB_由10kV西花园线5_520</t>
  </si>
  <si>
    <t>{0A690CB1-C309-481A-8A47-DC895B8B2023}</t>
  </si>
  <si>
    <t>HVCB_由220kV九龙变1_359</t>
  </si>
  <si>
    <t>{823036A2-0D00-4292-8CE4-ABA34F0DF4A3}</t>
  </si>
  <si>
    <t>HVCB_由亚都天元居开闭所1_345</t>
  </si>
  <si>
    <t>{D63EC5AF-8076-4F5E-BC2D-C96D70CAFD24}</t>
  </si>
  <si>
    <t>HVCB_由爱涛线隐龙山支05_518</t>
  </si>
  <si>
    <t>{5C0CAC1B-3105-4F11-8F38-148E04B6C758}</t>
  </si>
  <si>
    <t>HVCB_管理局_492</t>
  </si>
  <si>
    <t>{A7E2C314-100C-48BB-8D47-276C537B714D}</t>
  </si>
  <si>
    <t>HVCB_能瑞充电一_572</t>
  </si>
  <si>
    <t>{C9D423A7-0026-4449-BD03-27A50083F918}</t>
  </si>
  <si>
    <t>HVCB_腾亚_485</t>
  </si>
  <si>
    <t>{30B80D8C-E082-439B-8920-3791BFFDF686}</t>
  </si>
  <si>
    <t>HVCB_至#1变_1_366</t>
  </si>
  <si>
    <t>{947331A7-8A19-42B8-9516-6E2FBA334409}</t>
  </si>
  <si>
    <t>HVCB_至#2变_1_364</t>
  </si>
  <si>
    <t>{A38B1585-2ACA-4387-9802-C2348C025B39}</t>
  </si>
  <si>
    <t>HVCB_至10kv佛首2号线_376</t>
  </si>
  <si>
    <t>{1119F76C-F358-48AB-A9E7-4192969199CC}</t>
  </si>
  <si>
    <t>HVCB_至10kV南投线10_495</t>
  </si>
  <si>
    <t>{31946217-F06C-43C7-8C74-53829AF84042}</t>
  </si>
  <si>
    <t>HVCB_至10kV南航线南超_494</t>
  </si>
  <si>
    <t>{640FFD76-A669-4197-A7CD-FC041DC5D95D}</t>
  </si>
  <si>
    <t>HVCB_至10kV太平花苑3_382</t>
  </si>
  <si>
    <t>{C795C2F9-BEB7-46C5-A170-F986DC2A1800}</t>
  </si>
  <si>
    <t>HVCB_至10kV太平花苑4_380</t>
  </si>
  <si>
    <t>{237F5350-9579-4A41-A213-2D9112273E52}</t>
  </si>
  <si>
    <t>HVCB_至10kV太平花苑5_381</t>
  </si>
  <si>
    <t>{ECE563FE-5F6F-4A11-9C0F-E144FC693D4C}</t>
  </si>
  <si>
    <t>HVCB_至10kV爱涛线#1_531</t>
  </si>
  <si>
    <t>{70B70F2D-7ADE-4B25-97E2-81730000C676}</t>
  </si>
  <si>
    <t>HVCB_至10kV爱涛线01_373</t>
  </si>
  <si>
    <t>{EFF9DD6F-A371-46FC-92BE-3A2D8DD31151}</t>
  </si>
  <si>
    <t>HVCB_至10kV爱涛线09_528</t>
  </si>
  <si>
    <t>{674A15E4-7EC0-489E-A382-02564700B5C2}</t>
  </si>
  <si>
    <t>HVCB_至10kV爱涛线10_530</t>
  </si>
  <si>
    <t>{19104136-6A56-4CE7-A793-C655DA026195}</t>
  </si>
  <si>
    <t>HVCB_至10kV爱涛线亚都_346</t>
  </si>
  <si>
    <t>{23AF1DC1-B705-4835-B65E-75A24767146F}</t>
  </si>
  <si>
    <t>HVCB_至10kV爱涛线亚都_347</t>
  </si>
  <si>
    <t>{0596F72C-BCCB-4CB1-9B36-C67F0C0269E0}</t>
  </si>
  <si>
    <t>HVCB_至10kV爱涛线亚都_348</t>
  </si>
  <si>
    <t>{6AA700E7-6468-4241-99DE-8D35AF74AB2B}</t>
  </si>
  <si>
    <t>HVCB_至10kV爱涛线太平_502</t>
  </si>
  <si>
    <t>{33F21BBB-2953-42ED-B2F7-08169C716E37}</t>
  </si>
  <si>
    <t>HVCB_至10kV爱涛线爱佛_360</t>
  </si>
  <si>
    <t>{4BFAF3FB-26E9-4855-8F87-27EB5868F26E}</t>
  </si>
  <si>
    <t>HVCB_至10kV爱涛线腾亚_512</t>
  </si>
  <si>
    <t>{22E4293A-3D98-4322-A54A-6D978DB49FBC}</t>
  </si>
  <si>
    <t>HVCB_至10kV爱涛线路灯_352</t>
  </si>
  <si>
    <t>{75DC3272-0B73-483E-B886-6E9B54D410D3}</t>
  </si>
  <si>
    <t>HVCB_至10kV苏源4号线_374</t>
  </si>
  <si>
    <t>{D16B758E-9CF6-4CB4-BA1E-49B86E1D44C8}</t>
  </si>
  <si>
    <t>HVCB_至10kV苏源4号线_375</t>
  </si>
  <si>
    <t>{72660AFD-3688-4477-AB1A-5DF7D3B94513}</t>
  </si>
  <si>
    <t>HVCB_至10kV西花园线1_356</t>
  </si>
  <si>
    <t>{202494C3-B119-446D-A90A-67C9A10CF540}</t>
  </si>
  <si>
    <t>HVCB_至10kV西花园线1_513</t>
  </si>
  <si>
    <t>{967DAA0E-E7BC-4603-8879-F4777B4A3F8D}</t>
  </si>
  <si>
    <t>HVCB_至南京市江宁医院_351</t>
  </si>
  <si>
    <t>{B8703507-A815-48F9-AEB5-EAA1F9E9AF51}</t>
  </si>
  <si>
    <t>HVCB_至南京市翠屏山小学_377</t>
  </si>
  <si>
    <t>{AA7DC6E7-00A1-4C63-AC8B-49F0D610AC0A}</t>
  </si>
  <si>
    <t>HVCB_至南京江宁经济技术开_349</t>
  </si>
  <si>
    <t>{B07E620F-5B96-4109-A0ED-6375D3D93F60}</t>
  </si>
  <si>
    <t>HVCB_至太平南区1#欧变__517</t>
  </si>
  <si>
    <t>{B1A66A63-3443-42CD-8D3D-05BBC93A539F}</t>
  </si>
  <si>
    <t>HVCB_至太平南区2欧变_1_516</t>
  </si>
  <si>
    <t>{F6764E45-78F0-4D45-B1F2-BA26C39F07D7}</t>
  </si>
  <si>
    <t>HVCB_至太平花苑#10变__503</t>
  </si>
  <si>
    <t>{CCE58C10-68E8-4A50-BA1E-B8F8AACBC2D9}</t>
  </si>
  <si>
    <t>HVCB_至太平花苑#16变__500</t>
  </si>
  <si>
    <t>{46F839BB-832F-41FF-8D08-1088CCB8E8D3}</t>
  </si>
  <si>
    <t>HVCB_至太平花苑#17变__498</t>
  </si>
  <si>
    <t>{9A278266-45B4-4118-878A-4E88C31F0F9E}</t>
  </si>
  <si>
    <t>HVCB_至太平花苑#9变_1_504</t>
  </si>
  <si>
    <t>{A32A1D7F-9590-4FA8-B03E-0DC3B8BA93A8}</t>
  </si>
  <si>
    <t>HVCB_至工商局电房_507</t>
  </si>
  <si>
    <t>{9CD85C6D-3153-40EB-819E-194AEBD28667}</t>
  </si>
  <si>
    <t>HVCB_至爱涛线腾亚环网柜1_365</t>
  </si>
  <si>
    <t>{294E8F04-7684-4291-B501-F02702E7F0E1}</t>
  </si>
  <si>
    <t>HVCB_至爱涛线腾亚环网柜1_558</t>
  </si>
  <si>
    <t>{2F8C4847-D436-47E4-8AEC-9830778E49D6}</t>
  </si>
  <si>
    <t>HVCB_至爱涛线隐龙山支#6_519</t>
  </si>
  <si>
    <t>{0B92F020-E3D0-491E-A45C-D5FBA871CD40}</t>
  </si>
  <si>
    <t>HVCB_至路灯管理所箱变_506</t>
  </si>
  <si>
    <t>{E07DEE19-46DE-41D7-B086-892815627839}</t>
  </si>
  <si>
    <t>HVCB_至远东公司变_1_496</t>
  </si>
  <si>
    <t>{59A43464-35EE-408E-9412-032F4D33F18E}</t>
  </si>
  <si>
    <t>HVCB_至逸翠居小区1号箱变_358</t>
  </si>
  <si>
    <t>{CDD6CC7E-9052-456C-AC2E-50ED41731080}</t>
  </si>
  <si>
    <t>HVCB_至逸翠居小区2号箱变_357</t>
  </si>
  <si>
    <t>{5983A4A9-B034-4BE7-959C-1387ABFA45BB}</t>
  </si>
  <si>
    <t>HVCB_至颐秀居#1箱变_1_525</t>
  </si>
  <si>
    <t>{8FA90B73-5648-4CD3-8939-F766EE48C3F1}</t>
  </si>
  <si>
    <t>HVCB_至颐秀居#2箱变_1_524</t>
  </si>
  <si>
    <t>{4CB154C8-7A6C-4F2C-8816-0C7FD8F03452}</t>
  </si>
  <si>
    <t>HVCB_至高尔夫西花园#4变_522</t>
  </si>
  <si>
    <t>{28C2C02B-52A3-41C4-B26C-38CD418EC996}</t>
  </si>
  <si>
    <t>HVCB_至高尔夫西花园#5变_521</t>
  </si>
  <si>
    <t>{20ED46DC-D0B0-422C-AF73-E9F483B3FC63}</t>
  </si>
  <si>
    <t>HVCB_隐龙山_489</t>
  </si>
  <si>
    <t>{F27821E3-2001-419D-9E75-B1F4FE65D518}</t>
  </si>
  <si>
    <t>HVCB_颐秀居#1变进线开关_563</t>
  </si>
  <si>
    <t>{161DC8E5-37E4-4936-AFF3-762CA1BBB7B9}</t>
  </si>
  <si>
    <t>HVCB_颐秀居#2变进线开关_564</t>
  </si>
  <si>
    <t>{ADA1E9FA-3C01-4193-B97D-4C2E7799F9B1}</t>
  </si>
  <si>
    <t>HVCB_颐秀居_488</t>
  </si>
  <si>
    <t>{6BBCE78E-9B6C-4996-B447-125FF91E0500}</t>
  </si>
  <si>
    <t>HVCB_高湖路灯_573</t>
  </si>
  <si>
    <t>{AE8605BE-AF1E-453A-B993-6F80EEAD0611}</t>
  </si>
  <si>
    <t>LOAD_#1变_818_1526</t>
  </si>
  <si>
    <t>Continuous</t>
  </si>
  <si>
    <t>{9E9F280F-407E-4447-8E3C-2CBB63A68880}</t>
  </si>
  <si>
    <t>LOAD_#2变_819_1528</t>
  </si>
  <si>
    <t>{8032CB6F-AED2-4D6C-8EB0-E5CF0B197090}</t>
  </si>
  <si>
    <t>LOAD_【低联互备】江苏亚都_943</t>
  </si>
  <si>
    <t>{3F8B8A7C-CFDB-4E73-BD95-EE8A80AB29DF}</t>
  </si>
  <si>
    <t>LOAD_【低联互备】江苏亚都_946</t>
  </si>
  <si>
    <t>{D88799CF-E919-40BF-A232-037BA724899F}</t>
  </si>
  <si>
    <t>LOAD_【高联互备】南京市工_944</t>
  </si>
  <si>
    <t>{D0FBD70C-BD83-4AC6-A9E6-0D4FC7DAE3EA}</t>
  </si>
  <si>
    <t>LOAD_1#箱变_814_1518</t>
  </si>
  <si>
    <t>{CABD79C9-06FB-4854-AE67-7171DED572CB}</t>
  </si>
  <si>
    <t>LOAD_1#配电所1#_80_1488</t>
  </si>
  <si>
    <t>{DAECA034-66E5-4C2B-92A6-69DA851C9797}</t>
  </si>
  <si>
    <t>LOAD_1#配电所2#_80_1496</t>
  </si>
  <si>
    <t>{40EE8AB8-D87C-415E-842E-E43D6D9858D1}</t>
  </si>
  <si>
    <t>LOAD_1#配电所3#_80_1486</t>
  </si>
  <si>
    <t>{CBB94363-22BC-4F5C-A5B3-BF8A7F1D422B}</t>
  </si>
  <si>
    <t>LOAD_1#配电所4#_80_1498</t>
  </si>
  <si>
    <t>{F8090374-B6E7-4ACD-9BE8-DFDCB1B89ACF}</t>
  </si>
  <si>
    <t>LOAD_V爱涛线1号环_79_1492</t>
  </si>
  <si>
    <t>{EC0A807A-1C13-43BA-AD1F-363E5C0AC956}</t>
  </si>
  <si>
    <t>LOAD_V爱涛线3号环_83_1552</t>
  </si>
  <si>
    <t>{45F7604D-7623-4CAC-9346-421082C9ECAD}</t>
  </si>
  <si>
    <t>LOAD_V爱涛线4号环_79_1494</t>
  </si>
  <si>
    <t>{15A16A4B-AEBE-4801-949B-1A819E7CC2E3}</t>
  </si>
  <si>
    <t>LOAD_V苏源4号线2_83_1550</t>
  </si>
  <si>
    <t>{840884F9-3E23-42F6-92DD-42186C81E034}</t>
  </si>
  <si>
    <t>LOAD_元居#3箱变_816_1522</t>
  </si>
  <si>
    <t>{ECA3FFB9-284B-4AAA-A713-4BBB2642FBBE}</t>
  </si>
  <si>
    <t>LOAD_元居#4箱变_815_1520</t>
  </si>
  <si>
    <t>{A7FCB86A-D04C-4217-B4C6-F5FB1D1DDB93}</t>
  </si>
  <si>
    <t>LOAD_区1变_811_1512</t>
  </si>
  <si>
    <t>{4DCEB525-75CA-4FB0-8E82-80156D369BD4}</t>
  </si>
  <si>
    <t>LOAD_区2变_817_1524</t>
  </si>
  <si>
    <t>{DF9814C6-02B4-472A-B039-CF3F4EBB6F88}</t>
  </si>
  <si>
    <t>LOAD_南京原野制衣有限公司_939</t>
  </si>
  <si>
    <t>{9A73A473-A7F8-41DC-AA6B-45D69B46D4CB}</t>
  </si>
  <si>
    <t>LOAD_南京寒锐钴业股份有限_940</t>
  </si>
  <si>
    <t>{3638DFF5-3CB8-49A6-BF4F-687C5E344233}</t>
  </si>
  <si>
    <t>LOAD_南京市国土资源局江宁_942</t>
  </si>
  <si>
    <t>{0327FE96-388C-4928-A9B0-2394523182B1}</t>
  </si>
  <si>
    <t>LOAD_南京市江宁区路灯管理_937</t>
  </si>
  <si>
    <t>{18075034-F1AA-4955-B005-FD76F52D9FF7}</t>
  </si>
  <si>
    <t>LOAD_南京市江宁医院_948</t>
  </si>
  <si>
    <t>{CF9C6F7D-B52A-4C11-B2E2-A983B0CAFE84}</t>
  </si>
  <si>
    <t>LOAD_南京市翠屏山小学_936</t>
  </si>
  <si>
    <t>{7D810D18-9E96-4F9F-9A5F-3E6E775A6FD0}</t>
  </si>
  <si>
    <t>LOAD_南京江城房地产开发有_935</t>
  </si>
  <si>
    <t>{7D0C1768-E7E9-4904-88F2-DD666783BD06}</t>
  </si>
  <si>
    <t>LOAD_南京江宁经济技术开发_938</t>
  </si>
  <si>
    <t>{68BA4FB8-8D65-46A9-B265-285E6B52B185}</t>
  </si>
  <si>
    <t>LOAD_南京江宁经济技术开发_941</t>
  </si>
  <si>
    <t>{1DC4AA87-374B-4120-B1FD-1BED51BF73FC}</t>
  </si>
  <si>
    <t>LOAD_南京能瑞新能源汽车充_945</t>
  </si>
  <si>
    <t>{5FB67107-3E0C-4CB2-BCAE-34D3387C64B2}</t>
  </si>
  <si>
    <t>LOAD_南京隐龙山农工商联合_934</t>
  </si>
  <si>
    <t>{E1F6F457-6B83-4FF5-BCF9-A3E064D260CC}</t>
  </si>
  <si>
    <t>LOAD_小区#1箱变_813_1516</t>
  </si>
  <si>
    <t>{00720D86-49E1-4FA1-96A2-37F1CF8A26C7}</t>
  </si>
  <si>
    <t>LOAD_小区#2箱变_812_1514</t>
  </si>
  <si>
    <t>{9DCC4677-E900-4F5C-BDC3-E8319575C78F}</t>
  </si>
  <si>
    <t>LOAD_开发总公司路灯变_947</t>
  </si>
  <si>
    <t>{9792D144-1664-4938-975D-CB7475ED77B6}</t>
  </si>
  <si>
    <t>LOAD_苑#16变1变_80_1500</t>
  </si>
  <si>
    <t>{CC6F3B46-2358-4E54-AAB1-C2C7204844FA}</t>
  </si>
  <si>
    <t>LOAD_苑#16变2变_80_1502</t>
  </si>
  <si>
    <t>{42EC69FB-2A28-42A0-AD6F-254D39BE1596}</t>
  </si>
  <si>
    <t>LOAD_苑#17变1变_80_1508</t>
  </si>
  <si>
    <t>{A986F8B2-8D88-4BE5-874C-DD6B884F6B66}</t>
  </si>
  <si>
    <t>LOAD_苑#17变2变_81_1510</t>
  </si>
  <si>
    <t>{876406F8-6F5A-4BFD-8753-34B06848C126}</t>
  </si>
  <si>
    <t>LOAD_苑#5变1变_824_1538</t>
  </si>
  <si>
    <t>{1E001AD8-E6C5-4E70-8F2C-AC5A98247F67}</t>
  </si>
  <si>
    <t>LOAD_苑#5变2变_825_1540</t>
  </si>
  <si>
    <t>{D969C898-B3E4-4161-B2C1-41D4E207DF8B}</t>
  </si>
  <si>
    <t>LOAD_苑10主变1变_80_1506</t>
  </si>
  <si>
    <t>{36C8017B-E8D0-4174-AE16-8ECB61A8C00C}</t>
  </si>
  <si>
    <t>LOAD_苑10主变2变_80_1504</t>
  </si>
  <si>
    <t>{89D6A378-150A-4D88-8853-437AE37FF5A2}</t>
  </si>
  <si>
    <t>LOAD_苑3主变1变_826_1542</t>
  </si>
  <si>
    <t>{626A8E85-CC92-42EB-AC3F-DE6EE2D9DEEF}</t>
  </si>
  <si>
    <t>LOAD_苑3主变2变_827_1490</t>
  </si>
  <si>
    <t>{8B11C8F7-F56B-4736-937B-6846819B9198}</t>
  </si>
  <si>
    <t>LOAD_苑4主变1变_828_1544</t>
  </si>
  <si>
    <t>{69BFC415-7935-4718-80BF-E1C675C631F3}</t>
  </si>
  <si>
    <t>LOAD_苑4主变2变_829_1484</t>
  </si>
  <si>
    <t>{FFC4F523-3246-40DD-8590-20FFB69566A3}</t>
  </si>
  <si>
    <t>LOAD_苑6主变_823_1536</t>
  </si>
  <si>
    <t>{C977D66B-2160-4B9A-BE14-3422DA2B2972}</t>
  </si>
  <si>
    <t>LOAD_苑7主变_822_1534</t>
  </si>
  <si>
    <t>{51FCF06C-2492-44A0-AEA1-63DBF362405A}</t>
  </si>
  <si>
    <t>LOAD_苑8主变1变_820_1530</t>
  </si>
  <si>
    <t>{3B2C7EB6-EAB3-410C-AA1C-E31622997B10}</t>
  </si>
  <si>
    <t>LOAD_苑8主变2变_821_1532</t>
  </si>
  <si>
    <t>{D44EE825-A0AE-4067-9853-BA6863DC5085}</t>
  </si>
  <si>
    <t>LOAD_苑9主变1变_830_1546</t>
  </si>
  <si>
    <t>{9BED22B7-3443-48A6-9799-0BCB43DA5EF2}</t>
  </si>
  <si>
    <t>LOAD_苑9主变2变_831_1548</t>
  </si>
  <si>
    <t>{2303253C-FE6F-4E2D-8360-213EDD5A2448}</t>
  </si>
  <si>
    <t>LOAD_苑菜场配电所_804_1482</t>
  </si>
  <si>
    <t>{48E5A87E-38C0-4A40-828C-6F4ABEFFED98}</t>
  </si>
  <si>
    <t>U1</t>
  </si>
  <si>
    <t>As-Built</t>
  </si>
  <si>
    <t>Swing</t>
  </si>
  <si>
    <t>{FA72F224-FD77-4A9A-9383-365E534F8EA5}</t>
  </si>
  <si>
    <t>XFOR_10kV爱涛线1号环_798</t>
  </si>
  <si>
    <t>Other</t>
  </si>
  <si>
    <t>{7C3170FB-6798-4C4C-8CBC-EAA183099542}</t>
  </si>
  <si>
    <t>XFOR_10kV爱涛线3号环_833</t>
  </si>
  <si>
    <t>{770ED3D8-83B5-4C09-BF74-6DC5622412AC}</t>
  </si>
  <si>
    <t>XFOR_10kV爱涛线4号环_799</t>
  </si>
  <si>
    <t>{08C72E48-6E15-451D-8529-270831FF51B7}</t>
  </si>
  <si>
    <t>XFOR_10kV苏源4号线2_832</t>
  </si>
  <si>
    <t>{B6C688AE-F995-403E-A55C-1855C1D58FF8}</t>
  </si>
  <si>
    <t>XFOR_亚都天元居#3箱变_816</t>
  </si>
  <si>
    <t>{173E187B-3C32-40E5-A14F-A6CBF03BDEBE}</t>
  </si>
  <si>
    <t>XFOR_亚都天元居#4箱变_815</t>
  </si>
  <si>
    <t>{0894DCBD-3FB1-4D64-BE3C-995DA7AAE4B4}</t>
  </si>
  <si>
    <t>XFOR_天元居1#箱变_814</t>
  </si>
  <si>
    <t>{A1C00010-C0DA-47B5-A0E9-3720D682D32C}</t>
  </si>
  <si>
    <t>XFOR_天元居1#配电所1#_800</t>
  </si>
  <si>
    <t>{11449209-2680-4E88-A89F-E4589F8DD155}</t>
  </si>
  <si>
    <t>XFOR_天元居1#配电所2#_802</t>
  </si>
  <si>
    <t>{AE3374BF-A799-4A11-9EEA-71C893A3423B}</t>
  </si>
  <si>
    <t>XFOR_天元居1#配电所3#_801</t>
  </si>
  <si>
    <t>{3D10B3C9-26CD-4F7F-A0FF-C19C524F23AD}</t>
  </si>
  <si>
    <t>XFOR_天元居1#配电所4#_803</t>
  </si>
  <si>
    <t>{3AA3AB96-6EF9-4D73-B245-E345B1B41BA8}</t>
  </si>
  <si>
    <t>XFOR_太平南区1变_811</t>
  </si>
  <si>
    <t>{38ECC085-C155-404A-B2E6-CBD3FE2809AB}</t>
  </si>
  <si>
    <t>XFOR_太平南区2变_817</t>
  </si>
  <si>
    <t>{9CA17368-E0F0-445B-9012-B2F38BE07E07}</t>
  </si>
  <si>
    <t>XFOR_太平花苑#16变1变_805</t>
  </si>
  <si>
    <t>{0295D426-8B05-4FA3-8FB1-BE340EC37CC2}</t>
  </si>
  <si>
    <t>XFOR_太平花苑#16变2变_806</t>
  </si>
  <si>
    <t>{04CBA28D-600A-4278-8683-6F549C1721AE}</t>
  </si>
  <si>
    <t>XFOR_太平花苑#17变1变_809</t>
  </si>
  <si>
    <t>{A493AFED-2C94-4A3F-B83F-CC63945A479A}</t>
  </si>
  <si>
    <t>XFOR_太平花苑#17变2变_810</t>
  </si>
  <si>
    <t>{3C5BF937-3767-4668-B37B-D2E97935F941}</t>
  </si>
  <si>
    <t>XFOR_太平花苑#5变1变_824</t>
  </si>
  <si>
    <t>{FB170DB5-732E-482C-AB93-053542813BFF}</t>
  </si>
  <si>
    <t>XFOR_太平花苑#5变2变_825</t>
  </si>
  <si>
    <t>{5CAD3FB0-7014-4525-B64B-87E94128C855}</t>
  </si>
  <si>
    <t>XFOR_太平花苑10主变1变_807</t>
  </si>
  <si>
    <t>{93A1CA7E-9A7B-4E17-8ADF-4CB5CAC39E7B}</t>
  </si>
  <si>
    <t>XFOR_太平花苑10主变2变_808</t>
  </si>
  <si>
    <t>{EEEED049-AF29-4F28-B0BF-FB4C12CB63ED}</t>
  </si>
  <si>
    <t>XFOR_太平花苑3主变1变_826</t>
  </si>
  <si>
    <t>{E4025066-3EA9-4BC0-A947-181A36025E9B}</t>
  </si>
  <si>
    <t>XFOR_太平花苑3主变2变_827</t>
  </si>
  <si>
    <t>{A38501B9-ABA5-4A01-9AE5-5D5B54115E11}</t>
  </si>
  <si>
    <t>XFOR_太平花苑4主变1变_828</t>
  </si>
  <si>
    <t>{C9F759B8-E76E-42E5-8D30-4301220C9515}</t>
  </si>
  <si>
    <t>XFOR_太平花苑4主变2变_829</t>
  </si>
  <si>
    <t>{FC9CC4C3-99F8-4F7F-BECB-256709A84A46}</t>
  </si>
  <si>
    <t>XFOR_太平花苑6主变_823</t>
  </si>
  <si>
    <t>{3C7FF31F-7181-47B9-9257-087997F093DD}</t>
  </si>
  <si>
    <t>XFOR_太平花苑7主变_822</t>
  </si>
  <si>
    <t>{D72A3DCD-60D0-4D48-B8B6-0DBC584A9921}</t>
  </si>
  <si>
    <t>XFOR_太平花苑8主变1变_820</t>
  </si>
  <si>
    <t>{D54C5C01-BF35-4E3C-9C85-3D95A5A08114}</t>
  </si>
  <si>
    <t>XFOR_太平花苑8主变2变_821</t>
  </si>
  <si>
    <t>{BC0F819E-816B-4A74-8CBE-9A9A0063965C}</t>
  </si>
  <si>
    <t>XFOR_太平花苑9主变1变_830</t>
  </si>
  <si>
    <t>{DB47618E-FBE7-413E-AB23-D807E6CA290E}</t>
  </si>
  <si>
    <t>XFOR_太平花苑9主变2变_831</t>
  </si>
  <si>
    <t>{E167A1B7-1B21-4334-A678-70ACF068FA78}</t>
  </si>
  <si>
    <t>XFOR_太平花苑菜场配电所_804</t>
  </si>
  <si>
    <t>{035DF0B5-6EE0-4909-8A53-194FEE6993F0}</t>
  </si>
  <si>
    <t>XFOR_逸翠居小区#1箱变_813</t>
  </si>
  <si>
    <t>{9F8F5E79-B7A6-4652-80BA-2198B2CE8926}</t>
  </si>
  <si>
    <t>XFOR_逸翠居小区#2箱变_812</t>
  </si>
  <si>
    <t>{F20AF5FF-6AF1-49F9-8E06-720518A1BAD8}</t>
  </si>
  <si>
    <t>XFOR_颐秀居#1变_818</t>
  </si>
  <si>
    <t>{1764A723-5975-493D-AC85-02D136E9B52D}</t>
  </si>
  <si>
    <t>XFOR_颐秀居#2变_819</t>
  </si>
  <si>
    <t>{E659492A-B051-41A2-A1E6-FBF749DAC04E}</t>
  </si>
  <si>
    <t>XLINE_爱涛线01-1~爱涛_1115</t>
  </si>
  <si>
    <t>{C8EB4159-68A7-45E2-8B5D-E31649CAFA66}</t>
  </si>
  <si>
    <t>XLINE_爱涛线02~爱涛线0_1116</t>
  </si>
  <si>
    <t>{E2FFD548-AFB1-44F5-920E-C0163D3CF828}</t>
  </si>
  <si>
    <t>XLINE_爱涛线03~爱涛线0_1117</t>
  </si>
  <si>
    <t>{5E0DB6D3-B46F-4176-9BF3-AAC58DD8EF66}</t>
  </si>
  <si>
    <t>XLINE_爱涛线04~爱涛线0_1118</t>
  </si>
  <si>
    <t>{F367F7D6-7594-4263-998A-D6C73B6CA1B1}</t>
  </si>
  <si>
    <t>XLINE_爱涛线05~爱涛线0_1119</t>
  </si>
  <si>
    <t>{7F08CD51-8F98-4ADA-B5B1-CA4356C6A783}</t>
  </si>
  <si>
    <t>XLINE_爱涛线06~爱涛线0_1120</t>
  </si>
  <si>
    <t>{67FC4E29-F1B7-4EF5-B74F-27C570C64910}</t>
  </si>
  <si>
    <t>XLINE_爱涛线06-1~爱涛_1121</t>
  </si>
  <si>
    <t>{23CA9DF6-EE8C-4DC8-B2ED-D4F3C5827589}</t>
  </si>
  <si>
    <t>XLINE_爱涛线07~爱涛线0_1122</t>
  </si>
  <si>
    <t>{1845DECF-0A79-4639-A881-BEA098B2A986}</t>
  </si>
  <si>
    <t>XLINE_爱涛线08~爱涛线0_1123</t>
  </si>
  <si>
    <t>{27864704-7C68-49C5-8194-31F84223F9E7}</t>
  </si>
  <si>
    <t>XLINE_爱涛线09~爱涛线0_1172</t>
  </si>
  <si>
    <t>{68B967C6-A70A-428D-B224-9185CAAEF11A}</t>
  </si>
  <si>
    <t>XLINE_爱涛线11~爱涛线1_1124</t>
  </si>
  <si>
    <t>{BFD1A12E-A7BB-40F4-BF33-1B726F63167A}</t>
  </si>
  <si>
    <t>XLINE_爱涛线12~爱涛线1_1125</t>
  </si>
  <si>
    <t>{5371D293-4D28-4C05-A313-AD97A22D8BCB}</t>
  </si>
  <si>
    <t>XLINE_爱涛线12-1~爱涛_1126</t>
  </si>
  <si>
    <t>{F49A613A-7E86-4B06-AF5C-5D65C69E8396}</t>
  </si>
  <si>
    <t>XLINE_爱涛线12-1~爱涛_1127</t>
  </si>
  <si>
    <t>{0B9E0888-B19A-4C35-85AE-4D1829B3E111}</t>
  </si>
  <si>
    <t>XLINE_爱涛线13~爱涛线1_1136</t>
  </si>
  <si>
    <t>{D3232E9E-E56F-4376-8057-01E7807A93FB}</t>
  </si>
  <si>
    <t>XLINE_爱涛线13-1~爱涛_1135</t>
  </si>
  <si>
    <t>{53870066-0BF0-42EB-9430-A717F1B0B3BE}</t>
  </si>
  <si>
    <t>XLINE_爱涛线14~爱涛线1_1134</t>
  </si>
  <si>
    <t>{F9F27BF1-60EE-4E7E-973D-2BA50EAA5C61}</t>
  </si>
  <si>
    <t>XLINE_爱涛线14-1~爱涛_1133</t>
  </si>
  <si>
    <t>{4609C12C-259B-4158-B9DD-D87A168F3946}</t>
  </si>
  <si>
    <t>XLINE_爱涛线15~爱涛线1_1173</t>
  </si>
  <si>
    <t>{00B9C77E-28CA-4F65-9796-F076132B5D65}</t>
  </si>
  <si>
    <t>XLINE_爱涛线16~爱涛线1_1132</t>
  </si>
  <si>
    <t>{6D6E72F5-D6EE-4060-8690-D29899D7EE6D}</t>
  </si>
  <si>
    <t>XLINE_爱涛线17~爱涛线1_1131</t>
  </si>
  <si>
    <t>{24564279-12EC-47FF-8A39-32BAD4233532}</t>
  </si>
  <si>
    <t>XLINE_爱涛线17-1~爱涛_1130</t>
  </si>
  <si>
    <t>{730AB199-156A-44A0-846D-EC2E31AFC8A1}</t>
  </si>
  <si>
    <t>XLINE_爱涛线18~爱涛线1_1129</t>
  </si>
  <si>
    <t>{DF28F1DD-84F8-4D12-BF0F-F57596FF1E75}</t>
  </si>
  <si>
    <t>XLINE_爱涛线18-1~爱涛_1128</t>
  </si>
  <si>
    <t>{237CF0C3-675C-42AA-83BF-14D993B09CCA}</t>
  </si>
  <si>
    <t>XLINE_爱涛线19~爱涛线1_1156</t>
  </si>
  <si>
    <t>{2788EA70-D829-46A6-991A-5A029CDF1CE5}</t>
  </si>
  <si>
    <t>XLINE_爱涛线19-1~爱涛_1155</t>
  </si>
  <si>
    <t>{329D8641-AA49-4CBE-948F-DD8A59950C15}</t>
  </si>
  <si>
    <t>XLINE_爱涛线20~爱涛线2_1154</t>
  </si>
  <si>
    <t>{F5C0E76F-7F6C-48E8-BE71-04D8E1EB1575}</t>
  </si>
  <si>
    <t>XLINE_爱涛线21~爱涛线2_1170</t>
  </si>
  <si>
    <t>{AC3AA209-50CA-41A1-978F-C749728809F7}</t>
  </si>
  <si>
    <t>XLINE_爱涛线22~爱涛线2_1153</t>
  </si>
  <si>
    <t>{AB9C95E6-56AA-41A3-831E-9F7609436DBB}</t>
  </si>
  <si>
    <t>XLINE_爱涛线23~爱涛线2_1152</t>
  </si>
  <si>
    <t>{431948BB-B7B1-4A27-885C-9E7769909D51}</t>
  </si>
  <si>
    <t>XLINE_爱涛线23~隐龙山支_1175</t>
  </si>
  <si>
    <t>{9BE90D4F-8382-40DF-BA1B-7D91276355DB}</t>
  </si>
  <si>
    <t>XLINE_爱涛线24~爱涛线2_1151</t>
  </si>
  <si>
    <t>{C8103E07-1FD9-400D-BEAC-E0F9F50EA072}</t>
  </si>
  <si>
    <t>XLINE_爱涛线25~爱涛线2_1150</t>
  </si>
  <si>
    <t>{B96543F3-B5A9-49D9-993A-CA59FC9AB3D5}</t>
  </si>
  <si>
    <t>XLINE_爱涛线26~爱涛线2_1149</t>
  </si>
  <si>
    <t>{2E7A8C80-98FF-4367-A6F5-463521FDC952}</t>
  </si>
  <si>
    <t>XLINE_爱涛线27~爱涛线2_1148</t>
  </si>
  <si>
    <t>{BBAAC6CF-44E8-45B3-BDCF-C6BBCACA902B}</t>
  </si>
  <si>
    <t>XLINE_爱涛线28~爱涛线2_1147</t>
  </si>
  <si>
    <t>{C2B5D6D2-B944-47FB-B571-5830C993833F}</t>
  </si>
  <si>
    <t>XLINE_爱涛线29~爱涛线3_1146</t>
  </si>
  <si>
    <t>{16768E46-9969-4994-B902-4DDC87DEFA59}</t>
  </si>
  <si>
    <t>XLINE_爱涛线30~爱涛线3_1169</t>
  </si>
  <si>
    <t>{9056BF0F-BC9B-47DF-AE4E-68676055C17C}</t>
  </si>
  <si>
    <t>XLINE_爱涛线31~爱涛线3_1145</t>
  </si>
  <si>
    <t>{0F429C14-6C36-4108-A1F3-2E5E5AAC258E}</t>
  </si>
  <si>
    <t>XLINE_爱涛线32~爱涛线3_1144</t>
  </si>
  <si>
    <t>{EC936464-94D2-4AC2-82B8-4F0143280C5E}</t>
  </si>
  <si>
    <t>XLINE_爱涛线33~爱涛线3_1143</t>
  </si>
  <si>
    <t>{A522E82C-17A0-4F89-9110-9E9674CCCA66}</t>
  </si>
  <si>
    <t>XLINE_爱涛线34~爱涛线3_1142</t>
  </si>
  <si>
    <t>{A599C7E3-4D46-4A58-822F-0F4B12E3F097}</t>
  </si>
  <si>
    <t>XLINE_爱涛线35~爱涛线3_1141</t>
  </si>
  <si>
    <t>{E09BEA20-C146-4BD7-8116-BA9A81BCBC2F}</t>
  </si>
  <si>
    <t>XLINE_爱涛线35-1~爱涛_1140</t>
  </si>
  <si>
    <t>{E1BE9363-173B-417C-87E1-28B80867D52A}</t>
  </si>
  <si>
    <t>XLINE_爱涛线36~爱涛线3_1139</t>
  </si>
  <si>
    <t>{505038BC-B673-4344-BAA2-065A5FACB480}</t>
  </si>
  <si>
    <t>XLINE_爱涛线37~爱涛线3_1138</t>
  </si>
  <si>
    <t>{B54F2908-294A-4546-A51B-263BA1FA0289}</t>
  </si>
  <si>
    <t>XLINE_爱涛线38~爱涛线3_1137</t>
  </si>
  <si>
    <t>{B0B0A46C-9C0A-454D-9C06-86117AB6321D}</t>
  </si>
  <si>
    <t>XLINE_爱涛线39~爱涛线4_1168</t>
  </si>
  <si>
    <t>{462B41C2-62CF-4B4A-A679-E85A9F7E47A7}</t>
  </si>
  <si>
    <t>XLINE_爱涛线40~爱涛线4_1167</t>
  </si>
  <si>
    <t>{0372064A-9D61-475D-907E-80BC2670B76D}</t>
  </si>
  <si>
    <t>XLINE_爱涛线41~爱涛线4_1166</t>
  </si>
  <si>
    <t>{0CECA9A7-E465-4D28-956F-77470A016463}</t>
  </si>
  <si>
    <t>XLINE_爱涛线42~爱涛线4_1165</t>
  </si>
  <si>
    <t>{488DF9DD-BD8F-4CCA-AAC8-5CDD5B1C99DC}</t>
  </si>
  <si>
    <t>XLINE_隐龙山支02-1~隐_1162</t>
  </si>
  <si>
    <t>{87361060-F6B7-4281-8789-06F6BA23CFF0}</t>
  </si>
  <si>
    <t>XLINE_隐龙山支04-1~隐_1159</t>
  </si>
  <si>
    <t>{C3DE9D54-5D42-4417-A2AE-66AA77D28F2A}</t>
  </si>
  <si>
    <t>XLINE_隐龙山支1~隐龙山支_1164</t>
  </si>
  <si>
    <t>{D1391E83-36F7-448F-988D-DE2D526ED407}</t>
  </si>
  <si>
    <t>XLINE_隐龙山支2~隐龙山支_1163</t>
  </si>
  <si>
    <t>{45127BBD-26C8-41A5-A7A0-99DC194AB2C6}</t>
  </si>
  <si>
    <t>XLINE_隐龙山支3~隐龙山支_1161</t>
  </si>
  <si>
    <t>{44068A1C-CB90-4DA7-B6A5-405068781632}</t>
  </si>
  <si>
    <t>XLINE_隐龙山支4~隐龙山支_1160</t>
  </si>
  <si>
    <t>{C5071A8C-9189-4BEC-A04B-1738C609C55A}</t>
  </si>
  <si>
    <t>XLINE_隐龙山支5~隐龙山支_1158</t>
  </si>
  <si>
    <t>{984EF7F3-46A8-4942-B92C-99BDCE4ABBBE}</t>
  </si>
  <si>
    <t>XLINE_隐龙山支6~隐龙山支_1157</t>
  </si>
  <si>
    <t>{361E20CF-C9BB-448B-89B6-541EA8847AF0}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</si>
</sst>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8" formatCode="0.000"/>
  </numFmts>
  <fonts count="22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Courier New"/>
      <family val="3"/>
    </font>
    <font>
      <b/>
      <sz val="12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Verdana"/>
      <family val="2"/>
    </font>
    <font>
      <sz val="11"/>
      <name val="Calibri"/>
      <family val="2"/>
    </font>
    <font>
      <sz val="10"/>
      <name val="Calibri"/>
      <family val="2"/>
    </font>
    <font>
      <sz val="6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b/>
      <sz val="11"/>
      <color theme="1"/>
      <name val="宋体"/>
      <family val="2"/>
      <scheme val="minor"/>
    </font>
    <font>
      <b/>
      <sz val="10"/>
      <color rgb="FFFF0000"/>
      <name val="Arial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" fillId="0" borderId="0"/>
  </cellStyleXfs>
  <cellXfs count="294">
    <xf numFmtId="0" fontId="0" fillId="0" borderId="0" xfId="0"/>
    <xf numFmtId="0" fontId="6" fillId="0" borderId="0" xfId="0" applyFont="1"/>
    <xf numFmtId="15" fontId="0" fillId="0" borderId="0" xfId="0" applyNumberFormat="1"/>
    <xf numFmtId="0" fontId="6" fillId="2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0" xfId="0" applyFont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" fillId="0" borderId="0" xfId="2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11" fillId="0" borderId="0" xfId="0" applyFont="1"/>
    <xf numFmtId="0" fontId="10" fillId="0" borderId="0" xfId="0" applyFont="1"/>
    <xf numFmtId="0" fontId="0" fillId="0" borderId="1" xfId="0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12" fillId="0" borderId="0" xfId="0" applyFont="1"/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4" borderId="1" xfId="0" applyFill="1" applyBorder="1"/>
    <xf numFmtId="0" fontId="6" fillId="2" borderId="4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3" fillId="0" borderId="0" xfId="1" applyAlignment="1" applyProtection="1">
      <alignment vertical="center"/>
    </xf>
    <xf numFmtId="0" fontId="14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6" fillId="5" borderId="5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6" fillId="5" borderId="7" xfId="0" applyFont="1" applyFill="1" applyBorder="1" applyAlignment="1" applyProtection="1">
      <alignment horizontal="center" vertical="center" wrapText="1"/>
      <protection locked="0"/>
    </xf>
    <xf numFmtId="0" fontId="6" fillId="5" borderId="8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 wrapText="1"/>
      <protection locked="0"/>
    </xf>
    <xf numFmtId="0" fontId="5" fillId="0" borderId="0" xfId="4" applyAlignment="1">
      <alignment vertical="center"/>
    </xf>
    <xf numFmtId="0" fontId="5" fillId="0" borderId="0" xfId="4" applyAlignment="1">
      <alignment horizontal="left" vertical="center"/>
    </xf>
    <xf numFmtId="0" fontId="5" fillId="0" borderId="0" xfId="4" applyFont="1" applyAlignment="1">
      <alignment horizontal="left" vertical="center"/>
    </xf>
    <xf numFmtId="0" fontId="5" fillId="0" borderId="0" xfId="4"/>
    <xf numFmtId="0" fontId="5" fillId="0" borderId="0" xfId="4" applyAlignment="1">
      <alignment horizontal="center"/>
    </xf>
    <xf numFmtId="0" fontId="6" fillId="0" borderId="0" xfId="4" applyFont="1" applyAlignment="1">
      <alignment vertical="center"/>
    </xf>
    <xf numFmtId="0" fontId="14" fillId="0" borderId="1" xfId="4" applyFont="1" applyBorder="1" applyAlignment="1" applyProtection="1">
      <alignment horizontal="center" vertical="center"/>
    </xf>
    <xf numFmtId="0" fontId="5" fillId="0" borderId="1" xfId="4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6" fillId="3" borderId="1" xfId="4" applyFont="1" applyFill="1" applyBorder="1" applyAlignment="1">
      <alignment horizontal="center" vertical="center" wrapText="1"/>
    </xf>
    <xf numFmtId="0" fontId="6" fillId="3" borderId="7" xfId="4" applyFont="1" applyFill="1" applyBorder="1" applyAlignment="1">
      <alignment vertical="center" wrapText="1"/>
    </xf>
    <xf numFmtId="0" fontId="5" fillId="0" borderId="0" xfId="4" applyBorder="1" applyAlignment="1">
      <alignment vertical="center"/>
    </xf>
    <xf numFmtId="0" fontId="6" fillId="2" borderId="1" xfId="4" applyFont="1" applyFill="1" applyBorder="1" applyAlignment="1">
      <alignment horizontal="right" vertical="center"/>
    </xf>
    <xf numFmtId="0" fontId="4" fillId="2" borderId="4" xfId="4" applyFont="1" applyFill="1" applyBorder="1" applyAlignment="1">
      <alignment vertical="center"/>
    </xf>
    <xf numFmtId="0" fontId="4" fillId="2" borderId="3" xfId="4" applyFont="1" applyFill="1" applyBorder="1" applyAlignment="1">
      <alignment vertical="center"/>
    </xf>
    <xf numFmtId="0" fontId="4" fillId="2" borderId="2" xfId="4" applyFont="1" applyFill="1" applyBorder="1" applyAlignment="1">
      <alignment vertical="center"/>
    </xf>
    <xf numFmtId="0" fontId="5" fillId="0" borderId="1" xfId="4" applyBorder="1" applyAlignment="1">
      <alignment horizontal="center"/>
    </xf>
    <xf numFmtId="0" fontId="3" fillId="0" borderId="0" xfId="1" applyAlignment="1" applyProtection="1"/>
    <xf numFmtId="0" fontId="6" fillId="3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4" fillId="2" borderId="3" xfId="0" applyFont="1" applyFill="1" applyBorder="1" applyAlignment="1" applyProtection="1">
      <alignment vertical="center"/>
      <protection locked="0"/>
    </xf>
    <xf numFmtId="0" fontId="4" fillId="2" borderId="4" xfId="0" applyFont="1" applyFill="1" applyBorder="1" applyAlignment="1" applyProtection="1">
      <alignment vertical="center"/>
      <protection locked="0"/>
    </xf>
    <xf numFmtId="0" fontId="19" fillId="5" borderId="7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5" borderId="0" xfId="0" applyFont="1" applyFill="1"/>
    <xf numFmtId="0" fontId="19" fillId="5" borderId="8" xfId="0" applyFont="1" applyFill="1" applyBorder="1" applyAlignment="1">
      <alignment horizontal="center"/>
    </xf>
    <xf numFmtId="0" fontId="19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7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vertical="center" wrapText="1"/>
      <protection locked="0"/>
    </xf>
    <xf numFmtId="0" fontId="5" fillId="0" borderId="3" xfId="4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4" applyFont="1" applyBorder="1" applyAlignment="1">
      <alignment vertical="center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1" xfId="4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3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188" fontId="0" fillId="0" borderId="0" xfId="0" applyNumberFormat="1" applyAlignment="1">
      <alignment vertical="center"/>
    </xf>
    <xf numFmtId="188" fontId="0" fillId="0" borderId="0" xfId="0" applyNumberFormat="1"/>
    <xf numFmtId="188" fontId="5" fillId="0" borderId="1" xfId="0" applyNumberFormat="1" applyFont="1" applyBorder="1" applyAlignment="1">
      <alignment horizontal="right" vertical="center"/>
    </xf>
    <xf numFmtId="188" fontId="0" fillId="0" borderId="0" xfId="0" applyNumberFormat="1" applyBorder="1" applyAlignment="1">
      <alignment vertical="center"/>
    </xf>
    <xf numFmtId="188" fontId="8" fillId="0" borderId="0" xfId="0" applyNumberFormat="1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vertical="center" wrapText="1"/>
      <protection locked="0"/>
    </xf>
    <xf numFmtId="9" fontId="18" fillId="0" borderId="0" xfId="3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5" fillId="0" borderId="1" xfId="0" applyFont="1" applyBorder="1" applyAlignment="1" applyProtection="1">
      <alignment horizontal="center" vertical="center" wrapText="1"/>
      <protection locked="0"/>
    </xf>
    <xf numFmtId="15" fontId="0" fillId="0" borderId="0" xfId="0" applyNumberFormat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15" fontId="0" fillId="0" borderId="10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>
      <alignment horizontal="center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15" fontId="0" fillId="0" borderId="6" xfId="0" applyNumberFormat="1" applyBorder="1" applyAlignment="1" applyProtection="1">
      <alignment horizontal="left" vertical="center"/>
      <protection locked="0"/>
    </xf>
    <xf numFmtId="15" fontId="0" fillId="0" borderId="10" xfId="0" applyNumberFormat="1" applyBorder="1" applyAlignment="1" applyProtection="1">
      <alignment horizontal="left" vertical="center"/>
      <protection locked="0"/>
    </xf>
    <xf numFmtId="15" fontId="0" fillId="0" borderId="11" xfId="0" applyNumberFormat="1" applyBorder="1" applyAlignment="1" applyProtection="1">
      <alignment horizontal="left" vertical="center"/>
      <protection locked="0"/>
    </xf>
    <xf numFmtId="0" fontId="6" fillId="3" borderId="7" xfId="0" applyFont="1" applyFill="1" applyBorder="1" applyAlignment="1" applyProtection="1">
      <alignment horizontal="center" vertical="center" wrapText="1"/>
      <protection locked="0"/>
    </xf>
    <xf numFmtId="0" fontId="6" fillId="3" borderId="8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5" fontId="0" fillId="0" borderId="6" xfId="0" applyNumberFormat="1" applyBorder="1" applyAlignment="1">
      <alignment horizontal="left" vertical="center"/>
    </xf>
    <xf numFmtId="15" fontId="0" fillId="0" borderId="10" xfId="0" applyNumberFormat="1" applyBorder="1" applyAlignment="1">
      <alignment horizontal="left" vertical="center"/>
    </xf>
    <xf numFmtId="15" fontId="0" fillId="0" borderId="1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 wrapText="1"/>
      <protection locked="0"/>
    </xf>
    <xf numFmtId="0" fontId="6" fillId="5" borderId="14" xfId="0" applyFont="1" applyFill="1" applyBorder="1" applyAlignment="1" applyProtection="1">
      <alignment horizontal="center" vertical="center" wrapText="1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0" fontId="6" fillId="5" borderId="13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  <xf numFmtId="0" fontId="6" fillId="3" borderId="10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 applyProtection="1">
      <alignment horizontal="center" vertical="center" wrapText="1"/>
      <protection locked="0"/>
    </xf>
    <xf numFmtId="188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16" fontId="6" fillId="3" borderId="7" xfId="0" applyNumberFormat="1" applyFont="1" applyFill="1" applyBorder="1" applyAlignment="1" applyProtection="1">
      <alignment horizontal="center" vertical="center" wrapText="1"/>
      <protection locked="0"/>
    </xf>
    <xf numFmtId="16" fontId="6" fillId="3" borderId="5" xfId="0" applyNumberFormat="1" applyFont="1" applyFill="1" applyBorder="1" applyAlignment="1" applyProtection="1">
      <alignment horizontal="center" vertical="center" wrapText="1"/>
      <protection locked="0"/>
    </xf>
    <xf numFmtId="188" fontId="6" fillId="3" borderId="7" xfId="0" applyNumberFormat="1" applyFont="1" applyFill="1" applyBorder="1" applyAlignment="1" applyProtection="1">
      <alignment horizontal="center" vertical="center" wrapText="1"/>
      <protection locked="0"/>
    </xf>
    <xf numFmtId="188" fontId="6" fillId="3" borderId="8" xfId="0" applyNumberFormat="1" applyFont="1" applyFill="1" applyBorder="1" applyAlignment="1" applyProtection="1">
      <alignment horizontal="center" vertical="center" wrapText="1"/>
      <protection locked="0"/>
    </xf>
    <xf numFmtId="188" fontId="6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88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4" applyFont="1" applyFill="1" applyBorder="1" applyAlignment="1">
      <alignment horizontal="center" vertical="center" wrapText="1"/>
    </xf>
    <xf numFmtId="0" fontId="6" fillId="3" borderId="5" xfId="4" applyFont="1" applyFill="1" applyBorder="1" applyAlignment="1">
      <alignment horizontal="center" vertical="center" wrapText="1"/>
    </xf>
    <xf numFmtId="0" fontId="6" fillId="3" borderId="6" xfId="4" applyFont="1" applyFill="1" applyBorder="1" applyAlignment="1">
      <alignment horizontal="center" vertical="center" wrapText="1"/>
    </xf>
    <xf numFmtId="0" fontId="6" fillId="3" borderId="10" xfId="4" applyFont="1" applyFill="1" applyBorder="1" applyAlignment="1">
      <alignment horizontal="center" vertical="center" wrapText="1"/>
    </xf>
    <xf numFmtId="0" fontId="6" fillId="3" borderId="11" xfId="4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5" fillId="0" borderId="6" xfId="4" applyBorder="1" applyAlignment="1">
      <alignment horizontal="left" vertical="center"/>
    </xf>
    <xf numFmtId="0" fontId="5" fillId="0" borderId="10" xfId="4" applyBorder="1" applyAlignment="1">
      <alignment horizontal="left" vertical="center"/>
    </xf>
    <xf numFmtId="0" fontId="5" fillId="0" borderId="11" xfId="4" applyBorder="1" applyAlignment="1">
      <alignment horizontal="left" vertical="center"/>
    </xf>
    <xf numFmtId="0" fontId="5" fillId="0" borderId="4" xfId="4" applyBorder="1" applyAlignment="1">
      <alignment horizontal="left" vertical="center"/>
    </xf>
    <xf numFmtId="0" fontId="5" fillId="0" borderId="12" xfId="4" applyBorder="1" applyAlignment="1">
      <alignment horizontal="left" vertical="center"/>
    </xf>
    <xf numFmtId="0" fontId="5" fillId="0" borderId="13" xfId="4" applyBorder="1" applyAlignment="1">
      <alignment horizontal="left" vertical="center"/>
    </xf>
    <xf numFmtId="0" fontId="5" fillId="2" borderId="1" xfId="4" applyFill="1" applyBorder="1" applyAlignment="1">
      <alignment horizontal="left" vertical="center"/>
    </xf>
    <xf numFmtId="15" fontId="5" fillId="0" borderId="6" xfId="4" applyNumberFormat="1" applyBorder="1" applyAlignment="1">
      <alignment horizontal="left" vertical="center"/>
    </xf>
    <xf numFmtId="15" fontId="5" fillId="0" borderId="10" xfId="4" applyNumberFormat="1" applyBorder="1" applyAlignment="1">
      <alignment horizontal="left" vertical="center"/>
    </xf>
    <xf numFmtId="15" fontId="5" fillId="0" borderId="11" xfId="4" applyNumberFormat="1" applyBorder="1" applyAlignment="1">
      <alignment horizontal="left" vertical="center"/>
    </xf>
    <xf numFmtId="0" fontId="5" fillId="2" borderId="2" xfId="4" applyFill="1" applyBorder="1" applyAlignment="1">
      <alignment horizontal="center" vertical="center"/>
    </xf>
    <xf numFmtId="0" fontId="5" fillId="2" borderId="14" xfId="4" applyFill="1" applyBorder="1" applyAlignment="1">
      <alignment horizontal="center" vertical="center"/>
    </xf>
    <xf numFmtId="0" fontId="5" fillId="2" borderId="3" xfId="4" applyFill="1" applyBorder="1" applyAlignment="1">
      <alignment horizontal="center" vertical="center"/>
    </xf>
    <xf numFmtId="0" fontId="5" fillId="2" borderId="15" xfId="4" applyFill="1" applyBorder="1" applyAlignment="1">
      <alignment horizontal="center" vertical="center"/>
    </xf>
    <xf numFmtId="0" fontId="5" fillId="2" borderId="4" xfId="4" applyFill="1" applyBorder="1" applyAlignment="1">
      <alignment horizontal="center" vertical="center"/>
    </xf>
    <xf numFmtId="0" fontId="5" fillId="2" borderId="13" xfId="4" applyFill="1" applyBorder="1" applyAlignment="1">
      <alignment horizontal="center" vertical="center"/>
    </xf>
    <xf numFmtId="0" fontId="6" fillId="3" borderId="2" xfId="4" applyFont="1" applyFill="1" applyBorder="1" applyAlignment="1" applyProtection="1">
      <alignment horizontal="center" vertical="center" wrapText="1"/>
      <protection locked="0"/>
    </xf>
    <xf numFmtId="0" fontId="6" fillId="3" borderId="4" xfId="4" applyFont="1" applyFill="1" applyBorder="1" applyAlignment="1" applyProtection="1">
      <alignment horizontal="center" vertical="center" wrapText="1"/>
      <protection locked="0"/>
    </xf>
    <xf numFmtId="0" fontId="6" fillId="3" borderId="1" xfId="4" applyFont="1" applyFill="1" applyBorder="1" applyAlignment="1">
      <alignment horizontal="center" vertical="center" wrapText="1"/>
    </xf>
    <xf numFmtId="0" fontId="8" fillId="0" borderId="9" xfId="4" applyFont="1" applyBorder="1" applyAlignment="1">
      <alignment horizontal="center" vertical="center"/>
    </xf>
    <xf numFmtId="0" fontId="5" fillId="0" borderId="4" xfId="4" applyBorder="1" applyAlignment="1">
      <alignment vertical="center"/>
    </xf>
    <xf numFmtId="0" fontId="5" fillId="0" borderId="12" xfId="4" applyBorder="1" applyAlignment="1">
      <alignment vertical="center"/>
    </xf>
    <xf numFmtId="0" fontId="5" fillId="0" borderId="13" xfId="4" applyBorder="1" applyAlignment="1">
      <alignment vertical="center"/>
    </xf>
    <xf numFmtId="0" fontId="5" fillId="0" borderId="6" xfId="4" applyBorder="1" applyAlignment="1">
      <alignment vertical="center"/>
    </xf>
    <xf numFmtId="0" fontId="5" fillId="0" borderId="10" xfId="4" applyBorder="1" applyAlignment="1">
      <alignment vertical="center"/>
    </xf>
    <xf numFmtId="0" fontId="5" fillId="0" borderId="11" xfId="4" applyBorder="1" applyAlignment="1">
      <alignment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9" xfId="0" applyFont="1" applyFill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left" vertical="center"/>
      <protection locked="0"/>
    </xf>
    <xf numFmtId="0" fontId="0" fillId="2" borderId="11" xfId="0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9" fontId="1" fillId="0" borderId="0" xfId="2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 wrapText="1"/>
      <protection locked="0"/>
    </xf>
    <xf numFmtId="49" fontId="6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2" applyNumberFormat="1" applyFont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 wrapText="1"/>
      <protection locked="0"/>
    </xf>
    <xf numFmtId="0" fontId="6" fillId="7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188" fontId="5" fillId="0" borderId="1" xfId="0" applyNumberFormat="1" applyFont="1" applyBorder="1" applyAlignment="1" applyProtection="1">
      <alignment horizontal="right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188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right" vertical="center"/>
      <protection locked="0"/>
    </xf>
    <xf numFmtId="188" fontId="0" fillId="0" borderId="0" xfId="0" applyNumberFormat="1" applyAlignment="1" applyProtection="1">
      <alignment vertical="center"/>
      <protection locked="0"/>
    </xf>
    <xf numFmtId="0" fontId="20" fillId="8" borderId="1" xfId="0" applyFont="1" applyFill="1" applyBorder="1" applyAlignment="1" applyProtection="1">
      <alignment horizontal="center" vertical="center"/>
      <protection locked="0"/>
    </xf>
    <xf numFmtId="0" fontId="6" fillId="6" borderId="6" xfId="0" applyFont="1" applyFill="1" applyBorder="1" applyAlignment="1" applyProtection="1">
      <alignment horizontal="center" vertical="center" wrapText="1"/>
      <protection locked="0"/>
    </xf>
    <xf numFmtId="0" fontId="6" fillId="6" borderId="10" xfId="0" applyFont="1" applyFill="1" applyBorder="1" applyAlignment="1" applyProtection="1">
      <alignment horizontal="center" vertical="center" wrapText="1"/>
      <protection locked="0"/>
    </xf>
    <xf numFmtId="0" fontId="6" fillId="6" borderId="11" xfId="0" applyFont="1" applyFill="1" applyBorder="1" applyAlignment="1" applyProtection="1">
      <alignment horizontal="center" vertical="center" wrapText="1"/>
      <protection locked="0"/>
    </xf>
    <xf numFmtId="0" fontId="6" fillId="6" borderId="7" xfId="0" applyFont="1" applyFill="1" applyBorder="1" applyAlignment="1" applyProtection="1">
      <alignment horizontal="center" vertical="center" wrapText="1"/>
      <protection locked="0"/>
    </xf>
    <xf numFmtId="0" fontId="6" fillId="8" borderId="7" xfId="0" applyFont="1" applyFill="1" applyBorder="1" applyAlignment="1" applyProtection="1">
      <alignment horizontal="center" vertical="center" wrapText="1"/>
      <protection locked="0"/>
    </xf>
    <xf numFmtId="0" fontId="6" fillId="6" borderId="2" xfId="0" applyFont="1" applyFill="1" applyBorder="1" applyAlignment="1" applyProtection="1">
      <alignment horizontal="center" vertical="center" wrapText="1"/>
      <protection locked="0"/>
    </xf>
    <xf numFmtId="0" fontId="6" fillId="6" borderId="14" xfId="0" applyFont="1" applyFill="1" applyBorder="1" applyAlignment="1" applyProtection="1">
      <alignment horizontal="center" vertical="center" wrapText="1"/>
      <protection locked="0"/>
    </xf>
    <xf numFmtId="0" fontId="6" fillId="6" borderId="8" xfId="0" applyFont="1" applyFill="1" applyBorder="1" applyAlignment="1" applyProtection="1">
      <alignment horizontal="center" vertical="center" wrapText="1"/>
      <protection locked="0"/>
    </xf>
    <xf numFmtId="0" fontId="6" fillId="8" borderId="5" xfId="0" applyFont="1" applyFill="1" applyBorder="1" applyAlignment="1" applyProtection="1">
      <alignment horizontal="center" vertical="center" wrapText="1"/>
      <protection locked="0"/>
    </xf>
    <xf numFmtId="0" fontId="6" fillId="6" borderId="7" xfId="0" applyFont="1" applyFill="1" applyBorder="1" applyAlignment="1" applyProtection="1">
      <alignment horizontal="center" vertical="center" wrapText="1"/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6" fillId="6" borderId="5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right" vertical="center"/>
      <protection locked="0"/>
    </xf>
  </cellXfs>
  <cellStyles count="5">
    <cellStyle name="Percent 2" xfId="3"/>
    <cellStyle name="百分比" xfId="2" builtinId="5"/>
    <cellStyle name="常规" xfId="0" builtinId="0"/>
    <cellStyle name="常规 2" xfId="4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635000</xdr:colOff>
      <xdr:row>3</xdr:row>
      <xdr:rowOff>63500</xdr:rowOff>
    </xdr:to>
    <xdr:pic>
      <xdr:nvPicPr>
        <xdr:cNvPr id="33748" name="Picture 1" descr="ETAP_Logo">
          <a:extLst>
            <a:ext uri="{FF2B5EF4-FFF2-40B4-BE49-F238E27FC236}">
              <a16:creationId xmlns:a16="http://schemas.microsoft.com/office/drawing/2014/main" id="{B46B3494-6B57-4571-8669-A680D258D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596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85725</xdr:colOff>
      <xdr:row>0</xdr:row>
      <xdr:rowOff>133349</xdr:rowOff>
    </xdr:from>
    <xdr:to>
      <xdr:col>12</xdr:col>
      <xdr:colOff>1119744</xdr:colOff>
      <xdr:row>3</xdr:row>
      <xdr:rowOff>36607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F0FBB72D-CB35-4316-8589-81D20562D54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29625" y="133349"/>
          <a:ext cx="982956" cy="4461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54636" name="Picture 1" descr="ETAP_Logo">
          <a:extLst>
            <a:ext uri="{FF2B5EF4-FFF2-40B4-BE49-F238E27FC236}">
              <a16:creationId xmlns:a16="http://schemas.microsoft.com/office/drawing/2014/main" id="{CD8B5B9A-E593-4412-BCBB-61AFE246F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158750</xdr:colOff>
      <xdr:row>0</xdr:row>
      <xdr:rowOff>79374</xdr:rowOff>
    </xdr:from>
    <xdr:to>
      <xdr:col>14</xdr:col>
      <xdr:colOff>742230</xdr:colOff>
      <xdr:row>3</xdr:row>
      <xdr:rowOff>91724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AAFDFB56-793C-42C0-AF6B-D8B079450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877675" y="85724"/>
          <a:ext cx="1120207" cy="548929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46447" name="Picture 1" descr="ETAP_Logo">
          <a:extLst>
            <a:ext uri="{FF2B5EF4-FFF2-40B4-BE49-F238E27FC236}">
              <a16:creationId xmlns:a16="http://schemas.microsoft.com/office/drawing/2014/main" id="{F889A01D-CBE2-4767-B46A-870655399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103505</xdr:colOff>
      <xdr:row>0</xdr:row>
      <xdr:rowOff>77470</xdr:rowOff>
    </xdr:from>
    <xdr:to>
      <xdr:col>13</xdr:col>
      <xdr:colOff>765066</xdr:colOff>
      <xdr:row>3</xdr:row>
      <xdr:rowOff>57214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A67C72C6-D02B-4216-94DC-050F6ABEC55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260455" y="83820"/>
          <a:ext cx="1150620" cy="51625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47472" name="Picture 1" descr="ETAP_Logo">
          <a:extLst>
            <a:ext uri="{FF2B5EF4-FFF2-40B4-BE49-F238E27FC236}">
              <a16:creationId xmlns:a16="http://schemas.microsoft.com/office/drawing/2014/main" id="{97440B85-56BA-441B-B2B5-389D28A1B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265430</xdr:colOff>
      <xdr:row>0</xdr:row>
      <xdr:rowOff>77470</xdr:rowOff>
    </xdr:from>
    <xdr:to>
      <xdr:col>13</xdr:col>
      <xdr:colOff>489260</xdr:colOff>
      <xdr:row>3</xdr:row>
      <xdr:rowOff>72697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FDBB0D57-C0FC-4F04-BE96-CDBDA92D576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021580" y="91440"/>
          <a:ext cx="883920" cy="495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55659" name="Picture 1" descr="ETAP_Logo">
          <a:extLst>
            <a:ext uri="{FF2B5EF4-FFF2-40B4-BE49-F238E27FC236}">
              <a16:creationId xmlns:a16="http://schemas.microsoft.com/office/drawing/2014/main" id="{45642D1B-4A86-4C75-B098-79A6113F1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265430</xdr:colOff>
      <xdr:row>0</xdr:row>
      <xdr:rowOff>77470</xdr:rowOff>
    </xdr:from>
    <xdr:to>
      <xdr:col>12</xdr:col>
      <xdr:colOff>503461</xdr:colOff>
      <xdr:row>3</xdr:row>
      <xdr:rowOff>72697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234CF6AE-C221-4EB1-9812-0EE62103FF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021580" y="91440"/>
          <a:ext cx="883920" cy="495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56684" name="Picture 1" descr="ETAP_Logo">
          <a:extLst>
            <a:ext uri="{FF2B5EF4-FFF2-40B4-BE49-F238E27FC236}">
              <a16:creationId xmlns:a16="http://schemas.microsoft.com/office/drawing/2014/main" id="{2CFAF557-9103-46B5-A878-E4F4A3F7D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265430</xdr:colOff>
      <xdr:row>0</xdr:row>
      <xdr:rowOff>77470</xdr:rowOff>
    </xdr:from>
    <xdr:to>
      <xdr:col>13</xdr:col>
      <xdr:colOff>497854</xdr:colOff>
      <xdr:row>3</xdr:row>
      <xdr:rowOff>72697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1266E757-00AC-4248-B54D-D361C121129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021580" y="91440"/>
          <a:ext cx="883920" cy="495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57708" name="Picture 1" descr="ETAP_Logo">
          <a:extLst>
            <a:ext uri="{FF2B5EF4-FFF2-40B4-BE49-F238E27FC236}">
              <a16:creationId xmlns:a16="http://schemas.microsoft.com/office/drawing/2014/main" id="{36BBAA25-094B-4FEC-8A8C-D620A93F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271780</xdr:colOff>
      <xdr:row>0</xdr:row>
      <xdr:rowOff>77470</xdr:rowOff>
    </xdr:from>
    <xdr:to>
      <xdr:col>17</xdr:col>
      <xdr:colOff>491721</xdr:colOff>
      <xdr:row>3</xdr:row>
      <xdr:rowOff>72697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D27DC586-E242-4538-8C2E-4B79C1B7C87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021580" y="91440"/>
          <a:ext cx="883920" cy="495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58722" name="Picture 1" descr="ETAP_Logo">
          <a:extLst>
            <a:ext uri="{FF2B5EF4-FFF2-40B4-BE49-F238E27FC236}">
              <a16:creationId xmlns:a16="http://schemas.microsoft.com/office/drawing/2014/main" id="{B976B4D6-CD56-4949-869A-6C83AF78A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265430</xdr:colOff>
      <xdr:row>0</xdr:row>
      <xdr:rowOff>77470</xdr:rowOff>
    </xdr:from>
    <xdr:to>
      <xdr:col>19</xdr:col>
      <xdr:colOff>491713</xdr:colOff>
      <xdr:row>3</xdr:row>
      <xdr:rowOff>72697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3B4EB977-E39C-4C18-9A6D-C8752D9243E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3312140" y="83820"/>
          <a:ext cx="870829" cy="5317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59710" name="Picture 1" descr="ETAP_Logo">
          <a:extLst>
            <a:ext uri="{FF2B5EF4-FFF2-40B4-BE49-F238E27FC236}">
              <a16:creationId xmlns:a16="http://schemas.microsoft.com/office/drawing/2014/main" id="{B39DCE10-FAFD-4BA0-BEE4-FBF74CDE1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265430</xdr:colOff>
      <xdr:row>0</xdr:row>
      <xdr:rowOff>77470</xdr:rowOff>
    </xdr:from>
    <xdr:to>
      <xdr:col>21</xdr:col>
      <xdr:colOff>491702</xdr:colOff>
      <xdr:row>3</xdr:row>
      <xdr:rowOff>72697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AA6D3A13-3F3D-4046-B8F2-63BFB5A6DD3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3312140" y="83820"/>
          <a:ext cx="870829" cy="5317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61736" name="Picture 1" descr="ETAP_Logo">
          <a:extLst>
            <a:ext uri="{FF2B5EF4-FFF2-40B4-BE49-F238E27FC236}">
              <a16:creationId xmlns:a16="http://schemas.microsoft.com/office/drawing/2014/main" id="{3D5E40D0-6A36-43C4-9694-CB32FCFA1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265430</xdr:colOff>
      <xdr:row>0</xdr:row>
      <xdr:rowOff>77470</xdr:rowOff>
    </xdr:from>
    <xdr:to>
      <xdr:col>16</xdr:col>
      <xdr:colOff>491702</xdr:colOff>
      <xdr:row>3</xdr:row>
      <xdr:rowOff>72697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233A65E0-7EB2-41E3-9A70-1ED7317E83C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3435965" y="83820"/>
          <a:ext cx="870829" cy="5317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60725" name="Picture 1" descr="ETAP_Logo">
          <a:extLst>
            <a:ext uri="{FF2B5EF4-FFF2-40B4-BE49-F238E27FC236}">
              <a16:creationId xmlns:a16="http://schemas.microsoft.com/office/drawing/2014/main" id="{D813C358-3822-4CE9-BA75-F59FCFFA5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265430</xdr:colOff>
      <xdr:row>0</xdr:row>
      <xdr:rowOff>77470</xdr:rowOff>
    </xdr:from>
    <xdr:to>
      <xdr:col>17</xdr:col>
      <xdr:colOff>491702</xdr:colOff>
      <xdr:row>3</xdr:row>
      <xdr:rowOff>72697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79D18168-CAA4-44E8-9AFD-F26AA963D1C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483465" y="83820"/>
          <a:ext cx="870829" cy="5317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48493" name="Picture 1" descr="ETAP_Logo">
          <a:extLst>
            <a:ext uri="{FF2B5EF4-FFF2-40B4-BE49-F238E27FC236}">
              <a16:creationId xmlns:a16="http://schemas.microsoft.com/office/drawing/2014/main" id="{46E4FFDA-1484-4B07-8F52-A1E8DAE3E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225425</xdr:colOff>
      <xdr:row>0</xdr:row>
      <xdr:rowOff>97155</xdr:rowOff>
    </xdr:from>
    <xdr:to>
      <xdr:col>16</xdr:col>
      <xdr:colOff>1558016</xdr:colOff>
      <xdr:row>3</xdr:row>
      <xdr:rowOff>74708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22D07CD6-E78C-46BD-813B-B33B42EA8AA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182475" y="97155"/>
          <a:ext cx="1268831" cy="52047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62754" name="Picture 1" descr="ETAP_Logo">
          <a:extLst>
            <a:ext uri="{FF2B5EF4-FFF2-40B4-BE49-F238E27FC236}">
              <a16:creationId xmlns:a16="http://schemas.microsoft.com/office/drawing/2014/main" id="{E9294823-0B7E-48D6-8DE0-A64606291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271780</xdr:colOff>
      <xdr:row>0</xdr:row>
      <xdr:rowOff>77470</xdr:rowOff>
    </xdr:from>
    <xdr:to>
      <xdr:col>13</xdr:col>
      <xdr:colOff>498070</xdr:colOff>
      <xdr:row>3</xdr:row>
      <xdr:rowOff>72697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798976FF-DFCA-4CD0-B03A-F877EAD6808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3435965" y="83820"/>
          <a:ext cx="870829" cy="5317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31704" name="Picture 1" descr="ETAP_Logo">
          <a:extLst>
            <a:ext uri="{FF2B5EF4-FFF2-40B4-BE49-F238E27FC236}">
              <a16:creationId xmlns:a16="http://schemas.microsoft.com/office/drawing/2014/main" id="{53167B93-AE21-4036-B001-62AD5A72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206374</xdr:colOff>
      <xdr:row>1</xdr:row>
      <xdr:rowOff>19050</xdr:rowOff>
    </xdr:from>
    <xdr:to>
      <xdr:col>19</xdr:col>
      <xdr:colOff>2115</xdr:colOff>
      <xdr:row>2</xdr:row>
      <xdr:rowOff>152184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A995819A-4A3C-47C6-B850-4DC90E67622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53799" y="200025"/>
          <a:ext cx="1059424" cy="32032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0</xdr:colOff>
      <xdr:row>2</xdr:row>
      <xdr:rowOff>133350</xdr:rowOff>
    </xdr:to>
    <xdr:pic>
      <xdr:nvPicPr>
        <xdr:cNvPr id="32724" name="Picture 1" descr="ETAP_Logo">
          <a:extLst>
            <a:ext uri="{FF2B5EF4-FFF2-40B4-BE49-F238E27FC236}">
              <a16:creationId xmlns:a16="http://schemas.microsoft.com/office/drawing/2014/main" id="{BCDB3EAD-57AE-4946-87BC-65553CAA1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57150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281305</xdr:colOff>
      <xdr:row>0</xdr:row>
      <xdr:rowOff>77470</xdr:rowOff>
    </xdr:from>
    <xdr:to>
      <xdr:col>15</xdr:col>
      <xdr:colOff>505655</xdr:colOff>
      <xdr:row>3</xdr:row>
      <xdr:rowOff>72697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8ED63EF9-4EE9-4D57-889D-780FF35C036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6112490" y="83820"/>
          <a:ext cx="891784" cy="51463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635000</xdr:colOff>
      <xdr:row>3</xdr:row>
      <xdr:rowOff>6350</xdr:rowOff>
    </xdr:to>
    <xdr:pic>
      <xdr:nvPicPr>
        <xdr:cNvPr id="34716" name="Picture 1" descr="ETAP_Logo">
          <a:extLst>
            <a:ext uri="{FF2B5EF4-FFF2-40B4-BE49-F238E27FC236}">
              <a16:creationId xmlns:a16="http://schemas.microsoft.com/office/drawing/2014/main" id="{9C8B7851-DFA5-46DA-9202-9B99EB1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59690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265430</xdr:colOff>
      <xdr:row>0</xdr:row>
      <xdr:rowOff>77470</xdr:rowOff>
    </xdr:from>
    <xdr:to>
      <xdr:col>15</xdr:col>
      <xdr:colOff>491709</xdr:colOff>
      <xdr:row>3</xdr:row>
      <xdr:rowOff>72697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4ACA982A-23B8-459E-9657-45662AFDCBD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662910" y="83820"/>
          <a:ext cx="870829" cy="5317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0</xdr:colOff>
      <xdr:row>3</xdr:row>
      <xdr:rowOff>6350</xdr:rowOff>
    </xdr:to>
    <xdr:pic>
      <xdr:nvPicPr>
        <xdr:cNvPr id="35720" name="Picture 1" descr="ETAP_Logo">
          <a:extLst>
            <a:ext uri="{FF2B5EF4-FFF2-40B4-BE49-F238E27FC236}">
              <a16:creationId xmlns:a16="http://schemas.microsoft.com/office/drawing/2014/main" id="{C9648C3A-F162-4FAF-93D9-5FC89A963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57150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265430</xdr:colOff>
      <xdr:row>0</xdr:row>
      <xdr:rowOff>77470</xdr:rowOff>
    </xdr:from>
    <xdr:to>
      <xdr:col>21</xdr:col>
      <xdr:colOff>491540</xdr:colOff>
      <xdr:row>3</xdr:row>
      <xdr:rowOff>72697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D0EF365E-63A4-40F8-AFA8-0AC049B2BEB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091035" y="83820"/>
          <a:ext cx="870651" cy="5317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3</xdr:row>
      <xdr:rowOff>63500</xdr:rowOff>
    </xdr:to>
    <xdr:pic>
      <xdr:nvPicPr>
        <xdr:cNvPr id="63780" name="Picture 1" descr="ETAP_Logo">
          <a:extLst>
            <a:ext uri="{FF2B5EF4-FFF2-40B4-BE49-F238E27FC236}">
              <a16:creationId xmlns:a16="http://schemas.microsoft.com/office/drawing/2014/main" id="{521C4839-124A-4653-BF04-40D813C0F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63781" name="Picture 1" descr="ETAP_Logo">
          <a:extLst>
            <a:ext uri="{FF2B5EF4-FFF2-40B4-BE49-F238E27FC236}">
              <a16:creationId xmlns:a16="http://schemas.microsoft.com/office/drawing/2014/main" id="{402D1184-6B74-4B7E-9D7F-EFE8BFCB3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265430</xdr:colOff>
      <xdr:row>0</xdr:row>
      <xdr:rowOff>77470</xdr:rowOff>
    </xdr:from>
    <xdr:to>
      <xdr:col>19</xdr:col>
      <xdr:colOff>474604</xdr:colOff>
      <xdr:row>3</xdr:row>
      <xdr:rowOff>72697</xdr:rowOff>
    </xdr:to>
    <xdr:sp macro="" textlink="">
      <xdr:nvSpPr>
        <xdr:cNvPr id="5" name="WordArt 2">
          <a:extLst>
            <a:ext uri="{FF2B5EF4-FFF2-40B4-BE49-F238E27FC236}">
              <a16:creationId xmlns:a16="http://schemas.microsoft.com/office/drawing/2014/main" id="{A43F7B85-3117-4E6E-AF30-D745F88E853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6882110" y="83820"/>
          <a:ext cx="956554" cy="5317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3</xdr:row>
      <xdr:rowOff>6350</xdr:rowOff>
    </xdr:to>
    <xdr:pic>
      <xdr:nvPicPr>
        <xdr:cNvPr id="37684" name="Picture 1" descr="ETAP_Logo">
          <a:extLst>
            <a:ext uri="{FF2B5EF4-FFF2-40B4-BE49-F238E27FC236}">
              <a16:creationId xmlns:a16="http://schemas.microsoft.com/office/drawing/2014/main" id="{EBCAE58D-9D46-4A96-A7F3-3C456E16E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265430</xdr:colOff>
      <xdr:row>0</xdr:row>
      <xdr:rowOff>77470</xdr:rowOff>
    </xdr:from>
    <xdr:to>
      <xdr:col>19</xdr:col>
      <xdr:colOff>498044</xdr:colOff>
      <xdr:row>3</xdr:row>
      <xdr:rowOff>72697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FC19E40A-0495-4EAB-9E2A-AE9A94AEC7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529185" y="83820"/>
          <a:ext cx="1143244" cy="51463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101600</xdr:rowOff>
    </xdr:from>
    <xdr:to>
      <xdr:col>0</xdr:col>
      <xdr:colOff>736600</xdr:colOff>
      <xdr:row>3</xdr:row>
      <xdr:rowOff>38100</xdr:rowOff>
    </xdr:to>
    <xdr:pic>
      <xdr:nvPicPr>
        <xdr:cNvPr id="38788" name="Picture 1" descr="ETAP_Logo">
          <a:extLst>
            <a:ext uri="{FF2B5EF4-FFF2-40B4-BE49-F238E27FC236}">
              <a16:creationId xmlns:a16="http://schemas.microsoft.com/office/drawing/2014/main" id="{3587D729-F1AC-4754-A59B-A01B0427C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01600"/>
          <a:ext cx="5969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265430</xdr:colOff>
      <xdr:row>0</xdr:row>
      <xdr:rowOff>77470</xdr:rowOff>
    </xdr:from>
    <xdr:to>
      <xdr:col>26</xdr:col>
      <xdr:colOff>493649</xdr:colOff>
      <xdr:row>3</xdr:row>
      <xdr:rowOff>72696</xdr:rowOff>
    </xdr:to>
    <xdr:sp macro="" textlink="">
      <xdr:nvSpPr>
        <xdr:cNvPr id="4" name="WordArt 2">
          <a:extLst>
            <a:ext uri="{FF2B5EF4-FFF2-40B4-BE49-F238E27FC236}">
              <a16:creationId xmlns:a16="http://schemas.microsoft.com/office/drawing/2014/main" id="{DC2A6EF9-B118-4B2A-BBA3-D3B6E69E18E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546330" y="83820"/>
          <a:ext cx="996573" cy="5317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0</xdr:colOff>
      <xdr:row>3</xdr:row>
      <xdr:rowOff>6350</xdr:rowOff>
    </xdr:to>
    <xdr:pic>
      <xdr:nvPicPr>
        <xdr:cNvPr id="39670" name="Picture 1" descr="ETAP_Logo">
          <a:extLst>
            <a:ext uri="{FF2B5EF4-FFF2-40B4-BE49-F238E27FC236}">
              <a16:creationId xmlns:a16="http://schemas.microsoft.com/office/drawing/2014/main" id="{79761FEB-6BE3-40A5-838C-AC45F7023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57150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0</xdr:colOff>
      <xdr:row>0</xdr:row>
      <xdr:rowOff>62230</xdr:rowOff>
    </xdr:from>
    <xdr:to>
      <xdr:col>15</xdr:col>
      <xdr:colOff>2006</xdr:colOff>
      <xdr:row>3</xdr:row>
      <xdr:rowOff>39783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A0F148DD-B43C-4C33-B0DC-CBE2467C08C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677775" y="68580"/>
          <a:ext cx="859256" cy="52047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0</xdr:colOff>
      <xdr:row>3</xdr:row>
      <xdr:rowOff>63500</xdr:rowOff>
    </xdr:to>
    <xdr:pic>
      <xdr:nvPicPr>
        <xdr:cNvPr id="40686" name="Picture 1" descr="ETAP_Logo">
          <a:extLst>
            <a:ext uri="{FF2B5EF4-FFF2-40B4-BE49-F238E27FC236}">
              <a16:creationId xmlns:a16="http://schemas.microsoft.com/office/drawing/2014/main" id="{566A1D21-502C-4534-836D-215E8977D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571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0</xdr:colOff>
      <xdr:row>0</xdr:row>
      <xdr:rowOff>62230</xdr:rowOff>
    </xdr:from>
    <xdr:to>
      <xdr:col>15</xdr:col>
      <xdr:colOff>2006</xdr:colOff>
      <xdr:row>3</xdr:row>
      <xdr:rowOff>39783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0FEBBB81-E498-4201-93A2-E25BB58E66F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334625" y="68580"/>
          <a:ext cx="2006" cy="52047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49517" name="Picture 1" descr="ETAP_Logo">
          <a:extLst>
            <a:ext uri="{FF2B5EF4-FFF2-40B4-BE49-F238E27FC236}">
              <a16:creationId xmlns:a16="http://schemas.microsoft.com/office/drawing/2014/main" id="{8E6D7735-DFBF-4385-A363-64F832B06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271780</xdr:colOff>
      <xdr:row>0</xdr:row>
      <xdr:rowOff>77470</xdr:rowOff>
    </xdr:from>
    <xdr:to>
      <xdr:col>13</xdr:col>
      <xdr:colOff>497640</xdr:colOff>
      <xdr:row>3</xdr:row>
      <xdr:rowOff>72697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D2662F96-C84A-49DF-9302-26485A00B1A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021580" y="91440"/>
          <a:ext cx="883920" cy="495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0</xdr:colOff>
      <xdr:row>3</xdr:row>
      <xdr:rowOff>6350</xdr:rowOff>
    </xdr:to>
    <xdr:pic>
      <xdr:nvPicPr>
        <xdr:cNvPr id="41680" name="Picture 1" descr="ETAP_Logo">
          <a:extLst>
            <a:ext uri="{FF2B5EF4-FFF2-40B4-BE49-F238E27FC236}">
              <a16:creationId xmlns:a16="http://schemas.microsoft.com/office/drawing/2014/main" id="{DDB95992-9F26-4070-823E-C97CBB586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57150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259080</xdr:colOff>
      <xdr:row>0</xdr:row>
      <xdr:rowOff>77470</xdr:rowOff>
    </xdr:from>
    <xdr:to>
      <xdr:col>13</xdr:col>
      <xdr:colOff>489277</xdr:colOff>
      <xdr:row>3</xdr:row>
      <xdr:rowOff>72697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26C512A3-B3B4-4C10-9BDD-F4B8DB6989D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346055" y="83820"/>
          <a:ext cx="992161" cy="5317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3</xdr:row>
      <xdr:rowOff>63500</xdr:rowOff>
    </xdr:to>
    <xdr:pic>
      <xdr:nvPicPr>
        <xdr:cNvPr id="42588" name="Picture 1" descr="ETAP_Logo">
          <a:extLst>
            <a:ext uri="{FF2B5EF4-FFF2-40B4-BE49-F238E27FC236}">
              <a16:creationId xmlns:a16="http://schemas.microsoft.com/office/drawing/2014/main" id="{B8B1224D-1D8C-4B6A-A436-019AC4355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66676</xdr:colOff>
      <xdr:row>0</xdr:row>
      <xdr:rowOff>95250</xdr:rowOff>
    </xdr:from>
    <xdr:to>
      <xdr:col>16</xdr:col>
      <xdr:colOff>1268932</xdr:colOff>
      <xdr:row>3</xdr:row>
      <xdr:rowOff>39844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77482797-D7FE-4E33-B145-7B1DDD1D44A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239626" y="95250"/>
          <a:ext cx="1145006" cy="49380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3</xdr:row>
      <xdr:rowOff>6350</xdr:rowOff>
    </xdr:to>
    <xdr:pic>
      <xdr:nvPicPr>
        <xdr:cNvPr id="44427" name="Picture 1" descr="ETAP_Logo">
          <a:extLst>
            <a:ext uri="{FF2B5EF4-FFF2-40B4-BE49-F238E27FC236}">
              <a16:creationId xmlns:a16="http://schemas.microsoft.com/office/drawing/2014/main" id="{8AD90184-9A62-447E-8AF7-47B59C93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265430</xdr:colOff>
      <xdr:row>0</xdr:row>
      <xdr:rowOff>77470</xdr:rowOff>
    </xdr:from>
    <xdr:to>
      <xdr:col>19</xdr:col>
      <xdr:colOff>498023</xdr:colOff>
      <xdr:row>3</xdr:row>
      <xdr:rowOff>72735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81B5301B-CA0B-48BF-99DA-363601A956E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822930" y="83820"/>
          <a:ext cx="1004179" cy="531783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635000</xdr:colOff>
      <xdr:row>3</xdr:row>
      <xdr:rowOff>120650</xdr:rowOff>
    </xdr:to>
    <xdr:pic>
      <xdr:nvPicPr>
        <xdr:cNvPr id="64632" name="Picture 1" descr="ETAP_Logo">
          <a:extLst>
            <a:ext uri="{FF2B5EF4-FFF2-40B4-BE49-F238E27FC236}">
              <a16:creationId xmlns:a16="http://schemas.microsoft.com/office/drawing/2014/main" id="{0AC33441-AB7A-4C21-9743-B077A210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596900" cy="50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66676</xdr:colOff>
      <xdr:row>0</xdr:row>
      <xdr:rowOff>95250</xdr:rowOff>
    </xdr:from>
    <xdr:to>
      <xdr:col>19</xdr:col>
      <xdr:colOff>989432</xdr:colOff>
      <xdr:row>3</xdr:row>
      <xdr:rowOff>39844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76CBE599-EBE8-408C-BB04-87A23A99394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372976" y="95250"/>
          <a:ext cx="878306" cy="49380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50541" name="Picture 1" descr="ETAP_Logo">
          <a:extLst>
            <a:ext uri="{FF2B5EF4-FFF2-40B4-BE49-F238E27FC236}">
              <a16:creationId xmlns:a16="http://schemas.microsoft.com/office/drawing/2014/main" id="{8E79A744-13DB-4E7E-A6E9-B5773308C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265430</xdr:colOff>
      <xdr:row>0</xdr:row>
      <xdr:rowOff>77470</xdr:rowOff>
    </xdr:from>
    <xdr:to>
      <xdr:col>18</xdr:col>
      <xdr:colOff>498042</xdr:colOff>
      <xdr:row>3</xdr:row>
      <xdr:rowOff>72697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69A1FDDB-36F7-4FF1-BB14-B719DAF568D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021580" y="91440"/>
          <a:ext cx="883920" cy="495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45423" name="Picture 1" descr="ETAP_Logo">
          <a:extLst>
            <a:ext uri="{FF2B5EF4-FFF2-40B4-BE49-F238E27FC236}">
              <a16:creationId xmlns:a16="http://schemas.microsoft.com/office/drawing/2014/main" id="{342A7D39-2383-430F-82A6-9B72AE00E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265430</xdr:colOff>
      <xdr:row>0</xdr:row>
      <xdr:rowOff>77470</xdr:rowOff>
    </xdr:from>
    <xdr:to>
      <xdr:col>16</xdr:col>
      <xdr:colOff>491505</xdr:colOff>
      <xdr:row>3</xdr:row>
      <xdr:rowOff>72697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3DC760FD-C7ED-4782-A50D-1B9134B38E4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021580" y="91440"/>
          <a:ext cx="883920" cy="495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51563" name="Picture 1" descr="ETAP_Logo">
          <a:extLst>
            <a:ext uri="{FF2B5EF4-FFF2-40B4-BE49-F238E27FC236}">
              <a16:creationId xmlns:a16="http://schemas.microsoft.com/office/drawing/2014/main" id="{E5BCE295-4411-4793-8AFB-1C62CF180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265430</xdr:colOff>
      <xdr:row>0</xdr:row>
      <xdr:rowOff>77470</xdr:rowOff>
    </xdr:from>
    <xdr:to>
      <xdr:col>13</xdr:col>
      <xdr:colOff>497609</xdr:colOff>
      <xdr:row>3</xdr:row>
      <xdr:rowOff>72697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C14F39C6-FB15-4494-891F-B2AE1A853B4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021580" y="91440"/>
          <a:ext cx="883920" cy="495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52588" name="Picture 1" descr="ETAP_Logo">
          <a:extLst>
            <a:ext uri="{FF2B5EF4-FFF2-40B4-BE49-F238E27FC236}">
              <a16:creationId xmlns:a16="http://schemas.microsoft.com/office/drawing/2014/main" id="{279A070C-BDF7-42FC-9538-A6C0A2E2E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265430</xdr:colOff>
      <xdr:row>0</xdr:row>
      <xdr:rowOff>77470</xdr:rowOff>
    </xdr:from>
    <xdr:to>
      <xdr:col>16</xdr:col>
      <xdr:colOff>498062</xdr:colOff>
      <xdr:row>3</xdr:row>
      <xdr:rowOff>72697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ACCE4EB5-24FB-4B41-B0F5-F9FD2872A2C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021580" y="91440"/>
          <a:ext cx="883920" cy="495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53611" name="Picture 1" descr="ETAP_Logo">
          <a:extLst>
            <a:ext uri="{FF2B5EF4-FFF2-40B4-BE49-F238E27FC236}">
              <a16:creationId xmlns:a16="http://schemas.microsoft.com/office/drawing/2014/main" id="{E34ADE48-9FDB-45DC-B250-637016C93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265430</xdr:colOff>
      <xdr:row>0</xdr:row>
      <xdr:rowOff>77470</xdr:rowOff>
    </xdr:from>
    <xdr:to>
      <xdr:col>17</xdr:col>
      <xdr:colOff>498062</xdr:colOff>
      <xdr:row>3</xdr:row>
      <xdr:rowOff>72697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568AD19A-99AD-4A19-ABA7-EF9ADE6EA7BD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021580" y="91440"/>
          <a:ext cx="883920" cy="495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0</xdr:col>
      <xdr:colOff>641350</xdr:colOff>
      <xdr:row>2</xdr:row>
      <xdr:rowOff>133350</xdr:rowOff>
    </xdr:to>
    <xdr:pic>
      <xdr:nvPicPr>
        <xdr:cNvPr id="43527" name="Picture 1" descr="ETAP_Logo">
          <a:extLst>
            <a:ext uri="{FF2B5EF4-FFF2-40B4-BE49-F238E27FC236}">
              <a16:creationId xmlns:a16="http://schemas.microsoft.com/office/drawing/2014/main" id="{747DCEBB-A182-4EA0-A872-EAA5FED5C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60325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101600</xdr:colOff>
      <xdr:row>0</xdr:row>
      <xdr:rowOff>79375</xdr:rowOff>
    </xdr:from>
    <xdr:to>
      <xdr:col>14</xdr:col>
      <xdr:colOff>800101</xdr:colOff>
      <xdr:row>3</xdr:row>
      <xdr:rowOff>95287</xdr:rowOff>
    </xdr:to>
    <xdr:sp macro="" textlink="">
      <xdr:nvSpPr>
        <xdr:cNvPr id="6146" name="WordArt 2">
          <a:extLst>
            <a:ext uri="{FF2B5EF4-FFF2-40B4-BE49-F238E27FC236}">
              <a16:creationId xmlns:a16="http://schemas.microsoft.com/office/drawing/2014/main" id="{B0F5722C-CA0B-41E8-B76A-615ED55EE67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791950" y="85725"/>
          <a:ext cx="1247776" cy="5524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Your Logo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/61888/data%20-%20Copy/op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E_T_A_P__D_A_T_A_X__"/>
      <sheetName val="__E_T_A_P__E_X_P_O_R_T__"/>
      <sheetName val="_FormulaHelpers_"/>
      <sheetName val="Project Information"/>
      <sheetName val="Bus"/>
      <sheetName val="Cable"/>
      <sheetName val="Transmission Line"/>
      <sheetName val="Two-Winding Transformer"/>
      <sheetName val="Three-Winding Transformer"/>
      <sheetName val="Reactor"/>
      <sheetName val="Impedance"/>
      <sheetName val="Induction Motor"/>
      <sheetName val="Synchronous Motor"/>
      <sheetName val="Static Load"/>
      <sheetName val="Lumped Load"/>
      <sheetName val="VFD"/>
      <sheetName val="MOV"/>
      <sheetName val="LVCB"/>
      <sheetName val="HVCB"/>
      <sheetName val="Fuse"/>
      <sheetName val="Single Pole Switch"/>
      <sheetName val="Double Throw Switch"/>
      <sheetName val="Contactor"/>
      <sheetName val="Synchronous Generator"/>
      <sheetName val="Current Transformer"/>
      <sheetName val="Potential Transformer"/>
      <sheetName val="Utility"/>
      <sheetName val="Universal Relay"/>
      <sheetName val="OL Heater_OL Relay"/>
      <sheetName val="Recloser"/>
      <sheetName val="Voltage Relay"/>
      <sheetName val="Frequency Relay"/>
      <sheetName val="Capacitor"/>
      <sheetName val="Panel"/>
      <sheetName val="Voltage Regulator"/>
      <sheetName val="Inverter"/>
    </sheetNames>
    <sheetDataSet>
      <sheetData sheetId="0"/>
      <sheetData sheetId="1"/>
      <sheetData sheetId="2">
        <row r="3">
          <cell r="B3">
            <v>60</v>
          </cell>
        </row>
        <row r="43">
          <cell r="B43" t="str">
            <v>ETAP Export Test Project</v>
          </cell>
        </row>
        <row r="44">
          <cell r="B44" t="str">
            <v>Irvine, CA</v>
          </cell>
        </row>
        <row r="45">
          <cell r="B45" t="str">
            <v>000-111</v>
          </cell>
        </row>
        <row r="46">
          <cell r="B46">
            <v>40441</v>
          </cell>
        </row>
        <row r="48">
          <cell r="B48" t="str">
            <v>Base</v>
          </cell>
        </row>
        <row r="49">
          <cell r="B49" t="str">
            <v>Normal</v>
          </cell>
        </row>
        <row r="52">
          <cell r="A52" t="str">
            <v>Bus</v>
          </cell>
        </row>
        <row r="53">
          <cell r="A53" t="str">
            <v>Cable</v>
          </cell>
        </row>
        <row r="54">
          <cell r="A54" t="str">
            <v>Xline</v>
          </cell>
        </row>
        <row r="55">
          <cell r="A55" t="str">
            <v>Xform2W</v>
          </cell>
        </row>
        <row r="56">
          <cell r="A56" t="str">
            <v>Xform3W</v>
          </cell>
        </row>
        <row r="57">
          <cell r="A57" t="str">
            <v>Impedance</v>
          </cell>
        </row>
        <row r="58">
          <cell r="A58" t="str">
            <v>Reactor</v>
          </cell>
        </row>
        <row r="59">
          <cell r="A59" t="str">
            <v>IndMotor</v>
          </cell>
        </row>
        <row r="60">
          <cell r="A60" t="str">
            <v>SynMotor</v>
          </cell>
        </row>
        <row r="61">
          <cell r="A61" t="str">
            <v>LumpedLoad</v>
          </cell>
        </row>
        <row r="62">
          <cell r="A62" t="str">
            <v>StLoad</v>
          </cell>
        </row>
        <row r="63">
          <cell r="A63" t="str">
            <v>VFDrive</v>
          </cell>
        </row>
        <row r="64">
          <cell r="A64" t="str">
            <v>MOV</v>
          </cell>
        </row>
        <row r="65">
          <cell r="A65" t="str">
            <v>LVCB</v>
          </cell>
        </row>
        <row r="66">
          <cell r="A66" t="str">
            <v>HVCB</v>
          </cell>
        </row>
        <row r="67">
          <cell r="A67" t="str">
            <v>Fuse</v>
          </cell>
        </row>
        <row r="68">
          <cell r="A68" t="str">
            <v>SingleSwitch</v>
          </cell>
        </row>
        <row r="69">
          <cell r="A69" t="str">
            <v>DoubleSwitch</v>
          </cell>
        </row>
        <row r="70">
          <cell r="A70" t="str">
            <v>Contactor</v>
          </cell>
        </row>
        <row r="71">
          <cell r="A71" t="str">
            <v>SYNGEN</v>
          </cell>
        </row>
        <row r="72">
          <cell r="A72" t="str">
            <v>CXFORM</v>
          </cell>
        </row>
        <row r="73">
          <cell r="A73" t="str">
            <v>PXFORM</v>
          </cell>
        </row>
        <row r="74">
          <cell r="A74" t="str">
            <v>UTIL</v>
          </cell>
        </row>
        <row r="75">
          <cell r="A75" t="str">
            <v>UNIVERSALRELAY</v>
          </cell>
        </row>
        <row r="76">
          <cell r="A76" t="str">
            <v>OVERLOADHEATER</v>
          </cell>
        </row>
        <row r="77">
          <cell r="A77" t="str">
            <v>RECLOSER</v>
          </cell>
        </row>
        <row r="78">
          <cell r="A78" t="str">
            <v>VRELAY</v>
          </cell>
        </row>
        <row r="79">
          <cell r="A79" t="str">
            <v>FRELAY</v>
          </cell>
        </row>
        <row r="80">
          <cell r="A80" t="str">
            <v>CAPACITOR</v>
          </cell>
        </row>
        <row r="81">
          <cell r="A81" t="str">
            <v>RELAY32</v>
          </cell>
        </row>
        <row r="82">
          <cell r="A82" t="str">
            <v>MVSSTRELAY</v>
          </cell>
        </row>
        <row r="83">
          <cell r="A83" t="str">
            <v>BusDuct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2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8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3"/>
  <sheetViews>
    <sheetView workbookViewId="0">
      <selection activeCell="H19" sqref="H19"/>
    </sheetView>
  </sheetViews>
  <sheetFormatPr defaultRowHeight="12.5"/>
  <cols>
    <col min="1" max="1" width="27.54296875" customWidth="1"/>
    <col min="2" max="2" width="24.54296875" customWidth="1"/>
    <col min="4" max="4" width="9.26953125" customWidth="1"/>
  </cols>
  <sheetData>
    <row r="1" spans="1:12" ht="13">
      <c r="A1" s="1" t="s">
        <v>1796</v>
      </c>
    </row>
    <row r="2" spans="1:1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3">
      <c r="A3" s="6" t="s">
        <v>1810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3">
      <c r="A4" s="8" t="s">
        <v>1811</v>
      </c>
      <c r="B4" s="8" t="s">
        <v>1812</v>
      </c>
      <c r="C4" s="6" t="s">
        <v>1815</v>
      </c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">
        <v>1821</v>
      </c>
      <c r="B5" s="4" t="s">
        <v>2131</v>
      </c>
      <c r="C5" s="4" t="s">
        <v>1816</v>
      </c>
      <c r="D5" s="4"/>
      <c r="E5" s="4"/>
      <c r="F5" s="4"/>
      <c r="G5" s="4"/>
      <c r="H5" s="4"/>
      <c r="I5" s="4"/>
      <c r="J5" s="4"/>
      <c r="K5" s="4"/>
      <c r="L5" s="4"/>
    </row>
    <row r="6" spans="1:12">
      <c r="A6" s="4" t="s">
        <v>1822</v>
      </c>
      <c r="B6" s="4" t="s">
        <v>2130</v>
      </c>
      <c r="C6" s="4" t="s">
        <v>1817</v>
      </c>
      <c r="D6" s="4"/>
      <c r="E6" s="4"/>
      <c r="F6" s="4"/>
      <c r="G6" s="4"/>
      <c r="H6" s="4"/>
      <c r="I6" s="4"/>
      <c r="J6" s="4"/>
      <c r="K6" s="4"/>
      <c r="L6" s="4"/>
    </row>
    <row r="7" spans="1:12">
      <c r="A7" s="4" t="s">
        <v>1823</v>
      </c>
      <c r="B7" s="4" t="s">
        <v>5188</v>
      </c>
      <c r="C7" s="4" t="s">
        <v>1818</v>
      </c>
      <c r="D7" s="4"/>
      <c r="E7" s="4"/>
      <c r="F7" s="4"/>
      <c r="G7" s="4"/>
      <c r="H7" s="4"/>
      <c r="I7" s="4"/>
      <c r="J7" s="4"/>
      <c r="K7" s="4"/>
      <c r="L7" s="4"/>
    </row>
    <row r="8" spans="1:12">
      <c r="A8" s="52" t="s">
        <v>1856</v>
      </c>
      <c r="B8" s="4" t="s">
        <v>1545</v>
      </c>
      <c r="C8" s="4" t="s">
        <v>1916</v>
      </c>
      <c r="D8" s="4"/>
      <c r="E8" s="4"/>
      <c r="F8" s="4"/>
      <c r="G8" s="4"/>
      <c r="H8" s="4"/>
      <c r="I8" s="4"/>
      <c r="J8" s="4"/>
      <c r="K8" s="4"/>
      <c r="L8" s="4"/>
    </row>
    <row r="9" spans="1:12">
      <c r="A9" s="4" t="s">
        <v>1857</v>
      </c>
      <c r="B9" s="4" t="s">
        <v>1545</v>
      </c>
      <c r="C9" s="4" t="s">
        <v>1917</v>
      </c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 t="s">
        <v>1858</v>
      </c>
      <c r="B10" s="51" t="s">
        <v>2228</v>
      </c>
      <c r="C10" s="4" t="s">
        <v>1918</v>
      </c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52" t="s">
        <v>1911</v>
      </c>
      <c r="B11" s="4" t="s">
        <v>1807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 t="s">
        <v>1912</v>
      </c>
      <c r="B12" s="4" t="s">
        <v>1807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 t="s">
        <v>1913</v>
      </c>
      <c r="B13" s="47" t="s">
        <v>4856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52" t="s">
        <v>1919</v>
      </c>
      <c r="B14" s="47" t="s">
        <v>2132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 t="s">
        <v>1920</v>
      </c>
      <c r="B15" s="4" t="s">
        <v>1204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 t="s">
        <v>1921</v>
      </c>
      <c r="B16" s="47" t="s">
        <v>4766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52" t="s">
        <v>562</v>
      </c>
      <c r="B17" s="4" t="s">
        <v>2139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 t="s">
        <v>563</v>
      </c>
      <c r="B18" s="4" t="s">
        <v>1808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 t="s">
        <v>564</v>
      </c>
      <c r="B19" s="51" t="s">
        <v>4851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52" t="s">
        <v>599</v>
      </c>
      <c r="B20" s="4" t="s">
        <v>2140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 t="s">
        <v>600</v>
      </c>
      <c r="B21" s="4" t="s">
        <v>933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 t="s">
        <v>601</v>
      </c>
      <c r="B22" s="51" t="s">
        <v>1910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52" t="s">
        <v>930</v>
      </c>
      <c r="B23" s="47" t="s">
        <v>1404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 t="s">
        <v>931</v>
      </c>
      <c r="B24" s="4" t="s">
        <v>1404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 t="s">
        <v>932</v>
      </c>
      <c r="B25" s="47" t="s">
        <v>2225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52" t="s">
        <v>1043</v>
      </c>
      <c r="B26" s="4" t="s">
        <v>1355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4" t="s">
        <v>1044</v>
      </c>
      <c r="B27" s="4" t="s">
        <v>1355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4" t="s">
        <v>1045</v>
      </c>
      <c r="B28" s="47" t="s">
        <v>2193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52" t="s">
        <v>1200</v>
      </c>
      <c r="B29" s="47" t="s">
        <v>1855</v>
      </c>
      <c r="C29" s="4"/>
      <c r="I29" s="4"/>
      <c r="J29" s="4"/>
      <c r="K29" s="4"/>
      <c r="L29" s="4"/>
    </row>
    <row r="30" spans="1:12">
      <c r="A30" s="4" t="s">
        <v>1201</v>
      </c>
      <c r="B30" s="4" t="s">
        <v>1803</v>
      </c>
      <c r="C30" s="4"/>
    </row>
    <row r="31" spans="1:12">
      <c r="A31" s="4" t="s">
        <v>1202</v>
      </c>
      <c r="B31" s="47" t="s">
        <v>4823</v>
      </c>
      <c r="C31" s="4"/>
    </row>
    <row r="32" spans="1:12">
      <c r="A32" s="52" t="s">
        <v>1479</v>
      </c>
      <c r="B32" s="4" t="s">
        <v>1914</v>
      </c>
      <c r="C32" s="4"/>
    </row>
    <row r="33" spans="1:12">
      <c r="A33" s="4" t="s">
        <v>1480</v>
      </c>
      <c r="B33" s="4" t="s">
        <v>1806</v>
      </c>
      <c r="C33" s="4"/>
    </row>
    <row r="34" spans="1:12">
      <c r="A34" s="4" t="s">
        <v>1481</v>
      </c>
      <c r="B34" s="47" t="s">
        <v>4815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52" t="s">
        <v>1362</v>
      </c>
      <c r="B35" s="4" t="s">
        <v>2134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4" t="s">
        <v>1363</v>
      </c>
      <c r="B36" s="4" t="s">
        <v>934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4" t="s">
        <v>1364</v>
      </c>
      <c r="B37" s="47" t="s">
        <v>2262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52" t="s">
        <v>1303</v>
      </c>
      <c r="B38" s="4" t="s">
        <v>2135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4" t="s">
        <v>1304</v>
      </c>
      <c r="B39" s="4" t="s">
        <v>1046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4" t="s">
        <v>1305</v>
      </c>
      <c r="B40" s="47" t="s">
        <v>5024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52" t="s">
        <v>1189</v>
      </c>
      <c r="B41" s="4" t="s">
        <v>1192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4" t="s">
        <v>1190</v>
      </c>
      <c r="B42" s="4" t="s">
        <v>1185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 t="s">
        <v>1191</v>
      </c>
      <c r="B43" s="47" t="s">
        <v>2194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52" t="s">
        <v>1006</v>
      </c>
      <c r="B44" s="4" t="s">
        <v>948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4" t="s">
        <v>1007</v>
      </c>
      <c r="B45" s="4" t="s">
        <v>948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4" t="s">
        <v>1008</v>
      </c>
      <c r="B46" s="47" t="s">
        <v>2226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52" t="s">
        <v>2023</v>
      </c>
      <c r="B47" s="4" t="s">
        <v>245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4" t="s">
        <v>2024</v>
      </c>
      <c r="B48" s="4" t="s">
        <v>245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2">
      <c r="A49" s="4" t="s">
        <v>2025</v>
      </c>
      <c r="B49" s="47" t="s">
        <v>2227</v>
      </c>
    </row>
    <row r="50" spans="1:2">
      <c r="A50" s="52" t="s">
        <v>2076</v>
      </c>
      <c r="B50" s="4" t="s">
        <v>2026</v>
      </c>
    </row>
    <row r="51" spans="1:2">
      <c r="A51" s="4" t="s">
        <v>2077</v>
      </c>
      <c r="B51" s="4" t="s">
        <v>2026</v>
      </c>
    </row>
    <row r="52" spans="1:2">
      <c r="A52" s="4" t="s">
        <v>2078</v>
      </c>
      <c r="B52" s="47" t="s">
        <v>4999</v>
      </c>
    </row>
    <row r="53" spans="1:2">
      <c r="A53" s="52" t="s">
        <v>2102</v>
      </c>
      <c r="B53" s="47" t="s">
        <v>2079</v>
      </c>
    </row>
    <row r="54" spans="1:2">
      <c r="A54" s="4" t="s">
        <v>2103</v>
      </c>
      <c r="B54" s="47" t="s">
        <v>2079</v>
      </c>
    </row>
    <row r="55" spans="1:2">
      <c r="A55" s="4" t="s">
        <v>2104</v>
      </c>
      <c r="B55" s="47" t="s">
        <v>4808</v>
      </c>
    </row>
    <row r="56" spans="1:2">
      <c r="A56" s="52" t="s">
        <v>2105</v>
      </c>
      <c r="B56" s="47" t="s">
        <v>2137</v>
      </c>
    </row>
    <row r="57" spans="1:2">
      <c r="A57" s="4" t="s">
        <v>2106</v>
      </c>
      <c r="B57" s="47" t="s">
        <v>2092</v>
      </c>
    </row>
    <row r="58" spans="1:2">
      <c r="A58" s="4" t="s">
        <v>2107</v>
      </c>
      <c r="B58" s="47" t="s">
        <v>2194</v>
      </c>
    </row>
    <row r="59" spans="1:2">
      <c r="A59" s="52" t="s">
        <v>2114</v>
      </c>
      <c r="B59" s="47" t="s">
        <v>2138</v>
      </c>
    </row>
    <row r="60" spans="1:2">
      <c r="A60" s="4" t="s">
        <v>2115</v>
      </c>
      <c r="B60" s="47" t="s">
        <v>2124</v>
      </c>
    </row>
    <row r="61" spans="1:2">
      <c r="A61" s="4" t="s">
        <v>2116</v>
      </c>
      <c r="B61" s="47" t="s">
        <v>2229</v>
      </c>
    </row>
    <row r="62" spans="1:2">
      <c r="A62" s="52" t="s">
        <v>2125</v>
      </c>
      <c r="B62" s="47" t="s">
        <v>2108</v>
      </c>
    </row>
    <row r="63" spans="1:2">
      <c r="A63" s="4" t="s">
        <v>2126</v>
      </c>
      <c r="B63" s="47" t="s">
        <v>2108</v>
      </c>
    </row>
    <row r="64" spans="1:2">
      <c r="A64" s="4" t="s">
        <v>2127</v>
      </c>
      <c r="B64" s="47" t="s">
        <v>2194</v>
      </c>
    </row>
    <row r="65" spans="1:2">
      <c r="A65" s="81" t="s">
        <v>2310</v>
      </c>
      <c r="B65" s="47" t="s">
        <v>2311</v>
      </c>
    </row>
    <row r="66" spans="1:2">
      <c r="A66" s="4" t="s">
        <v>2312</v>
      </c>
      <c r="B66" s="47" t="s">
        <v>2313</v>
      </c>
    </row>
    <row r="67" spans="1:2">
      <c r="A67" s="4" t="s">
        <v>2314</v>
      </c>
      <c r="B67" s="47" t="s">
        <v>4723</v>
      </c>
    </row>
    <row r="68" spans="1:2">
      <c r="A68" s="81" t="s">
        <v>2846</v>
      </c>
      <c r="B68" s="47" t="s">
        <v>2830</v>
      </c>
    </row>
    <row r="69" spans="1:2">
      <c r="A69" s="47" t="s">
        <v>2844</v>
      </c>
      <c r="B69" s="47" t="s">
        <v>2843</v>
      </c>
    </row>
    <row r="70" spans="1:2">
      <c r="A70" s="47" t="s">
        <v>2845</v>
      </c>
      <c r="B70" s="18" t="s">
        <v>5089</v>
      </c>
    </row>
    <row r="71" spans="1:2">
      <c r="A71" s="81" t="s">
        <v>4372</v>
      </c>
      <c r="B71" s="47" t="s">
        <v>4384</v>
      </c>
    </row>
    <row r="72" spans="1:2">
      <c r="A72" s="47" t="s">
        <v>4373</v>
      </c>
      <c r="B72" s="18" t="s">
        <v>2860</v>
      </c>
    </row>
    <row r="73" spans="1:2">
      <c r="A73" s="47" t="s">
        <v>4374</v>
      </c>
      <c r="B73" s="18" t="s">
        <v>5089</v>
      </c>
    </row>
    <row r="74" spans="1:2">
      <c r="A74" s="81" t="s">
        <v>4375</v>
      </c>
      <c r="B74" s="18" t="s">
        <v>2865</v>
      </c>
    </row>
    <row r="75" spans="1:2">
      <c r="A75" s="47" t="s">
        <v>4376</v>
      </c>
      <c r="B75" s="18" t="s">
        <v>2861</v>
      </c>
    </row>
    <row r="76" spans="1:2">
      <c r="A76" s="47" t="s">
        <v>4377</v>
      </c>
      <c r="B76" s="18" t="s">
        <v>4826</v>
      </c>
    </row>
    <row r="77" spans="1:2">
      <c r="A77" s="81" t="s">
        <v>4378</v>
      </c>
      <c r="B77" s="18" t="s">
        <v>2831</v>
      </c>
    </row>
    <row r="78" spans="1:2">
      <c r="A78" t="s">
        <v>4379</v>
      </c>
      <c r="B78" s="18" t="s">
        <v>2859</v>
      </c>
    </row>
    <row r="79" spans="1:2">
      <c r="A79" s="47" t="s">
        <v>4380</v>
      </c>
      <c r="B79" s="18" t="s">
        <v>4583</v>
      </c>
    </row>
    <row r="80" spans="1:2">
      <c r="A80" s="81" t="s">
        <v>4381</v>
      </c>
      <c r="B80" s="18" t="s">
        <v>4617</v>
      </c>
    </row>
    <row r="81" spans="1:2">
      <c r="A81" t="s">
        <v>4382</v>
      </c>
      <c r="B81" t="s">
        <v>2864</v>
      </c>
    </row>
    <row r="82" spans="1:2">
      <c r="A82" s="47" t="s">
        <v>4383</v>
      </c>
      <c r="B82" s="18" t="s">
        <v>5101</v>
      </c>
    </row>
    <row r="83" spans="1:2">
      <c r="A83" s="81" t="s">
        <v>4508</v>
      </c>
      <c r="B83" s="18" t="s">
        <v>4370</v>
      </c>
    </row>
    <row r="84" spans="1:2">
      <c r="A84" s="18" t="s">
        <v>4509</v>
      </c>
      <c r="B84" t="s">
        <v>4371</v>
      </c>
    </row>
    <row r="85" spans="1:2">
      <c r="A85" s="47" t="s">
        <v>4510</v>
      </c>
      <c r="B85" s="18" t="s">
        <v>4999</v>
      </c>
    </row>
    <row r="86" spans="1:2">
      <c r="A86" s="81" t="s">
        <v>4511</v>
      </c>
      <c r="B86" s="18" t="s">
        <v>4408</v>
      </c>
    </row>
    <row r="87" spans="1:2">
      <c r="A87" s="18" t="s">
        <v>4512</v>
      </c>
      <c r="B87" s="18" t="s">
        <v>4404</v>
      </c>
    </row>
    <row r="88" spans="1:2">
      <c r="A88" s="47" t="s">
        <v>4513</v>
      </c>
      <c r="B88" s="18" t="s">
        <v>4518</v>
      </c>
    </row>
    <row r="89" spans="1:2">
      <c r="A89" s="81" t="s">
        <v>4520</v>
      </c>
      <c r="B89" s="18" t="s">
        <v>4409</v>
      </c>
    </row>
    <row r="90" spans="1:2">
      <c r="A90" s="18" t="s">
        <v>4521</v>
      </c>
      <c r="B90" s="18" t="s">
        <v>4406</v>
      </c>
    </row>
    <row r="91" spans="1:2">
      <c r="A91" s="47" t="s">
        <v>4522</v>
      </c>
      <c r="B91" s="18" t="s">
        <v>4518</v>
      </c>
    </row>
    <row r="92" spans="1:2">
      <c r="A92" s="81" t="s">
        <v>4527</v>
      </c>
      <c r="B92" s="18" t="s">
        <v>2867</v>
      </c>
    </row>
    <row r="93" spans="1:2">
      <c r="A93" s="18" t="s">
        <v>4528</v>
      </c>
      <c r="B93" s="18" t="s">
        <v>2863</v>
      </c>
    </row>
    <row r="94" spans="1:2">
      <c r="A94" s="47" t="s">
        <v>4529</v>
      </c>
      <c r="B94" s="18" t="s">
        <v>4539</v>
      </c>
    </row>
    <row r="95" spans="1:2">
      <c r="A95" s="81" t="s">
        <v>4668</v>
      </c>
      <c r="B95" s="18" t="s">
        <v>4667</v>
      </c>
    </row>
    <row r="96" spans="1:2">
      <c r="A96" s="18" t="s">
        <v>4669</v>
      </c>
      <c r="B96" s="18" t="s">
        <v>4671</v>
      </c>
    </row>
    <row r="97" spans="1:2">
      <c r="A97" s="47" t="s">
        <v>4670</v>
      </c>
      <c r="B97" s="18" t="s">
        <v>2266</v>
      </c>
    </row>
    <row r="98" spans="1:2">
      <c r="A98" s="81" t="s">
        <v>5015</v>
      </c>
      <c r="B98" s="18" t="s">
        <v>4981</v>
      </c>
    </row>
    <row r="99" spans="1:2">
      <c r="A99" s="18" t="s">
        <v>5016</v>
      </c>
      <c r="B99" s="18" t="s">
        <v>4965</v>
      </c>
    </row>
    <row r="100" spans="1:2">
      <c r="A100" s="47" t="s">
        <v>5017</v>
      </c>
      <c r="B100" s="18" t="s">
        <v>5038</v>
      </c>
    </row>
    <row r="101" spans="1:2">
      <c r="A101" s="81" t="s">
        <v>5154</v>
      </c>
      <c r="B101" s="18" t="s">
        <v>5152</v>
      </c>
    </row>
    <row r="102" spans="1:2">
      <c r="A102" s="18" t="s">
        <v>5155</v>
      </c>
      <c r="B102" s="18" t="s">
        <v>5153</v>
      </c>
    </row>
    <row r="103" spans="1:2">
      <c r="A103" s="47" t="s">
        <v>5156</v>
      </c>
      <c r="B103" s="18" t="s">
        <v>2226</v>
      </c>
    </row>
  </sheetData>
  <phoneticPr fontId="2" type="noConversion"/>
  <dataValidations count="1">
    <dataValidation type="list" allowBlank="1" showInputMessage="1" showErrorMessage="1" sqref="B30 B33 B9 B12 B18 B21 B36 B39 B15 B24 B27 B42 B45 B48 B51 B54 B57 B63 B60 B66 B69 B72">
      <formula1>ETAPElementXmlTags</formula1>
    </dataValidation>
  </dataValidations>
  <hyperlinks>
    <hyperlink ref="A8" location="Bus!R10" display="Device1_WorksheetName"/>
    <hyperlink ref="A11" location="Cable!AM10" display="Device2_WorksheetName"/>
    <hyperlink ref="A14" location="'Transmission Line'!BD10" display="Device3_WorksheetName"/>
    <hyperlink ref="A17" location="'Two-Winding Transformer'!BP10" display="Device4_WorksheetName"/>
    <hyperlink ref="A20" location="'Three-Winding Transformer'!AF10" display="Device5_WorksheetName"/>
    <hyperlink ref="A23" location="Reactor!P10" display="Device6_WorksheetName"/>
    <hyperlink ref="A26" location="Impedance!Q10" display="Device7_WorksheetName"/>
    <hyperlink ref="A29" location="'Induction Motor'!AP10" display="Device8_WorksheetName"/>
    <hyperlink ref="A35" location="'Static Load'!T10" display="Device10_WorksheetName"/>
    <hyperlink ref="A38" location="'Lumped Load'!AA10" display="Device11_WorksheetName"/>
    <hyperlink ref="A41" location="VFD!M10" display="Device12_WorksheetName"/>
    <hyperlink ref="A44" location="MOV!AJ10" display="Device13_WorksheetName"/>
    <hyperlink ref="A47" location="LVCB!Y10" display="Device14_WorksheetName"/>
    <hyperlink ref="A50" location="HVCB!AI10" display="Device15_WorksheetName"/>
    <hyperlink ref="A53" location="Fuse!X10" display="Device16_WorksheetName"/>
    <hyperlink ref="A56" location="'Single Pole Switch'!M10" display="Device17_WorksheetName"/>
    <hyperlink ref="A59" location="'Double Throw Switch'!N10" display="Device18_WorksheetName"/>
    <hyperlink ref="A62" location="Contactor!M10" display="Device19_WorksheetName"/>
    <hyperlink ref="A65" location="'Synchronous Generator'!AN10" display="Device20_WorksheetName"/>
    <hyperlink ref="A68" location="'Current Transformer'!L10" display="Device21_WorksheetName"/>
    <hyperlink ref="A71" location="'Potential Transformer'!L10" display="Device22_WorksheetName"/>
    <hyperlink ref="A74" location="Utility!U10" display="Device23_WorksheetName"/>
    <hyperlink ref="A77" location="'Universal Relay'!AV10" display="Device24_WorksheetName"/>
    <hyperlink ref="A80" location="'OL Heater_OL Relay'!AB10" display="Device25_WorksheetName"/>
    <hyperlink ref="A83" location="Recloser!AI10" display="Device26_WorksheetName"/>
    <hyperlink ref="A89" location="'Frequency Relay'!H10" display="Device28_WorksheetName"/>
    <hyperlink ref="A92" location="Capacitor!S10" display="Device29_WorksheetName"/>
    <hyperlink ref="A95" location="Panel!Z10" display="Device30_WorksheetName"/>
    <hyperlink ref="A32" location="'Synchronous Motor'!BH10" display="Device9_WorksheetName"/>
    <hyperlink ref="A98" location="'Voltage Regulator'!V10" display="Device31_WorksheetName"/>
    <hyperlink ref="A86" location="'Voltage Relay'!H10" display="Device27_WorksheetName"/>
    <hyperlink ref="A101" location="'Voltage Regulator'!V10" display="Device31_WorksheetName"/>
  </hyperlink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25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J30" sqref="J30"/>
    </sheetView>
  </sheetViews>
  <sheetFormatPr defaultColWidth="9.1796875" defaultRowHeight="12.5"/>
  <cols>
    <col min="1" max="1" width="20" style="4" customWidth="1"/>
    <col min="2" max="2" width="10.7265625" style="4" customWidth="1"/>
    <col min="3" max="3" width="7.453125" style="4" customWidth="1"/>
    <col min="4" max="4" width="12" style="4" customWidth="1"/>
    <col min="5" max="6" width="14" style="4" customWidth="1"/>
    <col min="7" max="7" width="25.1796875" style="4" customWidth="1"/>
    <col min="8" max="8" width="11.26953125" style="4" customWidth="1"/>
    <col min="9" max="9" width="12.453125" style="4" customWidth="1"/>
    <col min="10" max="10" width="9.26953125" style="4" customWidth="1"/>
    <col min="11" max="11" width="9.54296875" style="4" customWidth="1"/>
    <col min="12" max="12" width="8.453125" style="4" customWidth="1"/>
    <col min="13" max="14" width="10.7265625" style="4" customWidth="1"/>
    <col min="15" max="15" width="11.26953125" style="4" customWidth="1"/>
    <col min="16" max="16" width="33.1796875" style="4" customWidth="1"/>
    <col min="17" max="17" width="25.54296875" style="4" customWidth="1"/>
    <col min="18" max="18" width="12" style="4" customWidth="1"/>
    <col min="19" max="19" width="10.26953125" style="4" customWidth="1"/>
    <col min="20" max="23" width="7.81640625" style="4" customWidth="1"/>
    <col min="24" max="24" width="13.54296875" style="4" customWidth="1"/>
    <col min="25" max="25" width="11.7265625" style="4" customWidth="1"/>
    <col min="26" max="26" width="11.26953125" style="4" customWidth="1"/>
    <col min="27" max="27" width="10.1796875" style="4" customWidth="1"/>
    <col min="28" max="28" width="12.7265625" style="4" customWidth="1"/>
    <col min="29" max="29" width="28.453125" style="4" customWidth="1"/>
    <col min="30" max="16384" width="9.1796875" style="4"/>
  </cols>
  <sheetData>
    <row r="1" spans="1:28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  <c r="Q1" s="166"/>
      <c r="R1" s="16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60"/>
      <c r="Q2" s="168"/>
      <c r="R2" s="169"/>
    </row>
    <row r="3" spans="1:28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59"/>
      <c r="L3" s="159"/>
      <c r="M3" s="160"/>
      <c r="N3" s="3" t="s">
        <v>1510</v>
      </c>
      <c r="O3" s="164" t="str">
        <f>_FormulaHelpers_!B48</f>
        <v>Base</v>
      </c>
      <c r="P3" s="164"/>
      <c r="Q3" s="168"/>
      <c r="R3" s="169"/>
    </row>
    <row r="4" spans="1:28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2"/>
      <c r="L4" s="162"/>
      <c r="M4" s="163"/>
      <c r="N4" s="3" t="s">
        <v>1795</v>
      </c>
      <c r="O4" s="164" t="str">
        <f>_FormulaHelpers_!B52</f>
        <v>Normal</v>
      </c>
      <c r="P4" s="164"/>
      <c r="Q4" s="170"/>
      <c r="R4" s="171"/>
    </row>
    <row r="5" spans="1:28" ht="18.75" customHeight="1">
      <c r="A5" s="154" t="s">
        <v>1258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7"/>
      <c r="T5" s="17"/>
      <c r="U5" s="17"/>
      <c r="V5" s="17"/>
      <c r="W5" s="17"/>
      <c r="X5" s="17"/>
      <c r="Y5" s="17"/>
      <c r="Z5" s="17"/>
      <c r="AA5" s="17"/>
      <c r="AB5" s="17"/>
    </row>
    <row r="7" spans="1:28" customFormat="1" ht="15" customHeight="1">
      <c r="A7" s="149" t="s">
        <v>1922</v>
      </c>
      <c r="B7" s="149" t="s">
        <v>1602</v>
      </c>
      <c r="C7" s="149" t="s">
        <v>1291</v>
      </c>
      <c r="D7" s="150" t="s">
        <v>1293</v>
      </c>
      <c r="E7" s="149" t="s">
        <v>2230</v>
      </c>
      <c r="F7" s="150" t="s">
        <v>2152</v>
      </c>
      <c r="G7" s="149" t="s">
        <v>1512</v>
      </c>
      <c r="H7" s="149" t="s">
        <v>2241</v>
      </c>
      <c r="I7" s="149" t="s">
        <v>2242</v>
      </c>
      <c r="J7" s="149" t="s">
        <v>1355</v>
      </c>
      <c r="K7" s="149"/>
      <c r="L7" s="149"/>
      <c r="M7" s="149"/>
      <c r="N7" s="149"/>
      <c r="O7" s="149"/>
      <c r="P7" s="150" t="s">
        <v>12</v>
      </c>
      <c r="Q7" s="146" t="s">
        <v>2223</v>
      </c>
    </row>
    <row r="8" spans="1:28" customFormat="1" ht="15" customHeight="1">
      <c r="A8" s="149"/>
      <c r="B8" s="149"/>
      <c r="C8" s="149"/>
      <c r="D8" s="151"/>
      <c r="E8" s="149"/>
      <c r="F8" s="151"/>
      <c r="G8" s="149"/>
      <c r="H8" s="149"/>
      <c r="I8" s="149"/>
      <c r="J8" s="149" t="s">
        <v>1294</v>
      </c>
      <c r="K8" s="149" t="s">
        <v>1295</v>
      </c>
      <c r="L8" s="149" t="s">
        <v>1296</v>
      </c>
      <c r="M8" s="149" t="s">
        <v>1300</v>
      </c>
      <c r="N8" s="149" t="s">
        <v>1301</v>
      </c>
      <c r="O8" s="150" t="s">
        <v>1302</v>
      </c>
      <c r="P8" s="151"/>
      <c r="Q8" s="147"/>
    </row>
    <row r="9" spans="1:28" customFormat="1" ht="15" customHeight="1">
      <c r="A9" s="149"/>
      <c r="B9" s="149"/>
      <c r="C9" s="149"/>
      <c r="D9" s="152"/>
      <c r="E9" s="149"/>
      <c r="F9" s="152"/>
      <c r="G9" s="149"/>
      <c r="H9" s="149"/>
      <c r="I9" s="149"/>
      <c r="J9" s="149"/>
      <c r="K9" s="149"/>
      <c r="L9" s="149"/>
      <c r="M9" s="149"/>
      <c r="N9" s="149"/>
      <c r="O9" s="152"/>
      <c r="P9" s="151"/>
      <c r="Q9" s="148"/>
    </row>
    <row r="10" spans="1:28" customFormat="1" ht="15" customHeight="1">
      <c r="A10" s="13" t="s">
        <v>1853</v>
      </c>
      <c r="B10" s="13" t="s">
        <v>4693</v>
      </c>
      <c r="C10" s="30" t="s">
        <v>1292</v>
      </c>
      <c r="D10" s="30" t="s">
        <v>1354</v>
      </c>
      <c r="E10" s="13" t="s">
        <v>2231</v>
      </c>
      <c r="F10" s="13" t="s">
        <v>2153</v>
      </c>
      <c r="G10" s="13" t="s">
        <v>1854</v>
      </c>
      <c r="H10" s="13" t="s">
        <v>2267</v>
      </c>
      <c r="I10" s="13" t="s">
        <v>2268</v>
      </c>
      <c r="J10" s="13" t="s">
        <v>1297</v>
      </c>
      <c r="K10" s="13" t="s">
        <v>1298</v>
      </c>
      <c r="L10" s="13" t="s">
        <v>1299</v>
      </c>
      <c r="M10" s="13" t="s">
        <v>5113</v>
      </c>
      <c r="N10" s="16" t="s">
        <v>5114</v>
      </c>
      <c r="O10" s="16" t="s">
        <v>5115</v>
      </c>
      <c r="P10" s="28" t="s">
        <v>571</v>
      </c>
      <c r="Q10" s="53" t="s">
        <v>2224</v>
      </c>
    </row>
    <row r="12" spans="1:28" ht="13">
      <c r="A12" s="6"/>
    </row>
    <row r="13" spans="1:28">
      <c r="A13" s="7"/>
    </row>
    <row r="14" spans="1:28">
      <c r="A14" s="7"/>
    </row>
    <row r="15" spans="1:28">
      <c r="A15" s="7"/>
    </row>
    <row r="16" spans="1:28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Q7:Q10" name="Range1_1"/>
  </protectedRanges>
  <mergeCells count="26">
    <mergeCell ref="Q7:Q9"/>
    <mergeCell ref="P7:P9"/>
    <mergeCell ref="J8:J9"/>
    <mergeCell ref="K8:K9"/>
    <mergeCell ref="L8:L9"/>
    <mergeCell ref="M8:M9"/>
    <mergeCell ref="J7:O7"/>
    <mergeCell ref="N8:N9"/>
    <mergeCell ref="O8:O9"/>
    <mergeCell ref="A7:A9"/>
    <mergeCell ref="I7:I9"/>
    <mergeCell ref="B7:B9"/>
    <mergeCell ref="C7:C9"/>
    <mergeCell ref="G7:G9"/>
    <mergeCell ref="H7:H9"/>
    <mergeCell ref="E7:E9"/>
    <mergeCell ref="D7:D9"/>
    <mergeCell ref="F7:F9"/>
    <mergeCell ref="A5:R5"/>
    <mergeCell ref="C3:M3"/>
    <mergeCell ref="C4:M4"/>
    <mergeCell ref="Q1:R4"/>
    <mergeCell ref="O3:P3"/>
    <mergeCell ref="O4:P4"/>
    <mergeCell ref="C1:P1"/>
    <mergeCell ref="C2:P2"/>
  </mergeCells>
  <phoneticPr fontId="2" type="noConversion"/>
  <pageMargins left="0.75" right="0.75" top="1" bottom="1" header="0.5" footer="0.5"/>
  <pageSetup scale="31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U325"/>
  <sheetViews>
    <sheetView workbookViewId="0">
      <pane xSplit="1" ySplit="9" topLeftCell="V10" activePane="bottomRight" state="frozen"/>
      <selection pane="topRight" activeCell="B1" sqref="B1"/>
      <selection pane="bottomLeft" activeCell="A10" sqref="A10"/>
      <selection pane="bottomRight" activeCell="AG20" sqref="AG20"/>
    </sheetView>
  </sheetViews>
  <sheetFormatPr defaultColWidth="9.1796875" defaultRowHeight="12.5"/>
  <cols>
    <col min="1" max="1" width="20" style="4" customWidth="1"/>
    <col min="2" max="2" width="12.26953125" style="4" customWidth="1"/>
    <col min="3" max="3" width="18" style="4" customWidth="1"/>
    <col min="4" max="5" width="11.26953125" style="4" customWidth="1"/>
    <col min="6" max="6" width="12.453125" style="4" customWidth="1"/>
    <col min="7" max="8" width="12.7265625" style="4" customWidth="1"/>
    <col min="9" max="9" width="29.1796875" style="4" customWidth="1"/>
    <col min="10" max="10" width="9.81640625" style="4" customWidth="1"/>
    <col min="11" max="11" width="8.453125" style="4" customWidth="1"/>
    <col min="12" max="12" width="5.26953125" style="4" customWidth="1"/>
    <col min="13" max="13" width="12" style="4" customWidth="1"/>
    <col min="14" max="14" width="8.7265625" style="4" customWidth="1"/>
    <col min="15" max="15" width="12" style="4" customWidth="1"/>
    <col min="16" max="16" width="7" style="4" customWidth="1"/>
    <col min="17" max="24" width="7.81640625" style="4" customWidth="1"/>
    <col min="25" max="32" width="9.7265625" style="4" customWidth="1"/>
    <col min="33" max="34" width="12.26953125" style="4" customWidth="1"/>
    <col min="35" max="35" width="10.7265625" style="4" customWidth="1"/>
    <col min="36" max="38" width="9.1796875" style="4"/>
    <col min="39" max="39" width="11.453125" style="4" customWidth="1"/>
    <col min="40" max="40" width="10.453125" style="4" customWidth="1"/>
    <col min="41" max="41" width="22" style="4" customWidth="1"/>
    <col min="42" max="42" width="56.81640625" style="4" customWidth="1"/>
    <col min="43" max="43" width="12" style="4" bestFit="1" customWidth="1"/>
    <col min="44" max="44" width="12.1796875" style="4" bestFit="1" customWidth="1"/>
    <col min="45" max="45" width="9.1796875" style="4"/>
    <col min="46" max="46" width="9.81640625" style="4" bestFit="1" customWidth="1"/>
    <col min="47" max="47" width="13.1796875" style="4" bestFit="1" customWidth="1"/>
    <col min="48" max="16384" width="9.1796875" style="4"/>
  </cols>
  <sheetData>
    <row r="1" spans="1:47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7"/>
      <c r="N1" s="166"/>
      <c r="O1" s="16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2" spans="1:47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60"/>
      <c r="N2" s="168"/>
      <c r="O2" s="169"/>
    </row>
    <row r="3" spans="1:47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60"/>
      <c r="J3" s="3" t="s">
        <v>1510</v>
      </c>
      <c r="K3" s="164" t="str">
        <f>_FormulaHelpers_!B48</f>
        <v>Base</v>
      </c>
      <c r="L3" s="164"/>
      <c r="M3" s="164"/>
      <c r="N3" s="168"/>
      <c r="O3" s="169"/>
    </row>
    <row r="4" spans="1:47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3"/>
      <c r="J4" s="3" t="s">
        <v>1795</v>
      </c>
      <c r="K4" s="164" t="str">
        <f>_FormulaHelpers_!B52</f>
        <v>Normal</v>
      </c>
      <c r="L4" s="164"/>
      <c r="M4" s="164"/>
      <c r="N4" s="170"/>
      <c r="O4" s="171"/>
    </row>
    <row r="5" spans="1:47" ht="18.75" customHeight="1">
      <c r="A5" s="154" t="s">
        <v>14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7" spans="1:47" s="15" customFormat="1" ht="15" customHeight="1">
      <c r="A7" s="149" t="s">
        <v>1824</v>
      </c>
      <c r="B7" s="149" t="s">
        <v>1511</v>
      </c>
      <c r="C7" s="149" t="s">
        <v>2240</v>
      </c>
      <c r="D7" s="149" t="s">
        <v>1852</v>
      </c>
      <c r="E7" s="149" t="s">
        <v>1734</v>
      </c>
      <c r="F7" s="149" t="s">
        <v>1880</v>
      </c>
      <c r="G7" s="149" t="s">
        <v>1882</v>
      </c>
      <c r="H7" s="150" t="s">
        <v>2152</v>
      </c>
      <c r="I7" s="149" t="s">
        <v>1512</v>
      </c>
      <c r="J7" s="149" t="s">
        <v>2238</v>
      </c>
      <c r="K7" s="149" t="s">
        <v>2254</v>
      </c>
      <c r="L7" s="149"/>
      <c r="M7" s="149" t="s">
        <v>5020</v>
      </c>
      <c r="N7" s="149" t="s">
        <v>1602</v>
      </c>
      <c r="O7" s="149" t="s">
        <v>1883</v>
      </c>
      <c r="P7" s="149" t="s">
        <v>1884</v>
      </c>
      <c r="Q7" s="149" t="s">
        <v>1887</v>
      </c>
      <c r="R7" s="149" t="s">
        <v>1888</v>
      </c>
      <c r="S7" s="149" t="s">
        <v>1890</v>
      </c>
      <c r="T7" s="149" t="s">
        <v>1891</v>
      </c>
      <c r="U7" s="149" t="s">
        <v>1892</v>
      </c>
      <c r="V7" s="149" t="s">
        <v>1893</v>
      </c>
      <c r="W7" s="149" t="s">
        <v>1894</v>
      </c>
      <c r="X7" s="149" t="s">
        <v>1895</v>
      </c>
      <c r="Y7" s="149" t="s">
        <v>1896</v>
      </c>
      <c r="Z7" s="149" t="s">
        <v>1898</v>
      </c>
      <c r="AA7" s="149" t="s">
        <v>1900</v>
      </c>
      <c r="AB7" s="149" t="s">
        <v>1614</v>
      </c>
      <c r="AC7" s="176" t="s">
        <v>4818</v>
      </c>
      <c r="AD7" s="149" t="s">
        <v>1615</v>
      </c>
      <c r="AE7" s="176" t="s">
        <v>4819</v>
      </c>
      <c r="AF7" s="149" t="s">
        <v>4822</v>
      </c>
      <c r="AG7" s="149" t="s">
        <v>2192</v>
      </c>
      <c r="AH7" s="149"/>
      <c r="AI7" s="149"/>
      <c r="AJ7" s="149" t="s">
        <v>1903</v>
      </c>
      <c r="AK7" s="149" t="s">
        <v>1904</v>
      </c>
      <c r="AL7" s="149" t="s">
        <v>1905</v>
      </c>
      <c r="AM7" s="149" t="s">
        <v>1906</v>
      </c>
      <c r="AN7" s="149" t="s">
        <v>1907</v>
      </c>
      <c r="AO7" s="146" t="s">
        <v>12</v>
      </c>
      <c r="AP7" s="146" t="s">
        <v>2223</v>
      </c>
      <c r="AQ7" s="61"/>
      <c r="AR7" s="61"/>
      <c r="AS7" s="61"/>
      <c r="AT7" s="61"/>
      <c r="AU7" s="61"/>
    </row>
    <row r="8" spans="1:47" s="15" customFormat="1" ht="15" customHeight="1">
      <c r="A8" s="149"/>
      <c r="B8" s="149"/>
      <c r="C8" s="149"/>
      <c r="D8" s="149"/>
      <c r="E8" s="149"/>
      <c r="F8" s="149"/>
      <c r="G8" s="149"/>
      <c r="H8" s="151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76"/>
      <c r="AD8" s="149"/>
      <c r="AE8" s="176"/>
      <c r="AF8" s="149"/>
      <c r="AG8" s="149" t="s">
        <v>2258</v>
      </c>
      <c r="AH8" s="149" t="s">
        <v>370</v>
      </c>
      <c r="AI8" s="149" t="s">
        <v>2259</v>
      </c>
      <c r="AJ8" s="149"/>
      <c r="AK8" s="149"/>
      <c r="AL8" s="149"/>
      <c r="AM8" s="149"/>
      <c r="AN8" s="149"/>
      <c r="AO8" s="147"/>
      <c r="AP8" s="147"/>
      <c r="AQ8" s="62" t="s">
        <v>2857</v>
      </c>
      <c r="AR8" s="63" t="s">
        <v>2285</v>
      </c>
      <c r="AS8" s="62" t="s">
        <v>2295</v>
      </c>
      <c r="AT8" s="63" t="s">
        <v>2296</v>
      </c>
      <c r="AU8" s="62" t="s">
        <v>2297</v>
      </c>
    </row>
    <row r="9" spans="1:47" s="15" customFormat="1" ht="15" customHeight="1">
      <c r="A9" s="149"/>
      <c r="B9" s="149"/>
      <c r="C9" s="149"/>
      <c r="D9" s="149"/>
      <c r="E9" s="149"/>
      <c r="F9" s="149"/>
      <c r="G9" s="149"/>
      <c r="H9" s="152"/>
      <c r="I9" s="149"/>
      <c r="J9" s="149"/>
      <c r="K9" s="27" t="s">
        <v>2167</v>
      </c>
      <c r="L9" s="27" t="s">
        <v>2166</v>
      </c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76"/>
      <c r="AD9" s="149"/>
      <c r="AE9" s="176"/>
      <c r="AF9" s="149"/>
      <c r="AG9" s="149"/>
      <c r="AH9" s="149"/>
      <c r="AI9" s="149"/>
      <c r="AJ9" s="149"/>
      <c r="AK9" s="149"/>
      <c r="AL9" s="149"/>
      <c r="AM9" s="149"/>
      <c r="AN9" s="149"/>
      <c r="AO9" s="148"/>
      <c r="AP9" s="148"/>
      <c r="AQ9" s="59"/>
      <c r="AR9" s="59"/>
      <c r="AS9" s="59"/>
      <c r="AT9" s="59"/>
      <c r="AU9" s="59"/>
    </row>
    <row r="10" spans="1:47" ht="15" customHeight="1">
      <c r="A10" s="13" t="s">
        <v>1853</v>
      </c>
      <c r="B10" s="13" t="s">
        <v>1862</v>
      </c>
      <c r="C10" s="13" t="s">
        <v>2269</v>
      </c>
      <c r="D10" s="13" t="s">
        <v>1859</v>
      </c>
      <c r="E10" s="13" t="s">
        <v>1860</v>
      </c>
      <c r="F10" s="13" t="s">
        <v>1861</v>
      </c>
      <c r="G10" s="13" t="s">
        <v>1881</v>
      </c>
      <c r="H10" s="13" t="s">
        <v>2153</v>
      </c>
      <c r="I10" s="13" t="s">
        <v>1854</v>
      </c>
      <c r="J10" s="14" t="s">
        <v>1354</v>
      </c>
      <c r="K10" s="54" t="s">
        <v>2255</v>
      </c>
      <c r="L10" s="40" t="s">
        <v>2256</v>
      </c>
      <c r="M10" s="14" t="s">
        <v>5021</v>
      </c>
      <c r="N10" s="14" t="s">
        <v>4693</v>
      </c>
      <c r="O10" s="16" t="s">
        <v>1915</v>
      </c>
      <c r="P10" s="16" t="s">
        <v>1885</v>
      </c>
      <c r="Q10" s="16" t="s">
        <v>1886</v>
      </c>
      <c r="R10" s="16" t="s">
        <v>1889</v>
      </c>
      <c r="S10" s="14" t="s">
        <v>1864</v>
      </c>
      <c r="T10" s="14" t="s">
        <v>1865</v>
      </c>
      <c r="U10" s="14" t="s">
        <v>1866</v>
      </c>
      <c r="V10" s="14" t="s">
        <v>1867</v>
      </c>
      <c r="W10" s="14" t="s">
        <v>1868</v>
      </c>
      <c r="X10" s="14" t="s">
        <v>1869</v>
      </c>
      <c r="Y10" s="14" t="s">
        <v>1897</v>
      </c>
      <c r="Z10" s="14" t="s">
        <v>1899</v>
      </c>
      <c r="AA10" s="14" t="s">
        <v>1901</v>
      </c>
      <c r="AB10" s="14" t="s">
        <v>4816</v>
      </c>
      <c r="AC10" s="14" t="s">
        <v>4821</v>
      </c>
      <c r="AD10" s="14" t="s">
        <v>4817</v>
      </c>
      <c r="AE10" s="14" t="s">
        <v>4820</v>
      </c>
      <c r="AF10" s="14" t="s">
        <v>5063</v>
      </c>
      <c r="AG10" s="13" t="s">
        <v>5062</v>
      </c>
      <c r="AH10" s="13" t="s">
        <v>5061</v>
      </c>
      <c r="AI10" s="13" t="s">
        <v>5060</v>
      </c>
      <c r="AJ10" s="14" t="s">
        <v>17</v>
      </c>
      <c r="AK10" s="26" t="s">
        <v>18</v>
      </c>
      <c r="AL10" s="14" t="s">
        <v>1863</v>
      </c>
      <c r="AM10" s="14" t="s">
        <v>1908</v>
      </c>
      <c r="AN10" s="14" t="s">
        <v>1909</v>
      </c>
      <c r="AO10" s="14" t="s">
        <v>571</v>
      </c>
      <c r="AP10" s="53" t="s">
        <v>2224</v>
      </c>
      <c r="AQ10" s="58"/>
      <c r="AR10" s="58"/>
      <c r="AS10" s="58"/>
      <c r="AT10" s="58"/>
      <c r="AU10" s="58"/>
    </row>
    <row r="12" spans="1:47" ht="13">
      <c r="A12" s="6"/>
    </row>
    <row r="13" spans="1:47">
      <c r="A13" s="7"/>
    </row>
    <row r="14" spans="1:47">
      <c r="A14" s="7"/>
    </row>
    <row r="15" spans="1:47">
      <c r="A15" s="7"/>
    </row>
    <row r="16" spans="1:47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AP7:AP10" name="Range1_1"/>
  </protectedRanges>
  <mergeCells count="50">
    <mergeCell ref="K4:M4"/>
    <mergeCell ref="D7:D9"/>
    <mergeCell ref="C7:C9"/>
    <mergeCell ref="R7:R9"/>
    <mergeCell ref="Z7:Z9"/>
    <mergeCell ref="B7:B9"/>
    <mergeCell ref="E7:E9"/>
    <mergeCell ref="K7:L8"/>
    <mergeCell ref="H7:H9"/>
    <mergeCell ref="G7:G9"/>
    <mergeCell ref="I7:I9"/>
    <mergeCell ref="J7:J9"/>
    <mergeCell ref="N7:N9"/>
    <mergeCell ref="Y7:Y9"/>
    <mergeCell ref="X7:X9"/>
    <mergeCell ref="AP7:AP9"/>
    <mergeCell ref="AM7:AM9"/>
    <mergeCell ref="AJ7:AJ9"/>
    <mergeCell ref="AN7:AN9"/>
    <mergeCell ref="T7:T9"/>
    <mergeCell ref="V7:V9"/>
    <mergeCell ref="O7:O9"/>
    <mergeCell ref="W7:W9"/>
    <mergeCell ref="M7:M9"/>
    <mergeCell ref="AG8:AG9"/>
    <mergeCell ref="C3:I3"/>
    <mergeCell ref="C4:I4"/>
    <mergeCell ref="N1:O4"/>
    <mergeCell ref="K3:M3"/>
    <mergeCell ref="P7:P9"/>
    <mergeCell ref="AH8:AH9"/>
    <mergeCell ref="AI8:AI9"/>
    <mergeCell ref="C1:M1"/>
    <mergeCell ref="A5:O5"/>
    <mergeCell ref="Q7:Q9"/>
    <mergeCell ref="S7:S9"/>
    <mergeCell ref="C2:M2"/>
    <mergeCell ref="A7:A9"/>
    <mergeCell ref="F7:F9"/>
    <mergeCell ref="U7:U9"/>
    <mergeCell ref="AO7:AO9"/>
    <mergeCell ref="AB7:AB9"/>
    <mergeCell ref="AD7:AD9"/>
    <mergeCell ref="AC7:AC9"/>
    <mergeCell ref="AF7:AF9"/>
    <mergeCell ref="AA7:AA9"/>
    <mergeCell ref="AK7:AK9"/>
    <mergeCell ref="AL7:AL9"/>
    <mergeCell ref="AE7:AE9"/>
    <mergeCell ref="AG7:AI7"/>
  </mergeCells>
  <phoneticPr fontId="2" type="noConversion"/>
  <dataValidations disablePrompts="1" count="2">
    <dataValidation type="list" allowBlank="1" showInputMessage="1" showErrorMessage="1" sqref="AV10:IT10">
      <formula1>AV13:AV325</formula1>
    </dataValidation>
    <dataValidation type="list" allowBlank="1" showInputMessage="1" showErrorMessage="1" sqref="IU10:IV10">
      <formula1>A13:IU325</formula1>
    </dataValidation>
  </dataValidations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M325"/>
  <sheetViews>
    <sheetView workbookViewId="0">
      <pane xSplit="1" ySplit="9" topLeftCell="AP10" activePane="bottomRight" state="frozen"/>
      <selection pane="topRight" activeCell="B1" sqref="B1"/>
      <selection pane="bottomLeft" activeCell="A10" sqref="A10"/>
      <selection pane="bottomRight" activeCell="AZ10" sqref="AZ10"/>
    </sheetView>
  </sheetViews>
  <sheetFormatPr defaultColWidth="9.1796875" defaultRowHeight="12.5"/>
  <cols>
    <col min="1" max="1" width="20" style="4" customWidth="1"/>
    <col min="2" max="2" width="12.1796875" style="4" customWidth="1"/>
    <col min="3" max="3" width="18" style="4" customWidth="1"/>
    <col min="4" max="5" width="11.26953125" style="4" customWidth="1"/>
    <col min="6" max="6" width="12.453125" style="4" customWidth="1"/>
    <col min="7" max="8" width="12.7265625" style="4" customWidth="1"/>
    <col min="9" max="9" width="29.1796875" style="4" customWidth="1"/>
    <col min="10" max="10" width="9.81640625" style="4" customWidth="1"/>
    <col min="11" max="11" width="8.453125" style="4" customWidth="1"/>
    <col min="12" max="12" width="5.81640625" style="4" customWidth="1"/>
    <col min="13" max="13" width="12" style="4" customWidth="1"/>
    <col min="14" max="14" width="8.453125" style="4" customWidth="1"/>
    <col min="15" max="15" width="12.1796875" style="4" customWidth="1"/>
    <col min="16" max="16" width="7" style="4" customWidth="1"/>
    <col min="17" max="25" width="7.81640625" style="4" customWidth="1"/>
    <col min="26" max="26" width="7.54296875" style="4" customWidth="1"/>
    <col min="27" max="27" width="8.81640625" style="4" customWidth="1"/>
    <col min="28" max="28" width="6.453125" style="4" customWidth="1"/>
    <col min="29" max="29" width="8.54296875" style="4" customWidth="1"/>
    <col min="30" max="30" width="7.453125" style="4" customWidth="1"/>
    <col min="31" max="31" width="7.1796875" style="4" customWidth="1"/>
    <col min="32" max="32" width="7.26953125" style="4" customWidth="1"/>
    <col min="33" max="33" width="14.453125" style="4" customWidth="1"/>
    <col min="34" max="34" width="6.453125" style="4" customWidth="1"/>
    <col min="35" max="35" width="7.26953125" style="4" customWidth="1"/>
    <col min="36" max="36" width="9.7265625" style="4" customWidth="1"/>
    <col min="37" max="37" width="9.1796875" style="4" customWidth="1"/>
    <col min="38" max="38" width="6.54296875" style="4" customWidth="1"/>
    <col min="39" max="39" width="9.1796875" style="4"/>
    <col min="40" max="40" width="7.1796875" style="4" customWidth="1"/>
    <col min="41" max="41" width="7" style="4" customWidth="1"/>
    <col min="42" max="42" width="6.54296875" style="4" customWidth="1"/>
    <col min="43" max="44" width="8.1796875" style="4" customWidth="1"/>
    <col min="45" max="45" width="9" style="4" customWidth="1"/>
    <col min="46" max="46" width="7.1796875" style="4" customWidth="1"/>
    <col min="47" max="47" width="9.1796875" style="4"/>
    <col min="48" max="48" width="11.81640625" style="4" customWidth="1"/>
    <col min="49" max="49" width="12.7265625" style="4" customWidth="1"/>
    <col min="50" max="55" width="9.1796875" style="4"/>
    <col min="56" max="56" width="10" style="4" customWidth="1"/>
    <col min="57" max="57" width="12" style="4" customWidth="1"/>
    <col min="58" max="59" width="13.81640625" style="4" customWidth="1"/>
    <col min="60" max="60" width="31.54296875" style="4" customWidth="1"/>
    <col min="61" max="61" width="12.1796875" style="4" bestFit="1" customWidth="1"/>
    <col min="62" max="62" width="13.81640625" style="4" customWidth="1"/>
    <col min="63" max="63" width="12" style="4" customWidth="1"/>
    <col min="64" max="64" width="13.1796875" style="4" bestFit="1" customWidth="1"/>
    <col min="65" max="65" width="16.1796875" style="4" customWidth="1"/>
    <col min="66" max="16384" width="9.1796875" style="4"/>
  </cols>
  <sheetData>
    <row r="1" spans="1:65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7"/>
      <c r="N1" s="166"/>
      <c r="O1" s="16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65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60"/>
      <c r="N2" s="168"/>
      <c r="O2" s="169"/>
    </row>
    <row r="3" spans="1:65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60"/>
      <c r="J3" s="3" t="s">
        <v>1510</v>
      </c>
      <c r="K3" s="164" t="str">
        <f>_FormulaHelpers_!B48</f>
        <v>Base</v>
      </c>
      <c r="L3" s="164"/>
      <c r="M3" s="164"/>
      <c r="N3" s="168"/>
      <c r="O3" s="169"/>
    </row>
    <row r="4" spans="1:65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3"/>
      <c r="J4" s="3" t="s">
        <v>1795</v>
      </c>
      <c r="K4" s="164" t="str">
        <f>_FormulaHelpers_!B52</f>
        <v>Normal</v>
      </c>
      <c r="L4" s="164"/>
      <c r="M4" s="164"/>
      <c r="N4" s="170"/>
      <c r="O4" s="171"/>
    </row>
    <row r="5" spans="1:65" ht="18.75" customHeight="1">
      <c r="A5" s="154" t="s">
        <v>15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7" spans="1:65" s="15" customFormat="1" ht="15" customHeight="1">
      <c r="A7" s="149" t="s">
        <v>1824</v>
      </c>
      <c r="B7" s="149" t="s">
        <v>1511</v>
      </c>
      <c r="C7" s="149" t="s">
        <v>2240</v>
      </c>
      <c r="D7" s="149" t="s">
        <v>1852</v>
      </c>
      <c r="E7" s="149" t="s">
        <v>1734</v>
      </c>
      <c r="F7" s="149" t="s">
        <v>1880</v>
      </c>
      <c r="G7" s="149" t="s">
        <v>2230</v>
      </c>
      <c r="H7" s="150" t="s">
        <v>2152</v>
      </c>
      <c r="I7" s="149" t="s">
        <v>1512</v>
      </c>
      <c r="J7" s="149" t="s">
        <v>2238</v>
      </c>
      <c r="K7" s="149" t="s">
        <v>2254</v>
      </c>
      <c r="L7" s="149"/>
      <c r="M7" s="149" t="s">
        <v>5018</v>
      </c>
      <c r="N7" s="149" t="s">
        <v>1602</v>
      </c>
      <c r="O7" s="149" t="s">
        <v>1883</v>
      </c>
      <c r="P7" s="149" t="s">
        <v>1884</v>
      </c>
      <c r="Q7" s="149" t="s">
        <v>1887</v>
      </c>
      <c r="R7" s="149" t="s">
        <v>1888</v>
      </c>
      <c r="S7" s="149" t="s">
        <v>1890</v>
      </c>
      <c r="T7" s="149" t="s">
        <v>1891</v>
      </c>
      <c r="U7" s="149" t="s">
        <v>1892</v>
      </c>
      <c r="V7" s="149" t="s">
        <v>1893</v>
      </c>
      <c r="W7" s="149" t="s">
        <v>1894</v>
      </c>
      <c r="X7" s="149" t="s">
        <v>1895</v>
      </c>
      <c r="Y7" s="149" t="s">
        <v>1604</v>
      </c>
      <c r="Z7" s="195" t="s">
        <v>1355</v>
      </c>
      <c r="AA7" s="196"/>
      <c r="AB7" s="196"/>
      <c r="AC7" s="196"/>
      <c r="AD7" s="196"/>
      <c r="AE7" s="196"/>
      <c r="AF7" s="197"/>
      <c r="AG7" s="195" t="s">
        <v>4548</v>
      </c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7"/>
      <c r="AW7" s="150" t="s">
        <v>1896</v>
      </c>
      <c r="AX7" s="150" t="s">
        <v>1898</v>
      </c>
      <c r="AY7" s="150" t="s">
        <v>1900</v>
      </c>
      <c r="AZ7" s="186" t="s">
        <v>2192</v>
      </c>
      <c r="BA7" s="187"/>
      <c r="BB7" s="188"/>
      <c r="BC7" s="150" t="s">
        <v>1903</v>
      </c>
      <c r="BD7" s="150" t="s">
        <v>1905</v>
      </c>
      <c r="BE7" s="150" t="s">
        <v>1906</v>
      </c>
      <c r="BF7" s="150" t="s">
        <v>1907</v>
      </c>
      <c r="BG7" s="146" t="s">
        <v>12</v>
      </c>
      <c r="BH7" s="146" t="s">
        <v>2223</v>
      </c>
      <c r="BI7" s="61"/>
      <c r="BJ7" s="61"/>
      <c r="BK7" s="61"/>
      <c r="BL7" s="61"/>
      <c r="BM7" s="61"/>
    </row>
    <row r="8" spans="1:65" s="15" customFormat="1" ht="15" customHeight="1">
      <c r="A8" s="149"/>
      <c r="B8" s="149"/>
      <c r="C8" s="149"/>
      <c r="D8" s="149"/>
      <c r="E8" s="149"/>
      <c r="F8" s="149"/>
      <c r="G8" s="149"/>
      <c r="H8" s="151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93" t="s">
        <v>4544</v>
      </c>
      <c r="AA8" s="193" t="s">
        <v>4540</v>
      </c>
      <c r="AB8" s="193" t="s">
        <v>4545</v>
      </c>
      <c r="AC8" s="193" t="s">
        <v>4541</v>
      </c>
      <c r="AD8" s="193" t="s">
        <v>4600</v>
      </c>
      <c r="AE8" s="193" t="s">
        <v>4601</v>
      </c>
      <c r="AF8" s="193" t="s">
        <v>4546</v>
      </c>
      <c r="AG8" s="193" t="s">
        <v>4547</v>
      </c>
      <c r="AH8" s="193" t="s">
        <v>4604</v>
      </c>
      <c r="AI8" s="193" t="s">
        <v>4605</v>
      </c>
      <c r="AJ8" s="193" t="s">
        <v>4608</v>
      </c>
      <c r="AK8" s="193" t="s">
        <v>4606</v>
      </c>
      <c r="AL8" s="193" t="s">
        <v>4607</v>
      </c>
      <c r="AM8" s="193" t="s">
        <v>4609</v>
      </c>
      <c r="AN8" s="193" t="s">
        <v>4610</v>
      </c>
      <c r="AO8" s="193" t="s">
        <v>4611</v>
      </c>
      <c r="AP8" s="193" t="s">
        <v>4612</v>
      </c>
      <c r="AQ8" s="193" t="s">
        <v>4613</v>
      </c>
      <c r="AR8" s="193" t="s">
        <v>4720</v>
      </c>
      <c r="AS8" s="193" t="s">
        <v>2711</v>
      </c>
      <c r="AT8" s="193" t="s">
        <v>2709</v>
      </c>
      <c r="AU8" s="193" t="s">
        <v>2710</v>
      </c>
      <c r="AV8" s="193" t="s">
        <v>2373</v>
      </c>
      <c r="AW8" s="151"/>
      <c r="AX8" s="151"/>
      <c r="AY8" s="151"/>
      <c r="AZ8" s="150" t="s">
        <v>2258</v>
      </c>
      <c r="BA8" s="150" t="s">
        <v>370</v>
      </c>
      <c r="BB8" s="150" t="s">
        <v>2259</v>
      </c>
      <c r="BC8" s="151"/>
      <c r="BD8" s="151"/>
      <c r="BE8" s="151"/>
      <c r="BF8" s="151"/>
      <c r="BG8" s="147"/>
      <c r="BH8" s="147"/>
      <c r="BI8" s="62" t="s">
        <v>2857</v>
      </c>
      <c r="BJ8" s="63" t="s">
        <v>2285</v>
      </c>
      <c r="BK8" s="62" t="s">
        <v>2295</v>
      </c>
      <c r="BL8" s="63" t="s">
        <v>2296</v>
      </c>
      <c r="BM8" s="62" t="s">
        <v>2297</v>
      </c>
    </row>
    <row r="9" spans="1:65" s="15" customFormat="1" ht="15" customHeight="1">
      <c r="A9" s="149"/>
      <c r="B9" s="149"/>
      <c r="C9" s="149"/>
      <c r="D9" s="149"/>
      <c r="E9" s="149"/>
      <c r="F9" s="149"/>
      <c r="G9" s="149"/>
      <c r="H9" s="152"/>
      <c r="I9" s="149"/>
      <c r="J9" s="149"/>
      <c r="K9" s="27" t="s">
        <v>2167</v>
      </c>
      <c r="L9" s="27" t="s">
        <v>2166</v>
      </c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48"/>
      <c r="BH9" s="148"/>
      <c r="BI9" s="59"/>
      <c r="BJ9" s="59"/>
      <c r="BK9" s="59"/>
      <c r="BL9" s="59"/>
      <c r="BM9" s="59"/>
    </row>
    <row r="10" spans="1:65" ht="15" customHeight="1">
      <c r="A10" s="13" t="s">
        <v>1853</v>
      </c>
      <c r="B10" s="13" t="s">
        <v>1862</v>
      </c>
      <c r="C10" s="13" t="s">
        <v>2269</v>
      </c>
      <c r="D10" s="13" t="s">
        <v>1859</v>
      </c>
      <c r="E10" s="13" t="s">
        <v>1860</v>
      </c>
      <c r="F10" s="13" t="s">
        <v>1861</v>
      </c>
      <c r="G10" s="13" t="s">
        <v>2231</v>
      </c>
      <c r="H10" s="13" t="s">
        <v>2153</v>
      </c>
      <c r="I10" s="13" t="s">
        <v>1854</v>
      </c>
      <c r="J10" s="14" t="s">
        <v>1354</v>
      </c>
      <c r="K10" s="54" t="s">
        <v>2255</v>
      </c>
      <c r="L10" s="40" t="s">
        <v>2257</v>
      </c>
      <c r="M10" s="14" t="s">
        <v>5021</v>
      </c>
      <c r="N10" s="14" t="s">
        <v>4693</v>
      </c>
      <c r="O10" s="16" t="s">
        <v>1915</v>
      </c>
      <c r="P10" s="16" t="s">
        <v>1885</v>
      </c>
      <c r="Q10" s="16" t="s">
        <v>1886</v>
      </c>
      <c r="R10" s="16" t="s">
        <v>1889</v>
      </c>
      <c r="S10" s="14" t="s">
        <v>1864</v>
      </c>
      <c r="T10" s="14" t="s">
        <v>1865</v>
      </c>
      <c r="U10" s="14" t="s">
        <v>1866</v>
      </c>
      <c r="V10" s="14" t="s">
        <v>1867</v>
      </c>
      <c r="W10" s="14" t="s">
        <v>1868</v>
      </c>
      <c r="X10" s="14" t="s">
        <v>1869</v>
      </c>
      <c r="Y10" s="14" t="s">
        <v>4598</v>
      </c>
      <c r="Z10" s="71" t="s">
        <v>4729</v>
      </c>
      <c r="AA10" s="71" t="s">
        <v>4716</v>
      </c>
      <c r="AB10" s="71" t="s">
        <v>4730</v>
      </c>
      <c r="AC10" s="71" t="s">
        <v>4717</v>
      </c>
      <c r="AD10" s="71" t="s">
        <v>4731</v>
      </c>
      <c r="AE10" s="71" t="s">
        <v>4718</v>
      </c>
      <c r="AF10" s="71" t="s">
        <v>4732</v>
      </c>
      <c r="AG10" s="71" t="s">
        <v>4719</v>
      </c>
      <c r="AH10" s="71" t="s">
        <v>4733</v>
      </c>
      <c r="AI10" s="71" t="s">
        <v>4734</v>
      </c>
      <c r="AJ10" s="71" t="s">
        <v>4724</v>
      </c>
      <c r="AK10" s="71" t="s">
        <v>4735</v>
      </c>
      <c r="AL10" s="71" t="s">
        <v>4736</v>
      </c>
      <c r="AM10" s="71" t="s">
        <v>4747</v>
      </c>
      <c r="AN10" s="71" t="s">
        <v>4737</v>
      </c>
      <c r="AO10" s="71" t="s">
        <v>4748</v>
      </c>
      <c r="AP10" s="71" t="s">
        <v>4738</v>
      </c>
      <c r="AQ10" s="71" t="s">
        <v>4750</v>
      </c>
      <c r="AR10" s="71" t="s">
        <v>4749</v>
      </c>
      <c r="AS10" s="71" t="s">
        <v>4725</v>
      </c>
      <c r="AT10" s="71" t="s">
        <v>4726</v>
      </c>
      <c r="AU10" s="71" t="s">
        <v>4727</v>
      </c>
      <c r="AV10" s="71" t="s">
        <v>4728</v>
      </c>
      <c r="AW10" s="14" t="s">
        <v>1897</v>
      </c>
      <c r="AX10" s="14" t="s">
        <v>1899</v>
      </c>
      <c r="AY10" s="14" t="s">
        <v>1901</v>
      </c>
      <c r="AZ10" s="13" t="s">
        <v>5039</v>
      </c>
      <c r="BA10" s="13" t="s">
        <v>5040</v>
      </c>
      <c r="BB10" s="13" t="s">
        <v>5060</v>
      </c>
      <c r="BC10" s="14" t="s">
        <v>16</v>
      </c>
      <c r="BD10" s="14" t="s">
        <v>1863</v>
      </c>
      <c r="BE10" s="14" t="s">
        <v>1908</v>
      </c>
      <c r="BF10" s="14" t="s">
        <v>1909</v>
      </c>
      <c r="BG10" s="14" t="s">
        <v>571</v>
      </c>
      <c r="BH10" s="53" t="s">
        <v>2224</v>
      </c>
      <c r="BI10" s="58"/>
      <c r="BJ10" s="58"/>
      <c r="BK10" s="58"/>
      <c r="BL10" s="58"/>
      <c r="BM10" s="58"/>
    </row>
    <row r="12" spans="1:65" ht="13">
      <c r="A12" s="6"/>
    </row>
    <row r="13" spans="1:65">
      <c r="A13" s="7"/>
    </row>
    <row r="14" spans="1:65">
      <c r="A14" s="7"/>
    </row>
    <row r="15" spans="1:65">
      <c r="A15" s="7"/>
    </row>
    <row r="16" spans="1:65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BH7:BH10" name="Range1_1"/>
  </protectedRanges>
  <mergeCells count="70">
    <mergeCell ref="AW7:AW9"/>
    <mergeCell ref="AV8:AV9"/>
    <mergeCell ref="AJ8:AJ9"/>
    <mergeCell ref="AK8:AK9"/>
    <mergeCell ref="AL8:AL9"/>
    <mergeCell ref="BF7:BF9"/>
    <mergeCell ref="BA8:BA9"/>
    <mergeCell ref="BB8:BB9"/>
    <mergeCell ref="AT8:AT9"/>
    <mergeCell ref="AP8:AP9"/>
    <mergeCell ref="S7:S9"/>
    <mergeCell ref="T7:T9"/>
    <mergeCell ref="BD7:BD9"/>
    <mergeCell ref="AZ7:BB7"/>
    <mergeCell ref="Y7:Y9"/>
    <mergeCell ref="AX7:AX9"/>
    <mergeCell ref="AR8:AR9"/>
    <mergeCell ref="AG7:AV7"/>
    <mergeCell ref="AZ8:AZ9"/>
    <mergeCell ref="AF8:AF9"/>
    <mergeCell ref="O7:O9"/>
    <mergeCell ref="P7:P9"/>
    <mergeCell ref="J7:J9"/>
    <mergeCell ref="Q7:Q9"/>
    <mergeCell ref="K7:L8"/>
    <mergeCell ref="BH7:BH9"/>
    <mergeCell ref="AY7:AY9"/>
    <mergeCell ref="R7:R9"/>
    <mergeCell ref="BE7:BE9"/>
    <mergeCell ref="BC7:BC9"/>
    <mergeCell ref="A7:A9"/>
    <mergeCell ref="B7:B9"/>
    <mergeCell ref="C7:C9"/>
    <mergeCell ref="X7:X9"/>
    <mergeCell ref="W7:W9"/>
    <mergeCell ref="U7:U9"/>
    <mergeCell ref="V7:V9"/>
    <mergeCell ref="D7:D9"/>
    <mergeCell ref="M7:M9"/>
    <mergeCell ref="N7:N9"/>
    <mergeCell ref="C1:M1"/>
    <mergeCell ref="E7:E9"/>
    <mergeCell ref="G7:G9"/>
    <mergeCell ref="I7:I9"/>
    <mergeCell ref="F7:F9"/>
    <mergeCell ref="H7:H9"/>
    <mergeCell ref="C2:M2"/>
    <mergeCell ref="A5:O5"/>
    <mergeCell ref="C3:I3"/>
    <mergeCell ref="C4:I4"/>
    <mergeCell ref="N1:O4"/>
    <mergeCell ref="K3:M3"/>
    <mergeCell ref="K4:M4"/>
    <mergeCell ref="AU8:AU9"/>
    <mergeCell ref="Z7:AF7"/>
    <mergeCell ref="Z8:Z9"/>
    <mergeCell ref="AA8:AA9"/>
    <mergeCell ref="AB8:AB9"/>
    <mergeCell ref="AC8:AC9"/>
    <mergeCell ref="AM8:AM9"/>
    <mergeCell ref="BG7:BG9"/>
    <mergeCell ref="AG8:AG9"/>
    <mergeCell ref="AD8:AD9"/>
    <mergeCell ref="AE8:AE9"/>
    <mergeCell ref="AQ8:AQ9"/>
    <mergeCell ref="AS8:AS9"/>
    <mergeCell ref="AH8:AH9"/>
    <mergeCell ref="AI8:AI9"/>
    <mergeCell ref="AN8:AN9"/>
    <mergeCell ref="AO8:AO9"/>
  </mergeCells>
  <phoneticPr fontId="2" type="noConversion"/>
  <dataValidations disablePrompts="1" count="2">
    <dataValidation type="list" allowBlank="1" showInputMessage="1" showErrorMessage="1" sqref="IV10">
      <formula1>HX13:HX325</formula1>
    </dataValidation>
    <dataValidation type="list" allowBlank="1" showInputMessage="1" showErrorMessage="1" sqref="BN10:IU10">
      <formula1>#REF!</formula1>
    </dataValidation>
  </dataValidations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325"/>
  <sheetViews>
    <sheetView workbookViewId="0">
      <pane xSplit="1" ySplit="9" topLeftCell="E10" activePane="bottomRight" state="frozen"/>
      <selection pane="topRight" activeCell="B1" sqref="B1"/>
      <selection pane="bottomLeft" activeCell="A10" sqref="A10"/>
      <selection pane="bottomRight" activeCell="R15" sqref="R15"/>
    </sheetView>
  </sheetViews>
  <sheetFormatPr defaultColWidth="9.1796875" defaultRowHeight="12.5"/>
  <cols>
    <col min="1" max="1" width="20" style="4" customWidth="1"/>
    <col min="2" max="2" width="14.26953125" style="4" customWidth="1"/>
    <col min="3" max="3" width="18" style="4" customWidth="1"/>
    <col min="4" max="5" width="11.26953125" style="4" customWidth="1"/>
    <col min="6" max="6" width="12.453125" style="4" customWidth="1"/>
    <col min="7" max="8" width="12.7265625" style="4" customWidth="1"/>
    <col min="9" max="9" width="29.1796875" style="4" customWidth="1"/>
    <col min="10" max="10" width="9.81640625" style="4" customWidth="1"/>
    <col min="11" max="11" width="8.453125" style="4" customWidth="1"/>
    <col min="12" max="12" width="7.26953125" style="4" customWidth="1"/>
    <col min="13" max="13" width="7.7265625" style="4" customWidth="1"/>
    <col min="14" max="14" width="12" style="4" customWidth="1"/>
    <col min="15" max="15" width="7" style="4" customWidth="1"/>
    <col min="16" max="17" width="7.81640625" style="4" customWidth="1"/>
    <col min="18" max="18" width="12.26953125" style="4" customWidth="1"/>
    <col min="19" max="19" width="21.453125" style="4" customWidth="1"/>
    <col min="20" max="20" width="27.453125" style="4" customWidth="1"/>
    <col min="21" max="21" width="12" style="4" bestFit="1" customWidth="1"/>
    <col min="22" max="22" width="12.1796875" style="4" bestFit="1" customWidth="1"/>
    <col min="23" max="23" width="9.1796875" style="4"/>
    <col min="24" max="24" width="9.81640625" style="4" bestFit="1" customWidth="1"/>
    <col min="25" max="25" width="13.1796875" style="4" bestFit="1" customWidth="1"/>
    <col min="26" max="16384" width="9.1796875" style="4"/>
  </cols>
  <sheetData>
    <row r="1" spans="1:25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7"/>
      <c r="M1" s="166"/>
      <c r="N1" s="167"/>
      <c r="O1" s="17"/>
      <c r="P1" s="17"/>
      <c r="Q1" s="17"/>
      <c r="R1" s="17"/>
    </row>
    <row r="2" spans="1:25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60"/>
      <c r="M2" s="168"/>
      <c r="N2" s="169"/>
    </row>
    <row r="3" spans="1:25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60"/>
      <c r="J3" s="3" t="s">
        <v>1510</v>
      </c>
      <c r="K3" s="164" t="str">
        <f>_FormulaHelpers_!B48</f>
        <v>Base</v>
      </c>
      <c r="L3" s="164"/>
      <c r="M3" s="168"/>
      <c r="N3" s="169"/>
    </row>
    <row r="4" spans="1:25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3"/>
      <c r="J4" s="3" t="s">
        <v>1795</v>
      </c>
      <c r="K4" s="164" t="str">
        <f>_FormulaHelpers_!B52</f>
        <v>Normal</v>
      </c>
      <c r="L4" s="164"/>
      <c r="M4" s="170"/>
      <c r="N4" s="171"/>
    </row>
    <row r="5" spans="1:25" ht="18.75" customHeight="1">
      <c r="A5" s="154" t="s">
        <v>2133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7"/>
      <c r="P5" s="17"/>
      <c r="Q5" s="17"/>
      <c r="R5" s="17"/>
    </row>
    <row r="7" spans="1:25" s="15" customFormat="1" ht="15" customHeight="1">
      <c r="A7" s="149" t="s">
        <v>1198</v>
      </c>
      <c r="B7" s="149" t="s">
        <v>1511</v>
      </c>
      <c r="C7" s="149" t="s">
        <v>2240</v>
      </c>
      <c r="D7" s="149" t="s">
        <v>1852</v>
      </c>
      <c r="E7" s="149" t="s">
        <v>1734</v>
      </c>
      <c r="F7" s="149" t="s">
        <v>1880</v>
      </c>
      <c r="G7" s="149" t="s">
        <v>2230</v>
      </c>
      <c r="H7" s="150" t="s">
        <v>2152</v>
      </c>
      <c r="I7" s="149" t="s">
        <v>1512</v>
      </c>
      <c r="J7" s="149" t="s">
        <v>2260</v>
      </c>
      <c r="K7" s="149" t="s">
        <v>2261</v>
      </c>
      <c r="L7" s="149" t="s">
        <v>1042</v>
      </c>
      <c r="M7" s="149" t="s">
        <v>1602</v>
      </c>
      <c r="N7" s="149" t="s">
        <v>1883</v>
      </c>
      <c r="O7" s="149" t="s">
        <v>1884</v>
      </c>
      <c r="P7" s="149" t="s">
        <v>1887</v>
      </c>
      <c r="Q7" s="149" t="s">
        <v>1888</v>
      </c>
      <c r="R7" s="149" t="s">
        <v>1902</v>
      </c>
      <c r="S7" s="149" t="s">
        <v>12</v>
      </c>
      <c r="T7" s="146" t="s">
        <v>2223</v>
      </c>
      <c r="U7" s="61"/>
      <c r="V7" s="61"/>
      <c r="W7" s="61"/>
      <c r="X7" s="61"/>
      <c r="Y7" s="61"/>
    </row>
    <row r="8" spans="1:25" s="15" customFormat="1" ht="15" customHeight="1">
      <c r="A8" s="149"/>
      <c r="B8" s="149"/>
      <c r="C8" s="149"/>
      <c r="D8" s="149"/>
      <c r="E8" s="149"/>
      <c r="F8" s="149"/>
      <c r="G8" s="149"/>
      <c r="H8" s="151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7"/>
      <c r="U8" s="62" t="s">
        <v>2857</v>
      </c>
      <c r="V8" s="63" t="s">
        <v>2285</v>
      </c>
      <c r="W8" s="62" t="s">
        <v>2295</v>
      </c>
      <c r="X8" s="63" t="s">
        <v>2296</v>
      </c>
      <c r="Y8" s="62" t="s">
        <v>2297</v>
      </c>
    </row>
    <row r="9" spans="1:25" s="15" customFormat="1" ht="15" customHeight="1">
      <c r="A9" s="149"/>
      <c r="B9" s="149"/>
      <c r="C9" s="149"/>
      <c r="D9" s="149"/>
      <c r="E9" s="149"/>
      <c r="F9" s="149"/>
      <c r="G9" s="149"/>
      <c r="H9" s="152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8"/>
      <c r="U9" s="59"/>
      <c r="V9" s="59"/>
      <c r="W9" s="59"/>
      <c r="X9" s="59"/>
      <c r="Y9" s="59"/>
    </row>
    <row r="10" spans="1:25" ht="15" customHeight="1">
      <c r="A10" s="13" t="s">
        <v>1853</v>
      </c>
      <c r="B10" s="13" t="s">
        <v>1862</v>
      </c>
      <c r="C10" s="13" t="s">
        <v>2269</v>
      </c>
      <c r="D10" s="13" t="s">
        <v>1859</v>
      </c>
      <c r="E10" s="13" t="s">
        <v>1860</v>
      </c>
      <c r="F10" s="13" t="s">
        <v>1861</v>
      </c>
      <c r="G10" s="13" t="s">
        <v>2231</v>
      </c>
      <c r="H10" s="13" t="s">
        <v>2153</v>
      </c>
      <c r="I10" s="13" t="s">
        <v>1854</v>
      </c>
      <c r="J10" s="13" t="s">
        <v>1354</v>
      </c>
      <c r="K10" s="14" t="s">
        <v>1040</v>
      </c>
      <c r="L10" s="14" t="s">
        <v>1041</v>
      </c>
      <c r="M10" s="13" t="s">
        <v>4693</v>
      </c>
      <c r="N10" s="16" t="s">
        <v>1915</v>
      </c>
      <c r="O10" s="16" t="s">
        <v>1885</v>
      </c>
      <c r="P10" s="16" t="s">
        <v>1886</v>
      </c>
      <c r="Q10" s="16" t="s">
        <v>1889</v>
      </c>
      <c r="R10" s="13" t="s">
        <v>5109</v>
      </c>
      <c r="S10" s="29" t="s">
        <v>571</v>
      </c>
      <c r="T10" s="53" t="s">
        <v>2224</v>
      </c>
      <c r="U10" s="58"/>
      <c r="V10" s="58"/>
      <c r="W10" s="58"/>
      <c r="X10" s="58"/>
      <c r="Y10" s="58"/>
    </row>
    <row r="12" spans="1:25" ht="13">
      <c r="A12" s="6"/>
    </row>
    <row r="13" spans="1:25">
      <c r="A13" s="7"/>
    </row>
    <row r="14" spans="1:25">
      <c r="A14" s="7"/>
    </row>
    <row r="15" spans="1:25">
      <c r="A15" s="7"/>
    </row>
    <row r="16" spans="1:25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T7:T10" name="Range1_1"/>
  </protectedRanges>
  <mergeCells count="28">
    <mergeCell ref="T7:T9"/>
    <mergeCell ref="F7:F9"/>
    <mergeCell ref="R7:R9"/>
    <mergeCell ref="I7:I9"/>
    <mergeCell ref="J7:J9"/>
    <mergeCell ref="K7:K9"/>
    <mergeCell ref="P7:P9"/>
    <mergeCell ref="Q7:Q9"/>
    <mergeCell ref="H7:H9"/>
    <mergeCell ref="C7:C9"/>
    <mergeCell ref="D7:D9"/>
    <mergeCell ref="E7:E9"/>
    <mergeCell ref="G7:G9"/>
    <mergeCell ref="S7:S9"/>
    <mergeCell ref="L7:L9"/>
    <mergeCell ref="M7:M9"/>
    <mergeCell ref="N7:N9"/>
    <mergeCell ref="O7:O9"/>
    <mergeCell ref="A5:N5"/>
    <mergeCell ref="A7:A9"/>
    <mergeCell ref="C3:I3"/>
    <mergeCell ref="C4:I4"/>
    <mergeCell ref="M1:N4"/>
    <mergeCell ref="K3:L3"/>
    <mergeCell ref="K4:L4"/>
    <mergeCell ref="C1:L1"/>
    <mergeCell ref="C2:L2"/>
    <mergeCell ref="B7:B9"/>
  </mergeCells>
  <phoneticPr fontId="2" type="noConversion"/>
  <dataValidations count="2">
    <dataValidation type="list" allowBlank="1" showInputMessage="1" showErrorMessage="1" sqref="HX10:IV10">
      <formula1>HX13:IT325</formula1>
    </dataValidation>
    <dataValidation type="list" allowBlank="1" showInputMessage="1" showErrorMessage="1" sqref="Z10:HW10">
      <formula1>Z13:Z325</formula1>
    </dataValidation>
  </dataValidations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25"/>
  <sheetViews>
    <sheetView tabSelected="1" workbookViewId="0">
      <pane xSplit="1" ySplit="9" topLeftCell="H10" activePane="bottomRight" state="frozen"/>
      <selection pane="topRight" activeCell="B1" sqref="B1"/>
      <selection pane="bottomLeft" activeCell="A10" sqref="A10"/>
      <selection pane="bottomRight" activeCell="A11" sqref="A11:AA61"/>
    </sheetView>
  </sheetViews>
  <sheetFormatPr defaultColWidth="9.1796875" defaultRowHeight="12.5"/>
  <cols>
    <col min="1" max="1" width="20" style="57" customWidth="1"/>
    <col min="2" max="2" width="14.26953125" style="57" customWidth="1"/>
    <col min="3" max="3" width="18" style="57" customWidth="1"/>
    <col min="4" max="4" width="11.26953125" style="57" customWidth="1"/>
    <col min="5" max="5" width="13.26953125" style="57" customWidth="1"/>
    <col min="6" max="6" width="12.453125" style="57" customWidth="1"/>
    <col min="7" max="8" width="12.7265625" style="57" customWidth="1"/>
    <col min="9" max="9" width="11" style="57" customWidth="1"/>
    <col min="10" max="10" width="9.81640625" style="57" customWidth="1"/>
    <col min="11" max="11" width="8.453125" style="57" customWidth="1"/>
    <col min="12" max="12" width="8.26953125" style="57" customWidth="1"/>
    <col min="13" max="13" width="11.7265625" style="57" customWidth="1"/>
    <col min="14" max="14" width="12" style="57" customWidth="1"/>
    <col min="15" max="15" width="7" style="57" customWidth="1"/>
    <col min="16" max="16" width="7.81640625" style="57" customWidth="1"/>
    <col min="17" max="17" width="10.453125" style="57" customWidth="1"/>
    <col min="18" max="20" width="10.54296875" style="57" customWidth="1"/>
    <col min="21" max="21" width="14.26953125" style="57" customWidth="1"/>
    <col min="22" max="22" width="16.81640625" style="57" customWidth="1"/>
    <col min="23" max="24" width="10.54296875" style="57" customWidth="1"/>
    <col min="25" max="25" width="14.26953125" style="57" customWidth="1"/>
    <col min="26" max="26" width="22.81640625" style="57" customWidth="1"/>
    <col min="27" max="27" width="42.81640625" style="57" customWidth="1"/>
    <col min="28" max="29" width="12.1796875" style="57" bestFit="1" customWidth="1"/>
    <col min="30" max="30" width="9.81640625" style="57" bestFit="1" customWidth="1"/>
    <col min="31" max="32" width="13.1796875" style="57" bestFit="1" customWidth="1"/>
    <col min="33" max="16384" width="9.1796875" style="57"/>
  </cols>
  <sheetData>
    <row r="1" spans="1:32" ht="14">
      <c r="A1" s="83"/>
      <c r="B1" s="84" t="s">
        <v>1507</v>
      </c>
      <c r="C1" s="137">
        <f>_FormulaHelpers_!B43</f>
        <v>0</v>
      </c>
      <c r="D1" s="138"/>
      <c r="E1" s="138"/>
      <c r="F1" s="138"/>
      <c r="G1" s="138"/>
      <c r="H1" s="138"/>
      <c r="I1" s="138"/>
      <c r="J1" s="138"/>
      <c r="K1" s="138"/>
      <c r="L1" s="139"/>
      <c r="M1" s="250"/>
      <c r="N1" s="251"/>
      <c r="O1" s="86"/>
      <c r="P1" s="86"/>
      <c r="Q1" s="86"/>
    </row>
    <row r="2" spans="1:32" ht="14">
      <c r="A2" s="87"/>
      <c r="B2" s="84" t="s">
        <v>1508</v>
      </c>
      <c r="C2" s="140">
        <f>_FormulaHelpers_!B44</f>
        <v>0</v>
      </c>
      <c r="D2" s="141"/>
      <c r="E2" s="141"/>
      <c r="F2" s="141"/>
      <c r="G2" s="141"/>
      <c r="H2" s="141"/>
      <c r="I2" s="141"/>
      <c r="J2" s="141"/>
      <c r="K2" s="141"/>
      <c r="L2" s="142"/>
      <c r="M2" s="253"/>
      <c r="N2" s="254"/>
    </row>
    <row r="3" spans="1:32" ht="14">
      <c r="A3" s="87"/>
      <c r="B3" s="84" t="s">
        <v>1794</v>
      </c>
      <c r="C3" s="140">
        <f>_FormulaHelpers_!B45</f>
        <v>0</v>
      </c>
      <c r="D3" s="141"/>
      <c r="E3" s="141"/>
      <c r="F3" s="141"/>
      <c r="G3" s="141"/>
      <c r="H3" s="141"/>
      <c r="I3" s="142"/>
      <c r="J3" s="84" t="s">
        <v>1510</v>
      </c>
      <c r="K3" s="132" t="str">
        <f>_FormulaHelpers_!B48</f>
        <v>Base</v>
      </c>
      <c r="L3" s="132"/>
      <c r="M3" s="253"/>
      <c r="N3" s="254"/>
    </row>
    <row r="4" spans="1:32" ht="14">
      <c r="A4" s="88"/>
      <c r="B4" s="84" t="s">
        <v>1509</v>
      </c>
      <c r="C4" s="143">
        <f>_FormulaHelpers_!B46</f>
        <v>45703</v>
      </c>
      <c r="D4" s="144"/>
      <c r="E4" s="144"/>
      <c r="F4" s="144"/>
      <c r="G4" s="144"/>
      <c r="H4" s="144"/>
      <c r="I4" s="145"/>
      <c r="J4" s="84" t="s">
        <v>1795</v>
      </c>
      <c r="K4" s="132" t="str">
        <f>_FormulaHelpers_!B52</f>
        <v>Normal</v>
      </c>
      <c r="L4" s="132"/>
      <c r="M4" s="256"/>
      <c r="N4" s="257"/>
    </row>
    <row r="5" spans="1:32" ht="18.75" customHeight="1">
      <c r="A5" s="134" t="s">
        <v>2136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86"/>
      <c r="P5" s="86"/>
      <c r="Q5" s="86"/>
    </row>
    <row r="7" spans="1:32" s="114" customFormat="1" ht="15" customHeight="1">
      <c r="A7" s="176" t="s">
        <v>1824</v>
      </c>
      <c r="B7" s="146" t="s">
        <v>2240</v>
      </c>
      <c r="C7" s="146" t="s">
        <v>1852</v>
      </c>
      <c r="D7" s="146" t="s">
        <v>1734</v>
      </c>
      <c r="E7" s="146" t="s">
        <v>2263</v>
      </c>
      <c r="F7" s="146" t="s">
        <v>2230</v>
      </c>
      <c r="G7" s="146" t="s">
        <v>2152</v>
      </c>
      <c r="H7" s="146" t="s">
        <v>1512</v>
      </c>
      <c r="I7" s="146" t="s">
        <v>2239</v>
      </c>
      <c r="J7" s="146" t="s">
        <v>1199</v>
      </c>
      <c r="K7" s="146" t="s">
        <v>2166</v>
      </c>
      <c r="L7" s="146" t="s">
        <v>1042</v>
      </c>
      <c r="M7" s="146" t="s">
        <v>1602</v>
      </c>
      <c r="N7" s="146" t="s">
        <v>1883</v>
      </c>
      <c r="O7" s="146" t="s">
        <v>1884</v>
      </c>
      <c r="P7" s="146" t="s">
        <v>1887</v>
      </c>
      <c r="Q7" s="146" t="s">
        <v>1888</v>
      </c>
      <c r="R7" s="146" t="s">
        <v>2192</v>
      </c>
      <c r="S7" s="146" t="s">
        <v>2207</v>
      </c>
      <c r="T7" s="146" t="s">
        <v>2209</v>
      </c>
      <c r="U7" s="146" t="s">
        <v>2211</v>
      </c>
      <c r="V7" s="177" t="s">
        <v>2215</v>
      </c>
      <c r="W7" s="179"/>
      <c r="X7" s="177" t="s">
        <v>2218</v>
      </c>
      <c r="Y7" s="179"/>
      <c r="Z7" s="146" t="s">
        <v>12</v>
      </c>
      <c r="AA7" s="146" t="s">
        <v>2223</v>
      </c>
      <c r="AB7" s="61"/>
      <c r="AC7" s="61"/>
      <c r="AD7" s="61"/>
      <c r="AE7" s="61"/>
      <c r="AF7" s="61"/>
    </row>
    <row r="8" spans="1:32" s="114" customFormat="1" ht="15" customHeight="1">
      <c r="A8" s="176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6" t="s">
        <v>2213</v>
      </c>
      <c r="W8" s="146" t="s">
        <v>2214</v>
      </c>
      <c r="X8" s="146" t="s">
        <v>2221</v>
      </c>
      <c r="Y8" s="146" t="s">
        <v>2220</v>
      </c>
      <c r="Z8" s="147"/>
      <c r="AA8" s="147"/>
      <c r="AB8" s="62" t="s">
        <v>2857</v>
      </c>
      <c r="AC8" s="63" t="s">
        <v>2285</v>
      </c>
      <c r="AD8" s="62" t="s">
        <v>2295</v>
      </c>
      <c r="AE8" s="63" t="s">
        <v>2296</v>
      </c>
      <c r="AF8" s="62" t="s">
        <v>2297</v>
      </c>
    </row>
    <row r="9" spans="1:32" s="114" customFormat="1" ht="15" customHeight="1">
      <c r="A9" s="176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59"/>
      <c r="AC9" s="59"/>
      <c r="AD9" s="59"/>
      <c r="AE9" s="59"/>
      <c r="AF9" s="59"/>
    </row>
    <row r="10" spans="1:32" ht="15" hidden="1" customHeight="1">
      <c r="A10" s="105" t="s">
        <v>1853</v>
      </c>
      <c r="B10" s="105" t="s">
        <v>2269</v>
      </c>
      <c r="C10" s="105" t="s">
        <v>1859</v>
      </c>
      <c r="D10" s="105" t="s">
        <v>1860</v>
      </c>
      <c r="E10" s="105" t="s">
        <v>1861</v>
      </c>
      <c r="F10" s="105" t="s">
        <v>2231</v>
      </c>
      <c r="G10" s="105" t="s">
        <v>2153</v>
      </c>
      <c r="H10" s="105" t="s">
        <v>1854</v>
      </c>
      <c r="I10" s="127" t="s">
        <v>1354</v>
      </c>
      <c r="J10" s="127" t="s">
        <v>5025</v>
      </c>
      <c r="K10" s="127" t="s">
        <v>4979</v>
      </c>
      <c r="L10" s="127" t="s">
        <v>1041</v>
      </c>
      <c r="M10" s="127" t="s">
        <v>4693</v>
      </c>
      <c r="N10" s="242" t="s">
        <v>1915</v>
      </c>
      <c r="O10" s="242" t="s">
        <v>1885</v>
      </c>
      <c r="P10" s="242" t="s">
        <v>1886</v>
      </c>
      <c r="Q10" s="242" t="s">
        <v>1889</v>
      </c>
      <c r="R10" s="105" t="s">
        <v>5116</v>
      </c>
      <c r="S10" s="127" t="s">
        <v>2208</v>
      </c>
      <c r="T10" s="127" t="s">
        <v>2210</v>
      </c>
      <c r="U10" s="105" t="s">
        <v>2212</v>
      </c>
      <c r="V10" s="127" t="s">
        <v>2216</v>
      </c>
      <c r="W10" s="127" t="s">
        <v>2217</v>
      </c>
      <c r="X10" s="105" t="s">
        <v>5185</v>
      </c>
      <c r="Y10" s="127" t="s">
        <v>2219</v>
      </c>
      <c r="Z10" s="60" t="s">
        <v>571</v>
      </c>
      <c r="AA10" s="244" t="s">
        <v>2224</v>
      </c>
      <c r="AB10" s="58"/>
      <c r="AC10" s="58"/>
      <c r="AD10" s="58"/>
      <c r="AE10" s="58"/>
      <c r="AF10" s="58"/>
    </row>
    <row r="11" spans="1:32">
      <c r="A11" s="105" t="s">
        <v>6219</v>
      </c>
      <c r="B11" s="105" t="str">
        <f>IF(TRIM("BUS_#1变_818_1525") = "", "BUS_#1变_818_1525", "BUS_#1变_818_1525")</f>
        <v>BUS_#1变_818_1525</v>
      </c>
      <c r="C11" s="105" t="str">
        <f>CHOOSE((0 + 1), DataType0, DataType1, DataType2, DataType3, DataType4, DataType5, DataType6, DataType7, DataType8, DataType9)</f>
        <v>DataType1</v>
      </c>
      <c r="D11" s="105" t="str">
        <f>CHOOSE((3+1), Priority0, Priority1, Priority2, Priority3, Priority4, Priority5, Priority6, Priority7, Priority8, Priority9)</f>
        <v>Priority4</v>
      </c>
      <c r="E11" s="105" t="s">
        <v>6220</v>
      </c>
      <c r="F11" s="105" t="str">
        <f>IF(TRUE = TRUE, "Yes", "No")</f>
        <v>Yes</v>
      </c>
      <c r="G11" s="105" t="s">
        <v>5202</v>
      </c>
      <c r="H11" s="105"/>
      <c r="I11" s="127">
        <f>ROUND(0.400000006, 3)</f>
        <v>0.4</v>
      </c>
      <c r="J11" s="127">
        <f>ROUND(CHOOSE((1 + 1), 40 / 1000, 40, 40 * 1000),3)</f>
        <v>40</v>
      </c>
      <c r="K11" s="127" t="str">
        <f>CHOOSE((1 + 1), "MVA", "KVA", "VA")</f>
        <v>KVA</v>
      </c>
      <c r="L11" s="127" t="str">
        <f>FIXED(90, 1)</f>
        <v>90.0</v>
      </c>
      <c r="M11" s="127" t="str">
        <f>IF(0 = 0, "3", "1")</f>
        <v>3</v>
      </c>
      <c r="N11" s="242" t="str">
        <f>IF(0 = 1, CHOOSE((0+1), "A", "B", "C", "AB", "BC", "CA"), "")</f>
        <v/>
      </c>
      <c r="O11" s="242">
        <v>100</v>
      </c>
      <c r="P11" s="242">
        <v>50</v>
      </c>
      <c r="Q11" s="242">
        <v>0</v>
      </c>
      <c r="R11" s="105" t="str">
        <f>IF(0 = 0,CHOOSE((1 + 1), "Y",  "Δ"),"--")</f>
        <v>Δ</v>
      </c>
      <c r="S11" s="127">
        <f>ROUND(0, 0)</f>
        <v>0</v>
      </c>
      <c r="T11" s="127">
        <f>ROUND(600, 1)</f>
        <v>600</v>
      </c>
      <c r="U11" s="105">
        <f>ROUND(2.38000011, 1)</f>
        <v>2.4</v>
      </c>
      <c r="V11" s="127">
        <f>ROUND(20, 0)</f>
        <v>20</v>
      </c>
      <c r="W11" s="127">
        <f>ROUND(50, 0)</f>
        <v>50</v>
      </c>
      <c r="X11" s="105">
        <f>ROUND(10000*2.38000011/(600*SQRT(1+(2.38000011)^2)),3)</f>
        <v>15.365</v>
      </c>
      <c r="Y11" s="127">
        <f>ROUND(0.200000003, 1)</f>
        <v>0.2</v>
      </c>
      <c r="Z11" s="60"/>
      <c r="AA11" s="53" t="s">
        <v>6221</v>
      </c>
    </row>
    <row r="12" spans="1:32">
      <c r="A12" s="105" t="s">
        <v>6222</v>
      </c>
      <c r="B12" s="105" t="str">
        <f>IF(TRIM("BUS_#2变_819_1527") = "", "BUS_#2变_819_1527", "BUS_#2变_819_1527")</f>
        <v>BUS_#2变_819_1527</v>
      </c>
      <c r="C12" s="105" t="str">
        <f>CHOOSE((0 + 1), DataType0, DataType1, DataType2, DataType3, DataType4, DataType5, DataType6, DataType7, DataType8, DataType9)</f>
        <v>DataType1</v>
      </c>
      <c r="D12" s="105" t="str">
        <f>CHOOSE((3+1), Priority0, Priority1, Priority2, Priority3, Priority4, Priority5, Priority6, Priority7, Priority8, Priority9)</f>
        <v>Priority4</v>
      </c>
      <c r="E12" s="105" t="s">
        <v>6220</v>
      </c>
      <c r="F12" s="105" t="str">
        <f>IF(TRUE = TRUE, "Yes", "No")</f>
        <v>Yes</v>
      </c>
      <c r="G12" s="105" t="s">
        <v>5202</v>
      </c>
      <c r="H12" s="105"/>
      <c r="I12" s="127">
        <f>ROUND(0.400000006, 3)</f>
        <v>0.4</v>
      </c>
      <c r="J12" s="127">
        <f>ROUND(CHOOSE((1 + 1), 40 / 1000, 40, 40 * 1000),3)</f>
        <v>40</v>
      </c>
      <c r="K12" s="127" t="str">
        <f>CHOOSE((1 + 1), "MVA", "KVA", "VA")</f>
        <v>KVA</v>
      </c>
      <c r="L12" s="127" t="str">
        <f>FIXED(90, 1)</f>
        <v>90.0</v>
      </c>
      <c r="M12" s="127" t="str">
        <f>IF(0 = 0, "3", "1")</f>
        <v>3</v>
      </c>
      <c r="N12" s="242" t="str">
        <f>IF(0 = 1, CHOOSE((0+1), "A", "B", "C", "AB", "BC", "CA"), "")</f>
        <v/>
      </c>
      <c r="O12" s="242">
        <v>100</v>
      </c>
      <c r="P12" s="242">
        <v>50</v>
      </c>
      <c r="Q12" s="242">
        <v>0</v>
      </c>
      <c r="R12" s="105" t="str">
        <f>IF(0 = 0,CHOOSE((1 + 1), "Y",  "Δ"),"--")</f>
        <v>Δ</v>
      </c>
      <c r="S12" s="127">
        <f>ROUND(0, 0)</f>
        <v>0</v>
      </c>
      <c r="T12" s="127">
        <f>ROUND(600, 1)</f>
        <v>600</v>
      </c>
      <c r="U12" s="105">
        <f>ROUND(2.38000011, 1)</f>
        <v>2.4</v>
      </c>
      <c r="V12" s="127">
        <f>ROUND(20, 0)</f>
        <v>20</v>
      </c>
      <c r="W12" s="127">
        <f>ROUND(50, 0)</f>
        <v>50</v>
      </c>
      <c r="X12" s="105">
        <f>ROUND(10000*2.38000011/(600*SQRT(1+(2.38000011)^2)),3)</f>
        <v>15.365</v>
      </c>
      <c r="Y12" s="127">
        <f>ROUND(0.200000003, 1)</f>
        <v>0.2</v>
      </c>
      <c r="Z12" s="60"/>
      <c r="AA12" s="53" t="s">
        <v>6223</v>
      </c>
    </row>
    <row r="13" spans="1:32">
      <c r="A13" s="105" t="s">
        <v>6224</v>
      </c>
      <c r="B13" s="105" t="str">
        <f>IF(TRIM("BUS_CNODE_JCT__1306") = "", "BUS_CNODE_JCT__1306", "BUS_CNODE_JCT__1306")</f>
        <v>BUS_CNODE_JCT__1306</v>
      </c>
      <c r="C13" s="105" t="str">
        <f>CHOOSE((0 + 1), DataType0, DataType1, DataType2, DataType3, DataType4, DataType5, DataType6, DataType7, DataType8, DataType9)</f>
        <v>DataType1</v>
      </c>
      <c r="D13" s="105" t="str">
        <f>CHOOSE((3+1), Priority0, Priority1, Priority2, Priority3, Priority4, Priority5, Priority6, Priority7, Priority8, Priority9)</f>
        <v>Priority4</v>
      </c>
      <c r="E13" s="105" t="s">
        <v>6220</v>
      </c>
      <c r="F13" s="105" t="str">
        <f>IF(TRUE = TRUE, "Yes", "No")</f>
        <v>Yes</v>
      </c>
      <c r="G13" s="105" t="s">
        <v>5202</v>
      </c>
      <c r="H13" s="105"/>
      <c r="I13" s="127">
        <f>ROUND(10, 3)</f>
        <v>10</v>
      </c>
      <c r="J13" s="127">
        <f>ROUND(CHOOSE((1 + 1), 1000 / 1000, 1000, 1000 * 1000),3)</f>
        <v>1000</v>
      </c>
      <c r="K13" s="127" t="str">
        <f>CHOOSE((1 + 1), "MVA", "KVA", "VA")</f>
        <v>KVA</v>
      </c>
      <c r="L13" s="127" t="str">
        <f>FIXED(90, 1)</f>
        <v>90.0</v>
      </c>
      <c r="M13" s="127" t="str">
        <f>IF(0 = 0, "3", "1")</f>
        <v>3</v>
      </c>
      <c r="N13" s="242" t="str">
        <f>IF(0 = 1, CHOOSE((0+1), "A", "B", "C", "AB", "BC", "CA"), "")</f>
        <v/>
      </c>
      <c r="O13" s="242">
        <v>100</v>
      </c>
      <c r="P13" s="242">
        <v>50</v>
      </c>
      <c r="Q13" s="242">
        <v>0</v>
      </c>
      <c r="R13" s="105" t="str">
        <f>IF(0 = 0,CHOOSE((1 + 1), "Y",  "Δ"),"--")</f>
        <v>Δ</v>
      </c>
      <c r="S13" s="127">
        <f>ROUND(0, 0)</f>
        <v>0</v>
      </c>
      <c r="T13" s="127">
        <f>ROUND(650, 1)</f>
        <v>650</v>
      </c>
      <c r="U13" s="105">
        <f>ROUND(6.67000008, 1)</f>
        <v>6.7</v>
      </c>
      <c r="V13" s="127">
        <f>ROUND(15.3846149, 0)</f>
        <v>15</v>
      </c>
      <c r="W13" s="127">
        <f>ROUND(23.0769234, 0)</f>
        <v>23</v>
      </c>
      <c r="X13" s="105">
        <f>ROUND(10000*6.67000008/(650*SQRT(1+(6.67000008)^2)),3)</f>
        <v>15.215</v>
      </c>
      <c r="Y13" s="127">
        <f>ROUND(0.200000003, 1)</f>
        <v>0.2</v>
      </c>
      <c r="Z13" s="60"/>
      <c r="AA13" s="53" t="s">
        <v>6225</v>
      </c>
    </row>
    <row r="14" spans="1:32">
      <c r="A14" s="105" t="s">
        <v>6226</v>
      </c>
      <c r="B14" s="105" t="str">
        <f>IF(TRIM("BUS_CNODE_JCT__1464") = "", "BUS_CNODE_JCT__1464", "BUS_CNODE_JCT__1464")</f>
        <v>BUS_CNODE_JCT__1464</v>
      </c>
      <c r="C14" s="105" t="str">
        <f>CHOOSE((0 + 1), DataType0, DataType1, DataType2, DataType3, DataType4, DataType5, DataType6, DataType7, DataType8, DataType9)</f>
        <v>DataType1</v>
      </c>
      <c r="D14" s="105" t="str">
        <f>CHOOSE((3+1), Priority0, Priority1, Priority2, Priority3, Priority4, Priority5, Priority6, Priority7, Priority8, Priority9)</f>
        <v>Priority4</v>
      </c>
      <c r="E14" s="105" t="s">
        <v>6220</v>
      </c>
      <c r="F14" s="105" t="str">
        <f>IF(TRUE = TRUE, "Yes", "No")</f>
        <v>Yes</v>
      </c>
      <c r="G14" s="105" t="s">
        <v>5202</v>
      </c>
      <c r="H14" s="105"/>
      <c r="I14" s="127">
        <f>ROUND(10, 3)</f>
        <v>10</v>
      </c>
      <c r="J14" s="127">
        <f>ROUND(CHOOSE((1 + 1), 1600 / 1000, 1600, 1600 * 1000),3)</f>
        <v>1600</v>
      </c>
      <c r="K14" s="127" t="str">
        <f>CHOOSE((1 + 1), "MVA", "KVA", "VA")</f>
        <v>KVA</v>
      </c>
      <c r="L14" s="127" t="str">
        <f>FIXED(90, 1)</f>
        <v>90.0</v>
      </c>
      <c r="M14" s="127" t="str">
        <f>IF(0 = 0, "3", "1")</f>
        <v>3</v>
      </c>
      <c r="N14" s="242" t="str">
        <f>IF(0 = 1, CHOOSE((0+1), "A", "B", "C", "AB", "BC", "CA"), "")</f>
        <v/>
      </c>
      <c r="O14" s="242">
        <v>100</v>
      </c>
      <c r="P14" s="242">
        <v>50</v>
      </c>
      <c r="Q14" s="242">
        <v>0</v>
      </c>
      <c r="R14" s="105" t="str">
        <f>IF(0 = 0,CHOOSE((1 + 1), "Y",  "Δ"),"--")</f>
        <v>Δ</v>
      </c>
      <c r="S14" s="127">
        <f>ROUND(0, 0)</f>
        <v>0</v>
      </c>
      <c r="T14" s="127">
        <f>ROUND(650, 1)</f>
        <v>650</v>
      </c>
      <c r="U14" s="105">
        <f>ROUND(6.67000008, 1)</f>
        <v>6.7</v>
      </c>
      <c r="V14" s="127">
        <f>ROUND(15.3846149, 0)</f>
        <v>15</v>
      </c>
      <c r="W14" s="127">
        <f>ROUND(23.0769234, 0)</f>
        <v>23</v>
      </c>
      <c r="X14" s="105">
        <f>ROUND(10000*6.67000008/(650*SQRT(1+(6.67000008)^2)),3)</f>
        <v>15.215</v>
      </c>
      <c r="Y14" s="127">
        <f>ROUND(0.200000003, 1)</f>
        <v>0.2</v>
      </c>
      <c r="Z14" s="60"/>
      <c r="AA14" s="53" t="s">
        <v>6227</v>
      </c>
    </row>
    <row r="15" spans="1:32">
      <c r="A15" s="105" t="s">
        <v>6228</v>
      </c>
      <c r="B15" s="105" t="str">
        <f>IF(TRIM("BUS_CNODE_JCT__1323") = "", "BUS_CNODE_JCT__1323", "BUS_CNODE_JCT__1323")</f>
        <v>BUS_CNODE_JCT__1323</v>
      </c>
      <c r="C15" s="105" t="str">
        <f>CHOOSE((0 + 1), DataType0, DataType1, DataType2, DataType3, DataType4, DataType5, DataType6, DataType7, DataType8, DataType9)</f>
        <v>DataType1</v>
      </c>
      <c r="D15" s="105" t="str">
        <f>CHOOSE((3+1), Priority0, Priority1, Priority2, Priority3, Priority4, Priority5, Priority6, Priority7, Priority8, Priority9)</f>
        <v>Priority4</v>
      </c>
      <c r="E15" s="105" t="s">
        <v>6220</v>
      </c>
      <c r="F15" s="105" t="str">
        <f>IF(TRUE = TRUE, "Yes", "No")</f>
        <v>Yes</v>
      </c>
      <c r="G15" s="105" t="s">
        <v>5202</v>
      </c>
      <c r="H15" s="105"/>
      <c r="I15" s="127">
        <f>ROUND(10, 3)</f>
        <v>10</v>
      </c>
      <c r="J15" s="127">
        <f>ROUND(CHOOSE((1 + 1), 1260 / 1000, 1260, 1260 * 1000),3)</f>
        <v>1260</v>
      </c>
      <c r="K15" s="127" t="str">
        <f>CHOOSE((1 + 1), "MVA", "KVA", "VA")</f>
        <v>KVA</v>
      </c>
      <c r="L15" s="127" t="str">
        <f>FIXED(90, 1)</f>
        <v>90.0</v>
      </c>
      <c r="M15" s="127" t="str">
        <f>IF(0 = 0, "3", "1")</f>
        <v>3</v>
      </c>
      <c r="N15" s="242" t="str">
        <f>IF(0 = 1, CHOOSE((0+1), "A", "B", "C", "AB", "BC", "CA"), "")</f>
        <v/>
      </c>
      <c r="O15" s="242">
        <v>100</v>
      </c>
      <c r="P15" s="242">
        <v>50</v>
      </c>
      <c r="Q15" s="242">
        <v>0</v>
      </c>
      <c r="R15" s="105" t="str">
        <f>IF(0 = 0,CHOOSE((1 + 1), "Y",  "Δ"),"--")</f>
        <v>Δ</v>
      </c>
      <c r="S15" s="127">
        <f>ROUND(0, 0)</f>
        <v>0</v>
      </c>
      <c r="T15" s="127">
        <f>ROUND(650, 1)</f>
        <v>650</v>
      </c>
      <c r="U15" s="105">
        <f>ROUND(6.67000008, 1)</f>
        <v>6.7</v>
      </c>
      <c r="V15" s="127">
        <f>ROUND(15.3846149, 0)</f>
        <v>15</v>
      </c>
      <c r="W15" s="127">
        <f>ROUND(23.0769234, 0)</f>
        <v>23</v>
      </c>
      <c r="X15" s="105">
        <f>ROUND(10000*6.67000008/(650*SQRT(1+(6.67000008)^2)),3)</f>
        <v>15.215</v>
      </c>
      <c r="Y15" s="127">
        <f>ROUND(0.200000003, 1)</f>
        <v>0.2</v>
      </c>
      <c r="Z15" s="60"/>
      <c r="AA15" s="53" t="s">
        <v>6229</v>
      </c>
    </row>
    <row r="16" spans="1:32">
      <c r="A16" s="105" t="s">
        <v>6230</v>
      </c>
      <c r="B16" s="105" t="str">
        <f>IF(TRIM("BUS_1#箱变_814_1517") = "", "BUS_1#箱变_814_1517", "BUS_1#箱变_814_1517")</f>
        <v>BUS_1#箱变_814_1517</v>
      </c>
      <c r="C16" s="105" t="str">
        <f>CHOOSE((0 + 1), DataType0, DataType1, DataType2, DataType3, DataType4, DataType5, DataType6, DataType7, DataType8, DataType9)</f>
        <v>DataType1</v>
      </c>
      <c r="D16" s="105" t="str">
        <f>CHOOSE((3+1), Priority0, Priority1, Priority2, Priority3, Priority4, Priority5, Priority6, Priority7, Priority8, Priority9)</f>
        <v>Priority4</v>
      </c>
      <c r="E16" s="105" t="s">
        <v>6220</v>
      </c>
      <c r="F16" s="105" t="str">
        <f>IF(TRUE = TRUE, "Yes", "No")</f>
        <v>Yes</v>
      </c>
      <c r="G16" s="105" t="s">
        <v>5202</v>
      </c>
      <c r="H16" s="105"/>
      <c r="I16" s="127">
        <f>ROUND(0.400000006, 3)</f>
        <v>0.4</v>
      </c>
      <c r="J16" s="127">
        <f>ROUND(CHOOSE((1 + 1), 40 / 1000, 40, 40 * 1000),3)</f>
        <v>40</v>
      </c>
      <c r="K16" s="127" t="str">
        <f>CHOOSE((1 + 1), "MVA", "KVA", "VA")</f>
        <v>KVA</v>
      </c>
      <c r="L16" s="127" t="str">
        <f>FIXED(90, 1)</f>
        <v>90.0</v>
      </c>
      <c r="M16" s="127" t="str">
        <f>IF(0 = 0, "3", "1")</f>
        <v>3</v>
      </c>
      <c r="N16" s="242" t="str">
        <f>IF(0 = 1, CHOOSE((0+1), "A", "B", "C", "AB", "BC", "CA"), "")</f>
        <v/>
      </c>
      <c r="O16" s="242">
        <v>100</v>
      </c>
      <c r="P16" s="242">
        <v>50</v>
      </c>
      <c r="Q16" s="242">
        <v>0</v>
      </c>
      <c r="R16" s="105" t="str">
        <f>IF(0 = 0,CHOOSE((1 + 1), "Y",  "Δ"),"--")</f>
        <v>Δ</v>
      </c>
      <c r="S16" s="127">
        <f>ROUND(0, 0)</f>
        <v>0</v>
      </c>
      <c r="T16" s="127">
        <f>ROUND(600, 1)</f>
        <v>600</v>
      </c>
      <c r="U16" s="105">
        <f>ROUND(2.38000011, 1)</f>
        <v>2.4</v>
      </c>
      <c r="V16" s="127">
        <f>ROUND(20, 0)</f>
        <v>20</v>
      </c>
      <c r="W16" s="127">
        <f>ROUND(50, 0)</f>
        <v>50</v>
      </c>
      <c r="X16" s="105">
        <f>ROUND(10000*2.38000011/(600*SQRT(1+(2.38000011)^2)),3)</f>
        <v>15.365</v>
      </c>
      <c r="Y16" s="127">
        <f>ROUND(0.200000003, 1)</f>
        <v>0.2</v>
      </c>
      <c r="Z16" s="60"/>
      <c r="AA16" s="53" t="s">
        <v>6231</v>
      </c>
    </row>
    <row r="17" spans="1:27">
      <c r="A17" s="105" t="s">
        <v>6232</v>
      </c>
      <c r="B17" s="105" t="str">
        <f>IF(TRIM("BUS_1#配电所1#_80_1487") = "", "BUS_1#配电所1#_80_1487", "BUS_1#配电所1#_80_1487")</f>
        <v>BUS_1#配电所1#_80_1487</v>
      </c>
      <c r="C17" s="105" t="str">
        <f>CHOOSE((0 + 1), DataType0, DataType1, DataType2, DataType3, DataType4, DataType5, DataType6, DataType7, DataType8, DataType9)</f>
        <v>DataType1</v>
      </c>
      <c r="D17" s="105" t="str">
        <f>CHOOSE((3+1), Priority0, Priority1, Priority2, Priority3, Priority4, Priority5, Priority6, Priority7, Priority8, Priority9)</f>
        <v>Priority4</v>
      </c>
      <c r="E17" s="105" t="s">
        <v>6220</v>
      </c>
      <c r="F17" s="105" t="str">
        <f>IF(TRUE = TRUE, "Yes", "No")</f>
        <v>Yes</v>
      </c>
      <c r="G17" s="105" t="s">
        <v>5202</v>
      </c>
      <c r="H17" s="105"/>
      <c r="I17" s="127">
        <f>ROUND(0.400000006, 3)</f>
        <v>0.4</v>
      </c>
      <c r="J17" s="127">
        <f>ROUND(CHOOSE((1 + 1), 40 / 1000, 40, 40 * 1000),3)</f>
        <v>40</v>
      </c>
      <c r="K17" s="127" t="str">
        <f>CHOOSE((1 + 1), "MVA", "KVA", "VA")</f>
        <v>KVA</v>
      </c>
      <c r="L17" s="127" t="str">
        <f>FIXED(90, 1)</f>
        <v>90.0</v>
      </c>
      <c r="M17" s="127" t="str">
        <f>IF(0 = 0, "3", "1")</f>
        <v>3</v>
      </c>
      <c r="N17" s="242" t="str">
        <f>IF(0 = 1, CHOOSE((0+1), "A", "B", "C", "AB", "BC", "CA"), "")</f>
        <v/>
      </c>
      <c r="O17" s="242">
        <v>100</v>
      </c>
      <c r="P17" s="242">
        <v>50</v>
      </c>
      <c r="Q17" s="242">
        <v>0</v>
      </c>
      <c r="R17" s="105" t="str">
        <f>IF(0 = 0,CHOOSE((1 + 1), "Y",  "Δ"),"--")</f>
        <v>Δ</v>
      </c>
      <c r="S17" s="127">
        <f>ROUND(0, 0)</f>
        <v>0</v>
      </c>
      <c r="T17" s="127">
        <f>ROUND(600, 1)</f>
        <v>600</v>
      </c>
      <c r="U17" s="105">
        <f>ROUND(2.38000011, 1)</f>
        <v>2.4</v>
      </c>
      <c r="V17" s="127">
        <f>ROUND(20, 0)</f>
        <v>20</v>
      </c>
      <c r="W17" s="127">
        <f>ROUND(50, 0)</f>
        <v>50</v>
      </c>
      <c r="X17" s="105">
        <f>ROUND(10000*2.38000011/(600*SQRT(1+(2.38000011)^2)),3)</f>
        <v>15.365</v>
      </c>
      <c r="Y17" s="127">
        <f>ROUND(0.200000003, 1)</f>
        <v>0.2</v>
      </c>
      <c r="Z17" s="60"/>
      <c r="AA17" s="53" t="s">
        <v>6233</v>
      </c>
    </row>
    <row r="18" spans="1:27">
      <c r="A18" s="105" t="s">
        <v>6234</v>
      </c>
      <c r="B18" s="105" t="str">
        <f>IF(TRIM("BUS_1#配电所2#_80_1495") = "", "BUS_1#配电所2#_80_1495", "BUS_1#配电所2#_80_1495")</f>
        <v>BUS_1#配电所2#_80_1495</v>
      </c>
      <c r="C18" s="105" t="str">
        <f>CHOOSE((0 + 1), DataType0, DataType1, DataType2, DataType3, DataType4, DataType5, DataType6, DataType7, DataType8, DataType9)</f>
        <v>DataType1</v>
      </c>
      <c r="D18" s="105" t="str">
        <f>CHOOSE((3+1), Priority0, Priority1, Priority2, Priority3, Priority4, Priority5, Priority6, Priority7, Priority8, Priority9)</f>
        <v>Priority4</v>
      </c>
      <c r="E18" s="105" t="s">
        <v>6220</v>
      </c>
      <c r="F18" s="105" t="str">
        <f>IF(TRUE = TRUE, "Yes", "No")</f>
        <v>Yes</v>
      </c>
      <c r="G18" s="105" t="s">
        <v>5202</v>
      </c>
      <c r="H18" s="105"/>
      <c r="I18" s="127">
        <f>ROUND(0.400000006, 3)</f>
        <v>0.4</v>
      </c>
      <c r="J18" s="127">
        <f>ROUND(CHOOSE((1 + 1), 40 / 1000, 40, 40 * 1000),3)</f>
        <v>40</v>
      </c>
      <c r="K18" s="127" t="str">
        <f>CHOOSE((1 + 1), "MVA", "KVA", "VA")</f>
        <v>KVA</v>
      </c>
      <c r="L18" s="127" t="str">
        <f>FIXED(90, 1)</f>
        <v>90.0</v>
      </c>
      <c r="M18" s="127" t="str">
        <f>IF(0 = 0, "3", "1")</f>
        <v>3</v>
      </c>
      <c r="N18" s="242" t="str">
        <f>IF(0 = 1, CHOOSE((0+1), "A", "B", "C", "AB", "BC", "CA"), "")</f>
        <v/>
      </c>
      <c r="O18" s="242">
        <v>100</v>
      </c>
      <c r="P18" s="242">
        <v>50</v>
      </c>
      <c r="Q18" s="242">
        <v>0</v>
      </c>
      <c r="R18" s="105" t="str">
        <f>IF(0 = 0,CHOOSE((1 + 1), "Y",  "Δ"),"--")</f>
        <v>Δ</v>
      </c>
      <c r="S18" s="127">
        <f>ROUND(0, 0)</f>
        <v>0</v>
      </c>
      <c r="T18" s="127">
        <f>ROUND(600, 1)</f>
        <v>600</v>
      </c>
      <c r="U18" s="105">
        <f>ROUND(2.38000011, 1)</f>
        <v>2.4</v>
      </c>
      <c r="V18" s="127">
        <f>ROUND(20, 0)</f>
        <v>20</v>
      </c>
      <c r="W18" s="127">
        <f>ROUND(50, 0)</f>
        <v>50</v>
      </c>
      <c r="X18" s="105">
        <f>ROUND(10000*2.38000011/(600*SQRT(1+(2.38000011)^2)),3)</f>
        <v>15.365</v>
      </c>
      <c r="Y18" s="127">
        <f>ROUND(0.200000003, 1)</f>
        <v>0.2</v>
      </c>
      <c r="Z18" s="60"/>
      <c r="AA18" s="53" t="s">
        <v>6235</v>
      </c>
    </row>
    <row r="19" spans="1:27">
      <c r="A19" s="105" t="s">
        <v>6236</v>
      </c>
      <c r="B19" s="105" t="str">
        <f>IF(TRIM("BUS_1#配电所3#_80_1485") = "", "BUS_1#配电所3#_80_1485", "BUS_1#配电所3#_80_1485")</f>
        <v>BUS_1#配电所3#_80_1485</v>
      </c>
      <c r="C19" s="105" t="str">
        <f>CHOOSE((0 + 1), DataType0, DataType1, DataType2, DataType3, DataType4, DataType5, DataType6, DataType7, DataType8, DataType9)</f>
        <v>DataType1</v>
      </c>
      <c r="D19" s="105" t="str">
        <f>CHOOSE((3+1), Priority0, Priority1, Priority2, Priority3, Priority4, Priority5, Priority6, Priority7, Priority8, Priority9)</f>
        <v>Priority4</v>
      </c>
      <c r="E19" s="105" t="s">
        <v>6220</v>
      </c>
      <c r="F19" s="105" t="str">
        <f>IF(TRUE = TRUE, "Yes", "No")</f>
        <v>Yes</v>
      </c>
      <c r="G19" s="105" t="s">
        <v>5202</v>
      </c>
      <c r="H19" s="105"/>
      <c r="I19" s="127">
        <f>ROUND(0.400000006, 3)</f>
        <v>0.4</v>
      </c>
      <c r="J19" s="127">
        <f>ROUND(CHOOSE((1 + 1), 40 / 1000, 40, 40 * 1000),3)</f>
        <v>40</v>
      </c>
      <c r="K19" s="127" t="str">
        <f>CHOOSE((1 + 1), "MVA", "KVA", "VA")</f>
        <v>KVA</v>
      </c>
      <c r="L19" s="127" t="str">
        <f>FIXED(90, 1)</f>
        <v>90.0</v>
      </c>
      <c r="M19" s="127" t="str">
        <f>IF(0 = 0, "3", "1")</f>
        <v>3</v>
      </c>
      <c r="N19" s="242" t="str">
        <f>IF(0 = 1, CHOOSE((0+1), "A", "B", "C", "AB", "BC", "CA"), "")</f>
        <v/>
      </c>
      <c r="O19" s="242">
        <v>100</v>
      </c>
      <c r="P19" s="242">
        <v>50</v>
      </c>
      <c r="Q19" s="242">
        <v>0</v>
      </c>
      <c r="R19" s="105" t="str">
        <f>IF(0 = 0,CHOOSE((1 + 1), "Y",  "Δ"),"--")</f>
        <v>Δ</v>
      </c>
      <c r="S19" s="127">
        <f>ROUND(0, 0)</f>
        <v>0</v>
      </c>
      <c r="T19" s="127">
        <f>ROUND(600, 1)</f>
        <v>600</v>
      </c>
      <c r="U19" s="105">
        <f>ROUND(2.38000011, 1)</f>
        <v>2.4</v>
      </c>
      <c r="V19" s="127">
        <f>ROUND(20, 0)</f>
        <v>20</v>
      </c>
      <c r="W19" s="127">
        <f>ROUND(50, 0)</f>
        <v>50</v>
      </c>
      <c r="X19" s="105">
        <f>ROUND(10000*2.38000011/(600*SQRT(1+(2.38000011)^2)),3)</f>
        <v>15.365</v>
      </c>
      <c r="Y19" s="127">
        <f>ROUND(0.200000003, 1)</f>
        <v>0.2</v>
      </c>
      <c r="Z19" s="60"/>
      <c r="AA19" s="53" t="s">
        <v>6237</v>
      </c>
    </row>
    <row r="20" spans="1:27" s="85" customFormat="1">
      <c r="A20" s="105" t="s">
        <v>6238</v>
      </c>
      <c r="B20" s="105" t="str">
        <f>IF(TRIM("BUS_1#配电所4#_80_1497") = "", "BUS_1#配电所4#_80_1497", "BUS_1#配电所4#_80_1497")</f>
        <v>BUS_1#配电所4#_80_1497</v>
      </c>
      <c r="C20" s="105" t="str">
        <f>CHOOSE((0 + 1), DataType0, DataType1, DataType2, DataType3, DataType4, DataType5, DataType6, DataType7, DataType8, DataType9)</f>
        <v>DataType1</v>
      </c>
      <c r="D20" s="105" t="str">
        <f>CHOOSE((3+1), Priority0, Priority1, Priority2, Priority3, Priority4, Priority5, Priority6, Priority7, Priority8, Priority9)</f>
        <v>Priority4</v>
      </c>
      <c r="E20" s="105" t="s">
        <v>6220</v>
      </c>
      <c r="F20" s="105" t="str">
        <f>IF(TRUE = TRUE, "Yes", "No")</f>
        <v>Yes</v>
      </c>
      <c r="G20" s="105" t="s">
        <v>5202</v>
      </c>
      <c r="H20" s="105"/>
      <c r="I20" s="127">
        <f>ROUND(0.400000006, 3)</f>
        <v>0.4</v>
      </c>
      <c r="J20" s="127">
        <f>ROUND(CHOOSE((1 + 1), 40 / 1000, 40, 40 * 1000),3)</f>
        <v>40</v>
      </c>
      <c r="K20" s="127" t="str">
        <f>CHOOSE((1 + 1), "MVA", "KVA", "VA")</f>
        <v>KVA</v>
      </c>
      <c r="L20" s="127" t="str">
        <f>FIXED(90, 1)</f>
        <v>90.0</v>
      </c>
      <c r="M20" s="127" t="str">
        <f>IF(0 = 0, "3", "1")</f>
        <v>3</v>
      </c>
      <c r="N20" s="242" t="str">
        <f>IF(0 = 1, CHOOSE((0+1), "A", "B", "C", "AB", "BC", "CA"), "")</f>
        <v/>
      </c>
      <c r="O20" s="242">
        <v>100</v>
      </c>
      <c r="P20" s="242">
        <v>50</v>
      </c>
      <c r="Q20" s="242">
        <v>0</v>
      </c>
      <c r="R20" s="105" t="str">
        <f>IF(0 = 0,CHOOSE((1 + 1), "Y",  "Δ"),"--")</f>
        <v>Δ</v>
      </c>
      <c r="S20" s="127">
        <f>ROUND(0, 0)</f>
        <v>0</v>
      </c>
      <c r="T20" s="127">
        <f>ROUND(600, 1)</f>
        <v>600</v>
      </c>
      <c r="U20" s="105">
        <f>ROUND(2.38000011, 1)</f>
        <v>2.4</v>
      </c>
      <c r="V20" s="127">
        <f>ROUND(20, 0)</f>
        <v>20</v>
      </c>
      <c r="W20" s="127">
        <f>ROUND(50, 0)</f>
        <v>50</v>
      </c>
      <c r="X20" s="105">
        <f>ROUND(10000*2.38000011/(600*SQRT(1+(2.38000011)^2)),3)</f>
        <v>15.365</v>
      </c>
      <c r="Y20" s="127">
        <f>ROUND(0.200000003, 1)</f>
        <v>0.2</v>
      </c>
      <c r="Z20" s="60"/>
      <c r="AA20" s="53" t="s">
        <v>6239</v>
      </c>
    </row>
    <row r="21" spans="1:27" s="85" customFormat="1">
      <c r="A21" s="105" t="s">
        <v>6240</v>
      </c>
      <c r="B21" s="105" t="str">
        <f>IF(TRIM("BUS_V爱涛线1号环_79_1491") = "", "BUS_V爱涛线1号环_79_1491", "BUS_V爱涛线1号环_79_1491")</f>
        <v>BUS_V爱涛线1号环_79_1491</v>
      </c>
      <c r="C21" s="105" t="str">
        <f>CHOOSE((0 + 1), DataType0, DataType1, DataType2, DataType3, DataType4, DataType5, DataType6, DataType7, DataType8, DataType9)</f>
        <v>DataType1</v>
      </c>
      <c r="D21" s="105" t="str">
        <f>CHOOSE((3+1), Priority0, Priority1, Priority2, Priority3, Priority4, Priority5, Priority6, Priority7, Priority8, Priority9)</f>
        <v>Priority4</v>
      </c>
      <c r="E21" s="105" t="s">
        <v>6220</v>
      </c>
      <c r="F21" s="105" t="str">
        <f>IF(TRUE = TRUE, "Yes", "No")</f>
        <v>Yes</v>
      </c>
      <c r="G21" s="105" t="s">
        <v>5202</v>
      </c>
      <c r="H21" s="105"/>
      <c r="I21" s="127">
        <f>ROUND(0.400000006, 3)</f>
        <v>0.4</v>
      </c>
      <c r="J21" s="127">
        <f>ROUND(CHOOSE((1 + 1), 40 / 1000, 40, 40 * 1000),3)</f>
        <v>40</v>
      </c>
      <c r="K21" s="127" t="str">
        <f>CHOOSE((1 + 1), "MVA", "KVA", "VA")</f>
        <v>KVA</v>
      </c>
      <c r="L21" s="127" t="str">
        <f>FIXED(90, 1)</f>
        <v>90.0</v>
      </c>
      <c r="M21" s="127" t="str">
        <f>IF(0 = 0, "3", "1")</f>
        <v>3</v>
      </c>
      <c r="N21" s="242" t="str">
        <f>IF(0 = 1, CHOOSE((0+1), "A", "B", "C", "AB", "BC", "CA"), "")</f>
        <v/>
      </c>
      <c r="O21" s="242">
        <v>100</v>
      </c>
      <c r="P21" s="242">
        <v>50</v>
      </c>
      <c r="Q21" s="242">
        <v>0</v>
      </c>
      <c r="R21" s="105" t="str">
        <f>IF(0 = 0,CHOOSE((1 + 1), "Y",  "Δ"),"--")</f>
        <v>Δ</v>
      </c>
      <c r="S21" s="127">
        <f>ROUND(0, 0)</f>
        <v>0</v>
      </c>
      <c r="T21" s="127">
        <f>ROUND(600, 1)</f>
        <v>600</v>
      </c>
      <c r="U21" s="105">
        <f>ROUND(2.38000011, 1)</f>
        <v>2.4</v>
      </c>
      <c r="V21" s="127">
        <f>ROUND(20, 0)</f>
        <v>20</v>
      </c>
      <c r="W21" s="127">
        <f>ROUND(50, 0)</f>
        <v>50</v>
      </c>
      <c r="X21" s="105">
        <f>ROUND(10000*2.38000011/(600*SQRT(1+(2.38000011)^2)),3)</f>
        <v>15.365</v>
      </c>
      <c r="Y21" s="127">
        <f>ROUND(0.200000003, 1)</f>
        <v>0.2</v>
      </c>
      <c r="Z21" s="60"/>
      <c r="AA21" s="53" t="s">
        <v>6241</v>
      </c>
    </row>
    <row r="22" spans="1:27" s="85" customFormat="1">
      <c r="A22" s="105" t="s">
        <v>6242</v>
      </c>
      <c r="B22" s="105" t="str">
        <f>IF(TRIM("BUS_V爱涛线3号环_83_1551") = "", "BUS_V爱涛线3号环_83_1551", "BUS_V爱涛线3号环_83_1551")</f>
        <v>BUS_V爱涛线3号环_83_1551</v>
      </c>
      <c r="C22" s="105" t="str">
        <f>CHOOSE((0 + 1), DataType0, DataType1, DataType2, DataType3, DataType4, DataType5, DataType6, DataType7, DataType8, DataType9)</f>
        <v>DataType1</v>
      </c>
      <c r="D22" s="105" t="str">
        <f>CHOOSE((3+1), Priority0, Priority1, Priority2, Priority3, Priority4, Priority5, Priority6, Priority7, Priority8, Priority9)</f>
        <v>Priority4</v>
      </c>
      <c r="E22" s="105" t="s">
        <v>6220</v>
      </c>
      <c r="F22" s="105" t="str">
        <f>IF(TRUE = TRUE, "Yes", "No")</f>
        <v>Yes</v>
      </c>
      <c r="G22" s="105" t="s">
        <v>5202</v>
      </c>
      <c r="H22" s="105"/>
      <c r="I22" s="127">
        <f>ROUND(0.400000006, 3)</f>
        <v>0.4</v>
      </c>
      <c r="J22" s="127">
        <f>ROUND(CHOOSE((1 + 1), 40 / 1000, 40, 40 * 1000),3)</f>
        <v>40</v>
      </c>
      <c r="K22" s="127" t="str">
        <f>CHOOSE((1 + 1), "MVA", "KVA", "VA")</f>
        <v>KVA</v>
      </c>
      <c r="L22" s="127" t="str">
        <f>FIXED(90, 1)</f>
        <v>90.0</v>
      </c>
      <c r="M22" s="127" t="str">
        <f>IF(0 = 0, "3", "1")</f>
        <v>3</v>
      </c>
      <c r="N22" s="242" t="str">
        <f>IF(0 = 1, CHOOSE((0+1), "A", "B", "C", "AB", "BC", "CA"), "")</f>
        <v/>
      </c>
      <c r="O22" s="242">
        <v>100</v>
      </c>
      <c r="P22" s="242">
        <v>50</v>
      </c>
      <c r="Q22" s="242">
        <v>0</v>
      </c>
      <c r="R22" s="105" t="str">
        <f>IF(0 = 0,CHOOSE((1 + 1), "Y",  "Δ"),"--")</f>
        <v>Δ</v>
      </c>
      <c r="S22" s="127">
        <f>ROUND(0, 0)</f>
        <v>0</v>
      </c>
      <c r="T22" s="127">
        <f>ROUND(600, 1)</f>
        <v>600</v>
      </c>
      <c r="U22" s="105">
        <f>ROUND(2.38000011, 1)</f>
        <v>2.4</v>
      </c>
      <c r="V22" s="127">
        <f>ROUND(20, 0)</f>
        <v>20</v>
      </c>
      <c r="W22" s="127">
        <f>ROUND(50, 0)</f>
        <v>50</v>
      </c>
      <c r="X22" s="105">
        <f>ROUND(10000*2.38000011/(600*SQRT(1+(2.38000011)^2)),3)</f>
        <v>15.365</v>
      </c>
      <c r="Y22" s="127">
        <f>ROUND(0.200000003, 1)</f>
        <v>0.2</v>
      </c>
      <c r="Z22" s="60"/>
      <c r="AA22" s="53" t="s">
        <v>6243</v>
      </c>
    </row>
    <row r="23" spans="1:27">
      <c r="A23" s="105" t="s">
        <v>6244</v>
      </c>
      <c r="B23" s="105" t="str">
        <f>IF(TRIM("BUS_V爱涛线4号环_79_1493") = "", "BUS_V爱涛线4号环_79_1493", "BUS_V爱涛线4号环_79_1493")</f>
        <v>BUS_V爱涛线4号环_79_1493</v>
      </c>
      <c r="C23" s="105" t="str">
        <f>CHOOSE((0 + 1), DataType0, DataType1, DataType2, DataType3, DataType4, DataType5, DataType6, DataType7, DataType8, DataType9)</f>
        <v>DataType1</v>
      </c>
      <c r="D23" s="105" t="str">
        <f>CHOOSE((3+1), Priority0, Priority1, Priority2, Priority3, Priority4, Priority5, Priority6, Priority7, Priority8, Priority9)</f>
        <v>Priority4</v>
      </c>
      <c r="E23" s="105" t="s">
        <v>6220</v>
      </c>
      <c r="F23" s="105" t="str">
        <f>IF(TRUE = TRUE, "Yes", "No")</f>
        <v>Yes</v>
      </c>
      <c r="G23" s="105" t="s">
        <v>5202</v>
      </c>
      <c r="H23" s="105"/>
      <c r="I23" s="127">
        <f>ROUND(0.400000006, 3)</f>
        <v>0.4</v>
      </c>
      <c r="J23" s="127">
        <f>ROUND(CHOOSE((1 + 1), 40 / 1000, 40, 40 * 1000),3)</f>
        <v>40</v>
      </c>
      <c r="K23" s="127" t="str">
        <f>CHOOSE((1 + 1), "MVA", "KVA", "VA")</f>
        <v>KVA</v>
      </c>
      <c r="L23" s="127" t="str">
        <f>FIXED(90, 1)</f>
        <v>90.0</v>
      </c>
      <c r="M23" s="127" t="str">
        <f>IF(0 = 0, "3", "1")</f>
        <v>3</v>
      </c>
      <c r="N23" s="242" t="str">
        <f>IF(0 = 1, CHOOSE((0+1), "A", "B", "C", "AB", "BC", "CA"), "")</f>
        <v/>
      </c>
      <c r="O23" s="242">
        <v>100</v>
      </c>
      <c r="P23" s="242">
        <v>50</v>
      </c>
      <c r="Q23" s="242">
        <v>0</v>
      </c>
      <c r="R23" s="105" t="str">
        <f>IF(0 = 0,CHOOSE((1 + 1), "Y",  "Δ"),"--")</f>
        <v>Δ</v>
      </c>
      <c r="S23" s="127">
        <f>ROUND(0, 0)</f>
        <v>0</v>
      </c>
      <c r="T23" s="127">
        <f>ROUND(600, 1)</f>
        <v>600</v>
      </c>
      <c r="U23" s="105">
        <f>ROUND(2.38000011, 1)</f>
        <v>2.4</v>
      </c>
      <c r="V23" s="127">
        <f>ROUND(20, 0)</f>
        <v>20</v>
      </c>
      <c r="W23" s="127">
        <f>ROUND(50, 0)</f>
        <v>50</v>
      </c>
      <c r="X23" s="105">
        <f>ROUND(10000*2.38000011/(600*SQRT(1+(2.38000011)^2)),3)</f>
        <v>15.365</v>
      </c>
      <c r="Y23" s="127">
        <f>ROUND(0.200000003, 1)</f>
        <v>0.2</v>
      </c>
      <c r="Z23" s="60"/>
      <c r="AA23" s="53" t="s">
        <v>6245</v>
      </c>
    </row>
    <row r="24" spans="1:27">
      <c r="A24" s="105" t="s">
        <v>6246</v>
      </c>
      <c r="B24" s="105" t="str">
        <f>IF(TRIM("BUS_V苏源4号线2_83_1549") = "", "BUS_V苏源4号线2_83_1549", "BUS_V苏源4号线2_83_1549")</f>
        <v>BUS_V苏源4号线2_83_1549</v>
      </c>
      <c r="C24" s="105" t="str">
        <f>CHOOSE((0 + 1), DataType0, DataType1, DataType2, DataType3, DataType4, DataType5, DataType6, DataType7, DataType8, DataType9)</f>
        <v>DataType1</v>
      </c>
      <c r="D24" s="105" t="str">
        <f>CHOOSE((3+1), Priority0, Priority1, Priority2, Priority3, Priority4, Priority5, Priority6, Priority7, Priority8, Priority9)</f>
        <v>Priority4</v>
      </c>
      <c r="E24" s="105" t="s">
        <v>6220</v>
      </c>
      <c r="F24" s="105" t="str">
        <f>IF(TRUE = TRUE, "Yes", "No")</f>
        <v>Yes</v>
      </c>
      <c r="G24" s="105" t="s">
        <v>5202</v>
      </c>
      <c r="H24" s="105"/>
      <c r="I24" s="127">
        <f>ROUND(0.400000006, 3)</f>
        <v>0.4</v>
      </c>
      <c r="J24" s="127">
        <f>ROUND(CHOOSE((1 + 1), 40 / 1000, 40, 40 * 1000),3)</f>
        <v>40</v>
      </c>
      <c r="K24" s="127" t="str">
        <f>CHOOSE((1 + 1), "MVA", "KVA", "VA")</f>
        <v>KVA</v>
      </c>
      <c r="L24" s="127" t="str">
        <f>FIXED(90, 1)</f>
        <v>90.0</v>
      </c>
      <c r="M24" s="127" t="str">
        <f>IF(0 = 0, "3", "1")</f>
        <v>3</v>
      </c>
      <c r="N24" s="242" t="str">
        <f>IF(0 = 1, CHOOSE((0+1), "A", "B", "C", "AB", "BC", "CA"), "")</f>
        <v/>
      </c>
      <c r="O24" s="242">
        <v>100</v>
      </c>
      <c r="P24" s="242">
        <v>50</v>
      </c>
      <c r="Q24" s="242">
        <v>0</v>
      </c>
      <c r="R24" s="105" t="str">
        <f>IF(0 = 0,CHOOSE((1 + 1), "Y",  "Δ"),"--")</f>
        <v>Δ</v>
      </c>
      <c r="S24" s="127">
        <f>ROUND(0, 0)</f>
        <v>0</v>
      </c>
      <c r="T24" s="127">
        <f>ROUND(600, 1)</f>
        <v>600</v>
      </c>
      <c r="U24" s="105">
        <f>ROUND(2.38000011, 1)</f>
        <v>2.4</v>
      </c>
      <c r="V24" s="127">
        <f>ROUND(20, 0)</f>
        <v>20</v>
      </c>
      <c r="W24" s="127">
        <f>ROUND(50, 0)</f>
        <v>50</v>
      </c>
      <c r="X24" s="105">
        <f>ROUND(10000*2.38000011/(600*SQRT(1+(2.38000011)^2)),3)</f>
        <v>15.365</v>
      </c>
      <c r="Y24" s="127">
        <f>ROUND(0.200000003, 1)</f>
        <v>0.2</v>
      </c>
      <c r="Z24" s="60"/>
      <c r="AA24" s="53" t="s">
        <v>6247</v>
      </c>
    </row>
    <row r="25" spans="1:27">
      <c r="A25" s="105" t="s">
        <v>6248</v>
      </c>
      <c r="B25" s="105" t="str">
        <f>IF(TRIM("BUS_元居#3箱变_816_1521") = "", "BUS_元居#3箱变_816_1521", "BUS_元居#3箱变_816_1521")</f>
        <v>BUS_元居#3箱变_816_1521</v>
      </c>
      <c r="C25" s="105" t="str">
        <f>CHOOSE((0 + 1), DataType0, DataType1, DataType2, DataType3, DataType4, DataType5, DataType6, DataType7, DataType8, DataType9)</f>
        <v>DataType1</v>
      </c>
      <c r="D25" s="105" t="str">
        <f>CHOOSE((3+1), Priority0, Priority1, Priority2, Priority3, Priority4, Priority5, Priority6, Priority7, Priority8, Priority9)</f>
        <v>Priority4</v>
      </c>
      <c r="E25" s="105" t="s">
        <v>6220</v>
      </c>
      <c r="F25" s="105" t="str">
        <f>IF(TRUE = TRUE, "Yes", "No")</f>
        <v>Yes</v>
      </c>
      <c r="G25" s="105" t="s">
        <v>5202</v>
      </c>
      <c r="H25" s="105"/>
      <c r="I25" s="127">
        <f>ROUND(0.400000006, 3)</f>
        <v>0.4</v>
      </c>
      <c r="J25" s="127">
        <f>ROUND(CHOOSE((1 + 1), 40 / 1000, 40, 40 * 1000),3)</f>
        <v>40</v>
      </c>
      <c r="K25" s="127" t="str">
        <f>CHOOSE((1 + 1), "MVA", "KVA", "VA")</f>
        <v>KVA</v>
      </c>
      <c r="L25" s="127" t="str">
        <f>FIXED(90, 1)</f>
        <v>90.0</v>
      </c>
      <c r="M25" s="127" t="str">
        <f>IF(0 = 0, "3", "1")</f>
        <v>3</v>
      </c>
      <c r="N25" s="242" t="str">
        <f>IF(0 = 1, CHOOSE((0+1), "A", "B", "C", "AB", "BC", "CA"), "")</f>
        <v/>
      </c>
      <c r="O25" s="242">
        <v>100</v>
      </c>
      <c r="P25" s="242">
        <v>50</v>
      </c>
      <c r="Q25" s="242">
        <v>0</v>
      </c>
      <c r="R25" s="105" t="str">
        <f>IF(0 = 0,CHOOSE((1 + 1), "Y",  "Δ"),"--")</f>
        <v>Δ</v>
      </c>
      <c r="S25" s="127">
        <f>ROUND(0, 0)</f>
        <v>0</v>
      </c>
      <c r="T25" s="127">
        <f>ROUND(600, 1)</f>
        <v>600</v>
      </c>
      <c r="U25" s="105">
        <f>ROUND(2.38000011, 1)</f>
        <v>2.4</v>
      </c>
      <c r="V25" s="127">
        <f>ROUND(20, 0)</f>
        <v>20</v>
      </c>
      <c r="W25" s="127">
        <f>ROUND(50, 0)</f>
        <v>50</v>
      </c>
      <c r="X25" s="105">
        <f>ROUND(10000*2.38000011/(600*SQRT(1+(2.38000011)^2)),3)</f>
        <v>15.365</v>
      </c>
      <c r="Y25" s="127">
        <f>ROUND(0.200000003, 1)</f>
        <v>0.2</v>
      </c>
      <c r="Z25" s="60"/>
      <c r="AA25" s="53" t="s">
        <v>6249</v>
      </c>
    </row>
    <row r="26" spans="1:27">
      <c r="A26" s="105" t="s">
        <v>6250</v>
      </c>
      <c r="B26" s="105" t="str">
        <f>IF(TRIM("BUS_元居#4箱变_815_1519") = "", "BUS_元居#4箱变_815_1519", "BUS_元居#4箱变_815_1519")</f>
        <v>BUS_元居#4箱变_815_1519</v>
      </c>
      <c r="C26" s="105" t="str">
        <f>CHOOSE((0 + 1), DataType0, DataType1, DataType2, DataType3, DataType4, DataType5, DataType6, DataType7, DataType8, DataType9)</f>
        <v>DataType1</v>
      </c>
      <c r="D26" s="105" t="str">
        <f>CHOOSE((3+1), Priority0, Priority1, Priority2, Priority3, Priority4, Priority5, Priority6, Priority7, Priority8, Priority9)</f>
        <v>Priority4</v>
      </c>
      <c r="E26" s="105" t="s">
        <v>6220</v>
      </c>
      <c r="F26" s="105" t="str">
        <f>IF(TRUE = TRUE, "Yes", "No")</f>
        <v>Yes</v>
      </c>
      <c r="G26" s="105" t="s">
        <v>5202</v>
      </c>
      <c r="H26" s="105"/>
      <c r="I26" s="127">
        <f>ROUND(0.400000006, 3)</f>
        <v>0.4</v>
      </c>
      <c r="J26" s="127">
        <f>ROUND(CHOOSE((1 + 1), 40 / 1000, 40, 40 * 1000),3)</f>
        <v>40</v>
      </c>
      <c r="K26" s="127" t="str">
        <f>CHOOSE((1 + 1), "MVA", "KVA", "VA")</f>
        <v>KVA</v>
      </c>
      <c r="L26" s="127" t="str">
        <f>FIXED(90, 1)</f>
        <v>90.0</v>
      </c>
      <c r="M26" s="127" t="str">
        <f>IF(0 = 0, "3", "1")</f>
        <v>3</v>
      </c>
      <c r="N26" s="242" t="str">
        <f>IF(0 = 1, CHOOSE((0+1), "A", "B", "C", "AB", "BC", "CA"), "")</f>
        <v/>
      </c>
      <c r="O26" s="242">
        <v>100</v>
      </c>
      <c r="P26" s="242">
        <v>50</v>
      </c>
      <c r="Q26" s="242">
        <v>0</v>
      </c>
      <c r="R26" s="105" t="str">
        <f>IF(0 = 0,CHOOSE((1 + 1), "Y",  "Δ"),"--")</f>
        <v>Δ</v>
      </c>
      <c r="S26" s="127">
        <f>ROUND(0, 0)</f>
        <v>0</v>
      </c>
      <c r="T26" s="127">
        <f>ROUND(600, 1)</f>
        <v>600</v>
      </c>
      <c r="U26" s="105">
        <f>ROUND(2.38000011, 1)</f>
        <v>2.4</v>
      </c>
      <c r="V26" s="127">
        <f>ROUND(20, 0)</f>
        <v>20</v>
      </c>
      <c r="W26" s="127">
        <f>ROUND(50, 0)</f>
        <v>50</v>
      </c>
      <c r="X26" s="105">
        <f>ROUND(10000*2.38000011/(600*SQRT(1+(2.38000011)^2)),3)</f>
        <v>15.365</v>
      </c>
      <c r="Y26" s="127">
        <f>ROUND(0.200000003, 1)</f>
        <v>0.2</v>
      </c>
      <c r="Z26" s="60"/>
      <c r="AA26" s="53" t="s">
        <v>6251</v>
      </c>
    </row>
    <row r="27" spans="1:27">
      <c r="A27" s="105" t="s">
        <v>6252</v>
      </c>
      <c r="B27" s="105" t="str">
        <f>IF(TRIM("BUS_区1变_811_1511") = "", "BUS_区1变_811_1511", "BUS_区1变_811_1511")</f>
        <v>BUS_区1变_811_1511</v>
      </c>
      <c r="C27" s="105" t="str">
        <f>CHOOSE((0 + 1), DataType0, DataType1, DataType2, DataType3, DataType4, DataType5, DataType6, DataType7, DataType8, DataType9)</f>
        <v>DataType1</v>
      </c>
      <c r="D27" s="105" t="str">
        <f>CHOOSE((3+1), Priority0, Priority1, Priority2, Priority3, Priority4, Priority5, Priority6, Priority7, Priority8, Priority9)</f>
        <v>Priority4</v>
      </c>
      <c r="E27" s="105" t="s">
        <v>6220</v>
      </c>
      <c r="F27" s="105" t="str">
        <f>IF(TRUE = TRUE, "Yes", "No")</f>
        <v>Yes</v>
      </c>
      <c r="G27" s="105" t="s">
        <v>5202</v>
      </c>
      <c r="H27" s="105"/>
      <c r="I27" s="127">
        <f>ROUND(0.400000006, 3)</f>
        <v>0.4</v>
      </c>
      <c r="J27" s="127">
        <f>ROUND(CHOOSE((1 + 1), 40 / 1000, 40, 40 * 1000),3)</f>
        <v>40</v>
      </c>
      <c r="K27" s="127" t="str">
        <f>CHOOSE((1 + 1), "MVA", "KVA", "VA")</f>
        <v>KVA</v>
      </c>
      <c r="L27" s="127" t="str">
        <f>FIXED(90, 1)</f>
        <v>90.0</v>
      </c>
      <c r="M27" s="127" t="str">
        <f>IF(0 = 0, "3", "1")</f>
        <v>3</v>
      </c>
      <c r="N27" s="242" t="str">
        <f>IF(0 = 1, CHOOSE((0+1), "A", "B", "C", "AB", "BC", "CA"), "")</f>
        <v/>
      </c>
      <c r="O27" s="242">
        <v>100</v>
      </c>
      <c r="P27" s="242">
        <v>50</v>
      </c>
      <c r="Q27" s="242">
        <v>0</v>
      </c>
      <c r="R27" s="105" t="str">
        <f>IF(0 = 0,CHOOSE((1 + 1), "Y",  "Δ"),"--")</f>
        <v>Δ</v>
      </c>
      <c r="S27" s="127">
        <f>ROUND(0, 0)</f>
        <v>0</v>
      </c>
      <c r="T27" s="127">
        <f>ROUND(600, 1)</f>
        <v>600</v>
      </c>
      <c r="U27" s="105">
        <f>ROUND(2.38000011, 1)</f>
        <v>2.4</v>
      </c>
      <c r="V27" s="127">
        <f>ROUND(20, 0)</f>
        <v>20</v>
      </c>
      <c r="W27" s="127">
        <f>ROUND(50, 0)</f>
        <v>50</v>
      </c>
      <c r="X27" s="105">
        <f>ROUND(10000*2.38000011/(600*SQRT(1+(2.38000011)^2)),3)</f>
        <v>15.365</v>
      </c>
      <c r="Y27" s="127">
        <f>ROUND(0.200000003, 1)</f>
        <v>0.2</v>
      </c>
      <c r="Z27" s="60"/>
      <c r="AA27" s="53" t="s">
        <v>6253</v>
      </c>
    </row>
    <row r="28" spans="1:27">
      <c r="A28" s="105" t="s">
        <v>6254</v>
      </c>
      <c r="B28" s="105" t="str">
        <f>IF(TRIM("BUS_区2变_817_1523") = "", "BUS_区2变_817_1523", "BUS_区2变_817_1523")</f>
        <v>BUS_区2变_817_1523</v>
      </c>
      <c r="C28" s="105" t="str">
        <f>CHOOSE((0 + 1), DataType0, DataType1, DataType2, DataType3, DataType4, DataType5, DataType6, DataType7, DataType8, DataType9)</f>
        <v>DataType1</v>
      </c>
      <c r="D28" s="105" t="str">
        <f>CHOOSE((3+1), Priority0, Priority1, Priority2, Priority3, Priority4, Priority5, Priority6, Priority7, Priority8, Priority9)</f>
        <v>Priority4</v>
      </c>
      <c r="E28" s="105" t="s">
        <v>6220</v>
      </c>
      <c r="F28" s="105" t="str">
        <f>IF(TRUE = TRUE, "Yes", "No")</f>
        <v>Yes</v>
      </c>
      <c r="G28" s="105" t="s">
        <v>5202</v>
      </c>
      <c r="H28" s="105"/>
      <c r="I28" s="127">
        <f>ROUND(0.400000006, 3)</f>
        <v>0.4</v>
      </c>
      <c r="J28" s="127">
        <f>ROUND(CHOOSE((1 + 1), 40 / 1000, 40, 40 * 1000),3)</f>
        <v>40</v>
      </c>
      <c r="K28" s="127" t="str">
        <f>CHOOSE((1 + 1), "MVA", "KVA", "VA")</f>
        <v>KVA</v>
      </c>
      <c r="L28" s="127" t="str">
        <f>FIXED(90, 1)</f>
        <v>90.0</v>
      </c>
      <c r="M28" s="127" t="str">
        <f>IF(0 = 0, "3", "1")</f>
        <v>3</v>
      </c>
      <c r="N28" s="242" t="str">
        <f>IF(0 = 1, CHOOSE((0+1), "A", "B", "C", "AB", "BC", "CA"), "")</f>
        <v/>
      </c>
      <c r="O28" s="242">
        <v>100</v>
      </c>
      <c r="P28" s="242">
        <v>50</v>
      </c>
      <c r="Q28" s="242">
        <v>0</v>
      </c>
      <c r="R28" s="105" t="str">
        <f>IF(0 = 0,CHOOSE((1 + 1), "Y",  "Δ"),"--")</f>
        <v>Δ</v>
      </c>
      <c r="S28" s="127">
        <f>ROUND(0, 0)</f>
        <v>0</v>
      </c>
      <c r="T28" s="127">
        <f>ROUND(600, 1)</f>
        <v>600</v>
      </c>
      <c r="U28" s="105">
        <f>ROUND(2.38000011, 1)</f>
        <v>2.4</v>
      </c>
      <c r="V28" s="127">
        <f>ROUND(20, 0)</f>
        <v>20</v>
      </c>
      <c r="W28" s="127">
        <f>ROUND(50, 0)</f>
        <v>50</v>
      </c>
      <c r="X28" s="105">
        <f>ROUND(10000*2.38000011/(600*SQRT(1+(2.38000011)^2)),3)</f>
        <v>15.365</v>
      </c>
      <c r="Y28" s="127">
        <f>ROUND(0.200000003, 1)</f>
        <v>0.2</v>
      </c>
      <c r="Z28" s="60"/>
      <c r="AA28" s="53" t="s">
        <v>6255</v>
      </c>
    </row>
    <row r="29" spans="1:27">
      <c r="A29" s="105" t="s">
        <v>6256</v>
      </c>
      <c r="B29" s="105" t="str">
        <f>IF(TRIM("BUS_CNODE_JCT__1301") = "", "BUS_CNODE_JCT__1301", "BUS_CNODE_JCT__1301")</f>
        <v>BUS_CNODE_JCT__1301</v>
      </c>
      <c r="C29" s="105" t="str">
        <f>CHOOSE((0 + 1), DataType0, DataType1, DataType2, DataType3, DataType4, DataType5, DataType6, DataType7, DataType8, DataType9)</f>
        <v>DataType1</v>
      </c>
      <c r="D29" s="105" t="str">
        <f>CHOOSE((3+1), Priority0, Priority1, Priority2, Priority3, Priority4, Priority5, Priority6, Priority7, Priority8, Priority9)</f>
        <v>Priority4</v>
      </c>
      <c r="E29" s="105" t="s">
        <v>6220</v>
      </c>
      <c r="F29" s="105" t="str">
        <f>IF(TRUE = TRUE, "Yes", "No")</f>
        <v>Yes</v>
      </c>
      <c r="G29" s="105" t="s">
        <v>5202</v>
      </c>
      <c r="H29" s="105"/>
      <c r="I29" s="127">
        <f>ROUND(10, 3)</f>
        <v>10</v>
      </c>
      <c r="J29" s="127">
        <f>ROUND(CHOOSE((1 + 1), 100 / 1000, 100, 100 * 1000),3)</f>
        <v>100</v>
      </c>
      <c r="K29" s="127" t="str">
        <f>CHOOSE((1 + 1), "MVA", "KVA", "VA")</f>
        <v>KVA</v>
      </c>
      <c r="L29" s="127" t="str">
        <f>FIXED(90, 1)</f>
        <v>90.0</v>
      </c>
      <c r="M29" s="127" t="str">
        <f>IF(0 = 0, "3", "1")</f>
        <v>3</v>
      </c>
      <c r="N29" s="242" t="str">
        <f>IF(0 = 1, CHOOSE((0+1), "A", "B", "C", "AB", "BC", "CA"), "")</f>
        <v/>
      </c>
      <c r="O29" s="242">
        <v>100</v>
      </c>
      <c r="P29" s="242">
        <v>50</v>
      </c>
      <c r="Q29" s="242">
        <v>0</v>
      </c>
      <c r="R29" s="105" t="str">
        <f>IF(0 = 0,CHOOSE((1 + 1), "Y",  "Δ"),"--")</f>
        <v>Δ</v>
      </c>
      <c r="S29" s="127">
        <f>ROUND(0, 0)</f>
        <v>0</v>
      </c>
      <c r="T29" s="127">
        <f>ROUND(650, 1)</f>
        <v>650</v>
      </c>
      <c r="U29" s="105">
        <f>ROUND(6.67000008, 1)</f>
        <v>6.7</v>
      </c>
      <c r="V29" s="127">
        <f>ROUND(15.3846149, 0)</f>
        <v>15</v>
      </c>
      <c r="W29" s="127">
        <f>ROUND(23.0769234, 0)</f>
        <v>23</v>
      </c>
      <c r="X29" s="105">
        <f>ROUND(10000*6.67000008/(650*SQRT(1+(6.67000008)^2)),3)</f>
        <v>15.215</v>
      </c>
      <c r="Y29" s="127">
        <f>ROUND(0.200000003, 1)</f>
        <v>0.2</v>
      </c>
      <c r="Z29" s="60"/>
      <c r="AA29" s="53" t="s">
        <v>6257</v>
      </c>
    </row>
    <row r="30" spans="1:27">
      <c r="A30" s="105" t="s">
        <v>6258</v>
      </c>
      <c r="B30" s="105" t="str">
        <f>IF(TRIM("BUS_CNODE_JCT__1289") = "", "BUS_CNODE_JCT__1289", "BUS_CNODE_JCT__1289")</f>
        <v>BUS_CNODE_JCT__1289</v>
      </c>
      <c r="C30" s="105" t="str">
        <f>CHOOSE((0 + 1), DataType0, DataType1, DataType2, DataType3, DataType4, DataType5, DataType6, DataType7, DataType8, DataType9)</f>
        <v>DataType1</v>
      </c>
      <c r="D30" s="105" t="str">
        <f>CHOOSE((3+1), Priority0, Priority1, Priority2, Priority3, Priority4, Priority5, Priority6, Priority7, Priority8, Priority9)</f>
        <v>Priority4</v>
      </c>
      <c r="E30" s="105" t="s">
        <v>6220</v>
      </c>
      <c r="F30" s="105" t="str">
        <f>IF(TRUE = TRUE, "Yes", "No")</f>
        <v>Yes</v>
      </c>
      <c r="G30" s="105" t="s">
        <v>5202</v>
      </c>
      <c r="H30" s="105"/>
      <c r="I30" s="127">
        <f>ROUND(10, 3)</f>
        <v>10</v>
      </c>
      <c r="J30" s="127">
        <f>ROUND(CHOOSE((1 + 1), 100 / 1000, 100, 100 * 1000),3)</f>
        <v>100</v>
      </c>
      <c r="K30" s="127" t="str">
        <f>CHOOSE((1 + 1), "MVA", "KVA", "VA")</f>
        <v>KVA</v>
      </c>
      <c r="L30" s="127" t="str">
        <f>FIXED(90, 1)</f>
        <v>90.0</v>
      </c>
      <c r="M30" s="127" t="str">
        <f>IF(0 = 0, "3", "1")</f>
        <v>3</v>
      </c>
      <c r="N30" s="242" t="str">
        <f>IF(0 = 1, CHOOSE((0+1), "A", "B", "C", "AB", "BC", "CA"), "")</f>
        <v/>
      </c>
      <c r="O30" s="242">
        <v>100</v>
      </c>
      <c r="P30" s="242">
        <v>50</v>
      </c>
      <c r="Q30" s="242">
        <v>0</v>
      </c>
      <c r="R30" s="105" t="str">
        <f>IF(0 = 0,CHOOSE((1 + 1), "Y",  "Δ"),"--")</f>
        <v>Δ</v>
      </c>
      <c r="S30" s="127">
        <f>ROUND(0, 0)</f>
        <v>0</v>
      </c>
      <c r="T30" s="127">
        <f>ROUND(650, 1)</f>
        <v>650</v>
      </c>
      <c r="U30" s="105">
        <f>ROUND(6.67000008, 1)</f>
        <v>6.7</v>
      </c>
      <c r="V30" s="127">
        <f>ROUND(15.3846149, 0)</f>
        <v>15</v>
      </c>
      <c r="W30" s="127">
        <f>ROUND(23.0769234, 0)</f>
        <v>23</v>
      </c>
      <c r="X30" s="105">
        <f>ROUND(10000*6.67000008/(650*SQRT(1+(6.67000008)^2)),3)</f>
        <v>15.215</v>
      </c>
      <c r="Y30" s="127">
        <f>ROUND(0.200000003, 1)</f>
        <v>0.2</v>
      </c>
      <c r="Z30" s="60"/>
      <c r="AA30" s="53" t="s">
        <v>6259</v>
      </c>
    </row>
    <row r="31" spans="1:27">
      <c r="A31" s="105" t="s">
        <v>6260</v>
      </c>
      <c r="B31" s="105" t="str">
        <f>IF(TRIM("BUS_CNODE_JCT__1299") = "", "BUS_CNODE_JCT__1299", "BUS_CNODE_JCT__1299")</f>
        <v>BUS_CNODE_JCT__1299</v>
      </c>
      <c r="C31" s="105" t="str">
        <f>CHOOSE((0 + 1), DataType0, DataType1, DataType2, DataType3, DataType4, DataType5, DataType6, DataType7, DataType8, DataType9)</f>
        <v>DataType1</v>
      </c>
      <c r="D31" s="105" t="str">
        <f>CHOOSE((3+1), Priority0, Priority1, Priority2, Priority3, Priority4, Priority5, Priority6, Priority7, Priority8, Priority9)</f>
        <v>Priority4</v>
      </c>
      <c r="E31" s="105" t="s">
        <v>6220</v>
      </c>
      <c r="F31" s="105" t="str">
        <f>IF(TRUE = TRUE, "Yes", "No")</f>
        <v>Yes</v>
      </c>
      <c r="G31" s="105" t="s">
        <v>5202</v>
      </c>
      <c r="H31" s="105"/>
      <c r="I31" s="127">
        <f>ROUND(10, 3)</f>
        <v>10</v>
      </c>
      <c r="J31" s="127">
        <f>ROUND(CHOOSE((1 + 1), 250 / 1000, 250, 250 * 1000),3)</f>
        <v>250</v>
      </c>
      <c r="K31" s="127" t="str">
        <f>CHOOSE((1 + 1), "MVA", "KVA", "VA")</f>
        <v>KVA</v>
      </c>
      <c r="L31" s="127" t="str">
        <f>FIXED(90, 1)</f>
        <v>90.0</v>
      </c>
      <c r="M31" s="127" t="str">
        <f>IF(0 = 0, "3", "1")</f>
        <v>3</v>
      </c>
      <c r="N31" s="242" t="str">
        <f>IF(0 = 1, CHOOSE((0+1), "A", "B", "C", "AB", "BC", "CA"), "")</f>
        <v/>
      </c>
      <c r="O31" s="242">
        <v>100</v>
      </c>
      <c r="P31" s="242">
        <v>50</v>
      </c>
      <c r="Q31" s="242">
        <v>0</v>
      </c>
      <c r="R31" s="105" t="str">
        <f>IF(0 = 0,CHOOSE((1 + 1), "Y",  "Δ"),"--")</f>
        <v>Δ</v>
      </c>
      <c r="S31" s="127">
        <f>ROUND(0, 0)</f>
        <v>0</v>
      </c>
      <c r="T31" s="127">
        <f>ROUND(650, 1)</f>
        <v>650</v>
      </c>
      <c r="U31" s="105">
        <f>ROUND(6.67000008, 1)</f>
        <v>6.7</v>
      </c>
      <c r="V31" s="127">
        <f>ROUND(15.3846149, 0)</f>
        <v>15</v>
      </c>
      <c r="W31" s="127">
        <f>ROUND(23.0769234, 0)</f>
        <v>23</v>
      </c>
      <c r="X31" s="105">
        <f>ROUND(10000*6.67000008/(650*SQRT(1+(6.67000008)^2)),3)</f>
        <v>15.215</v>
      </c>
      <c r="Y31" s="127">
        <f>ROUND(0.200000003, 1)</f>
        <v>0.2</v>
      </c>
      <c r="Z31" s="60"/>
      <c r="AA31" s="53" t="s">
        <v>6261</v>
      </c>
    </row>
    <row r="32" spans="1:27">
      <c r="A32" s="105" t="s">
        <v>6262</v>
      </c>
      <c r="B32" s="105" t="str">
        <f>IF(TRIM("BUS_CNODE_JCT__1356") = "", "BUS_CNODE_JCT__1356", "BUS_CNODE_JCT__1356")</f>
        <v>BUS_CNODE_JCT__1356</v>
      </c>
      <c r="C32" s="105" t="str">
        <f>CHOOSE((0 + 1), DataType0, DataType1, DataType2, DataType3, DataType4, DataType5, DataType6, DataType7, DataType8, DataType9)</f>
        <v>DataType1</v>
      </c>
      <c r="D32" s="105" t="str">
        <f>CHOOSE((3+1), Priority0, Priority1, Priority2, Priority3, Priority4, Priority5, Priority6, Priority7, Priority8, Priority9)</f>
        <v>Priority4</v>
      </c>
      <c r="E32" s="105" t="s">
        <v>6220</v>
      </c>
      <c r="F32" s="105" t="str">
        <f>IF(TRUE = TRUE, "Yes", "No")</f>
        <v>Yes</v>
      </c>
      <c r="G32" s="105" t="s">
        <v>5202</v>
      </c>
      <c r="H32" s="105"/>
      <c r="I32" s="127">
        <f>ROUND(10, 3)</f>
        <v>10</v>
      </c>
      <c r="J32" s="127">
        <f>ROUND(CHOOSE((1 + 1), 160 / 1000, 160, 160 * 1000),3)</f>
        <v>160</v>
      </c>
      <c r="K32" s="127" t="str">
        <f>CHOOSE((1 + 1), "MVA", "KVA", "VA")</f>
        <v>KVA</v>
      </c>
      <c r="L32" s="127" t="str">
        <f>FIXED(90, 1)</f>
        <v>90.0</v>
      </c>
      <c r="M32" s="127" t="str">
        <f>IF(0 = 0, "3", "1")</f>
        <v>3</v>
      </c>
      <c r="N32" s="242" t="str">
        <f>IF(0 = 1, CHOOSE((0+1), "A", "B", "C", "AB", "BC", "CA"), "")</f>
        <v/>
      </c>
      <c r="O32" s="242">
        <v>100</v>
      </c>
      <c r="P32" s="242">
        <v>50</v>
      </c>
      <c r="Q32" s="242">
        <v>0</v>
      </c>
      <c r="R32" s="105" t="str">
        <f>IF(0 = 0,CHOOSE((1 + 1), "Y",  "Δ"),"--")</f>
        <v>Δ</v>
      </c>
      <c r="S32" s="127">
        <f>ROUND(0, 0)</f>
        <v>0</v>
      </c>
      <c r="T32" s="127">
        <f>ROUND(650, 1)</f>
        <v>650</v>
      </c>
      <c r="U32" s="105">
        <f>ROUND(6.67000008, 1)</f>
        <v>6.7</v>
      </c>
      <c r="V32" s="127">
        <f>ROUND(15.3846149, 0)</f>
        <v>15</v>
      </c>
      <c r="W32" s="127">
        <f>ROUND(23.0769234, 0)</f>
        <v>23</v>
      </c>
      <c r="X32" s="105">
        <f>ROUND(10000*6.67000008/(650*SQRT(1+(6.67000008)^2)),3)</f>
        <v>15.215</v>
      </c>
      <c r="Y32" s="127">
        <f>ROUND(0.200000003, 1)</f>
        <v>0.2</v>
      </c>
      <c r="Z32" s="60"/>
      <c r="AA32" s="53" t="s">
        <v>6263</v>
      </c>
    </row>
    <row r="33" spans="1:27">
      <c r="A33" s="105" t="s">
        <v>6264</v>
      </c>
      <c r="B33" s="105" t="str">
        <f>IF(TRIM("BUS_CNODE_JCT__1325") = "", "BUS_CNODE_JCT__1325", "BUS_CNODE_JCT__1325")</f>
        <v>BUS_CNODE_JCT__1325</v>
      </c>
      <c r="C33" s="105" t="str">
        <f>CHOOSE((0 + 1), DataType0, DataType1, DataType2, DataType3, DataType4, DataType5, DataType6, DataType7, DataType8, DataType9)</f>
        <v>DataType1</v>
      </c>
      <c r="D33" s="105" t="str">
        <f>CHOOSE((3+1), Priority0, Priority1, Priority2, Priority3, Priority4, Priority5, Priority6, Priority7, Priority8, Priority9)</f>
        <v>Priority4</v>
      </c>
      <c r="E33" s="105" t="s">
        <v>6220</v>
      </c>
      <c r="F33" s="105" t="str">
        <f>IF(TRUE = TRUE, "Yes", "No")</f>
        <v>Yes</v>
      </c>
      <c r="G33" s="105" t="s">
        <v>5202</v>
      </c>
      <c r="H33" s="105"/>
      <c r="I33" s="127">
        <f>ROUND(10, 3)</f>
        <v>10</v>
      </c>
      <c r="J33" s="127">
        <f>ROUND(CHOOSE((1 + 1), 630 / 1000, 630, 630 * 1000),3)</f>
        <v>630</v>
      </c>
      <c r="K33" s="127" t="str">
        <f>CHOOSE((1 + 1), "MVA", "KVA", "VA")</f>
        <v>KVA</v>
      </c>
      <c r="L33" s="127" t="str">
        <f>FIXED(90, 1)</f>
        <v>90.0</v>
      </c>
      <c r="M33" s="127" t="str">
        <f>IF(0 = 0, "3", "1")</f>
        <v>3</v>
      </c>
      <c r="N33" s="242" t="str">
        <f>IF(0 = 1, CHOOSE((0+1), "A", "B", "C", "AB", "BC", "CA"), "")</f>
        <v/>
      </c>
      <c r="O33" s="242">
        <v>100</v>
      </c>
      <c r="P33" s="242">
        <v>50</v>
      </c>
      <c r="Q33" s="242">
        <v>0</v>
      </c>
      <c r="R33" s="105" t="str">
        <f>IF(0 = 0,CHOOSE((1 + 1), "Y",  "Δ"),"--")</f>
        <v>Δ</v>
      </c>
      <c r="S33" s="127">
        <f>ROUND(0, 0)</f>
        <v>0</v>
      </c>
      <c r="T33" s="127">
        <f>ROUND(650, 1)</f>
        <v>650</v>
      </c>
      <c r="U33" s="105">
        <f>ROUND(6.67000008, 1)</f>
        <v>6.7</v>
      </c>
      <c r="V33" s="127">
        <f>ROUND(15.3846149, 0)</f>
        <v>15</v>
      </c>
      <c r="W33" s="127">
        <f>ROUND(23.0769234, 0)</f>
        <v>23</v>
      </c>
      <c r="X33" s="105">
        <f>ROUND(10000*6.67000008/(650*SQRT(1+(6.67000008)^2)),3)</f>
        <v>15.215</v>
      </c>
      <c r="Y33" s="127">
        <f>ROUND(0.200000003, 1)</f>
        <v>0.2</v>
      </c>
      <c r="Z33" s="60"/>
      <c r="AA33" s="53" t="s">
        <v>6265</v>
      </c>
    </row>
    <row r="34" spans="1:27">
      <c r="A34" s="105" t="s">
        <v>6266</v>
      </c>
      <c r="B34" s="105" t="str">
        <f>IF(TRIM("BUS_CNODE_JCT__1342") = "", "BUS_CNODE_JCT__1342", "BUS_CNODE_JCT__1342")</f>
        <v>BUS_CNODE_JCT__1342</v>
      </c>
      <c r="C34" s="105" t="str">
        <f>CHOOSE((0 + 1), DataType0, DataType1, DataType2, DataType3, DataType4, DataType5, DataType6, DataType7, DataType8, DataType9)</f>
        <v>DataType1</v>
      </c>
      <c r="D34" s="105" t="str">
        <f>CHOOSE((3+1), Priority0, Priority1, Priority2, Priority3, Priority4, Priority5, Priority6, Priority7, Priority8, Priority9)</f>
        <v>Priority4</v>
      </c>
      <c r="E34" s="105" t="s">
        <v>6220</v>
      </c>
      <c r="F34" s="105" t="str">
        <f>IF(TRUE = TRUE, "Yes", "No")</f>
        <v>Yes</v>
      </c>
      <c r="G34" s="105" t="s">
        <v>5202</v>
      </c>
      <c r="H34" s="105"/>
      <c r="I34" s="127">
        <f>ROUND(10, 3)</f>
        <v>10</v>
      </c>
      <c r="J34" s="127">
        <f>ROUND(CHOOSE((1 + 1), 630 / 1000, 630, 630 * 1000),3)</f>
        <v>630</v>
      </c>
      <c r="K34" s="127" t="str">
        <f>CHOOSE((1 + 1), "MVA", "KVA", "VA")</f>
        <v>KVA</v>
      </c>
      <c r="L34" s="127" t="str">
        <f>FIXED(90, 1)</f>
        <v>90.0</v>
      </c>
      <c r="M34" s="127" t="str">
        <f>IF(0 = 0, "3", "1")</f>
        <v>3</v>
      </c>
      <c r="N34" s="242" t="str">
        <f>IF(0 = 1, CHOOSE((0+1), "A", "B", "C", "AB", "BC", "CA"), "")</f>
        <v/>
      </c>
      <c r="O34" s="242">
        <v>100</v>
      </c>
      <c r="P34" s="242">
        <v>50</v>
      </c>
      <c r="Q34" s="242">
        <v>0</v>
      </c>
      <c r="R34" s="105" t="str">
        <f>IF(0 = 0,CHOOSE((1 + 1), "Y",  "Δ"),"--")</f>
        <v>Δ</v>
      </c>
      <c r="S34" s="127">
        <f>ROUND(0, 0)</f>
        <v>0</v>
      </c>
      <c r="T34" s="127">
        <f>ROUND(650, 1)</f>
        <v>650</v>
      </c>
      <c r="U34" s="105">
        <f>ROUND(6.67000008, 1)</f>
        <v>6.7</v>
      </c>
      <c r="V34" s="127">
        <f>ROUND(15.3846149, 0)</f>
        <v>15</v>
      </c>
      <c r="W34" s="127">
        <f>ROUND(23.0769234, 0)</f>
        <v>23</v>
      </c>
      <c r="X34" s="105">
        <f>ROUND(10000*6.67000008/(650*SQRT(1+(6.67000008)^2)),3)</f>
        <v>15.215</v>
      </c>
      <c r="Y34" s="127">
        <f>ROUND(0.200000003, 1)</f>
        <v>0.2</v>
      </c>
      <c r="Z34" s="60"/>
      <c r="AA34" s="53" t="s">
        <v>6267</v>
      </c>
    </row>
    <row r="35" spans="1:27">
      <c r="A35" s="105" t="s">
        <v>6268</v>
      </c>
      <c r="B35" s="105" t="str">
        <f>IF(TRIM("BUS_CNODE_JCT__1320") = "", "BUS_CNODE_JCT__1320", "BUS_CNODE_JCT__1320")</f>
        <v>BUS_CNODE_JCT__1320</v>
      </c>
      <c r="C35" s="105" t="str">
        <f>CHOOSE((0 + 1), DataType0, DataType1, DataType2, DataType3, DataType4, DataType5, DataType6, DataType7, DataType8, DataType9)</f>
        <v>DataType1</v>
      </c>
      <c r="D35" s="105" t="str">
        <f>CHOOSE((3+1), Priority0, Priority1, Priority2, Priority3, Priority4, Priority5, Priority6, Priority7, Priority8, Priority9)</f>
        <v>Priority4</v>
      </c>
      <c r="E35" s="105" t="s">
        <v>6220</v>
      </c>
      <c r="F35" s="105" t="str">
        <f>IF(TRUE = TRUE, "Yes", "No")</f>
        <v>Yes</v>
      </c>
      <c r="G35" s="105" t="s">
        <v>5202</v>
      </c>
      <c r="H35" s="105"/>
      <c r="I35" s="127">
        <f>ROUND(10, 3)</f>
        <v>10</v>
      </c>
      <c r="J35" s="127">
        <f>ROUND(CHOOSE((1 + 1), 500 / 1000, 500, 500 * 1000),3)</f>
        <v>500</v>
      </c>
      <c r="K35" s="127" t="str">
        <f>CHOOSE((1 + 1), "MVA", "KVA", "VA")</f>
        <v>KVA</v>
      </c>
      <c r="L35" s="127" t="str">
        <f>FIXED(90, 1)</f>
        <v>90.0</v>
      </c>
      <c r="M35" s="127" t="str">
        <f>IF(0 = 0, "3", "1")</f>
        <v>3</v>
      </c>
      <c r="N35" s="242" t="str">
        <f>IF(0 = 1, CHOOSE((0+1), "A", "B", "C", "AB", "BC", "CA"), "")</f>
        <v/>
      </c>
      <c r="O35" s="242">
        <v>100</v>
      </c>
      <c r="P35" s="242">
        <v>50</v>
      </c>
      <c r="Q35" s="242">
        <v>0</v>
      </c>
      <c r="R35" s="105" t="str">
        <f>IF(0 = 0,CHOOSE((1 + 1), "Y",  "Δ"),"--")</f>
        <v>Δ</v>
      </c>
      <c r="S35" s="127">
        <f>ROUND(0, 0)</f>
        <v>0</v>
      </c>
      <c r="T35" s="127">
        <f>ROUND(650, 1)</f>
        <v>650</v>
      </c>
      <c r="U35" s="105">
        <f>ROUND(6.67000008, 1)</f>
        <v>6.7</v>
      </c>
      <c r="V35" s="127">
        <f>ROUND(15.3846149, 0)</f>
        <v>15</v>
      </c>
      <c r="W35" s="127">
        <f>ROUND(23.0769234, 0)</f>
        <v>23</v>
      </c>
      <c r="X35" s="105">
        <f>ROUND(10000*6.67000008/(650*SQRT(1+(6.67000008)^2)),3)</f>
        <v>15.215</v>
      </c>
      <c r="Y35" s="127">
        <f>ROUND(0.200000003, 1)</f>
        <v>0.2</v>
      </c>
      <c r="Z35" s="60"/>
      <c r="AA35" s="53" t="s">
        <v>6269</v>
      </c>
    </row>
    <row r="36" spans="1:27">
      <c r="A36" s="105" t="s">
        <v>6270</v>
      </c>
      <c r="B36" s="105" t="str">
        <f>IF(TRIM("BUS_CNODE_JCT__1327") = "", "BUS_CNODE_JCT__1327", "BUS_CNODE_JCT__1327")</f>
        <v>BUS_CNODE_JCT__1327</v>
      </c>
      <c r="C36" s="105" t="str">
        <f>CHOOSE((0 + 1), DataType0, DataType1, DataType2, DataType3, DataType4, DataType5, DataType6, DataType7, DataType8, DataType9)</f>
        <v>DataType1</v>
      </c>
      <c r="D36" s="105" t="str">
        <f>CHOOSE((3+1), Priority0, Priority1, Priority2, Priority3, Priority4, Priority5, Priority6, Priority7, Priority8, Priority9)</f>
        <v>Priority4</v>
      </c>
      <c r="E36" s="105" t="s">
        <v>6220</v>
      </c>
      <c r="F36" s="105" t="str">
        <f>IF(TRUE = TRUE, "Yes", "No")</f>
        <v>Yes</v>
      </c>
      <c r="G36" s="105" t="s">
        <v>5202</v>
      </c>
      <c r="H36" s="105"/>
      <c r="I36" s="127">
        <f>ROUND(10, 3)</f>
        <v>10</v>
      </c>
      <c r="J36" s="127">
        <f>ROUND(CHOOSE((1 + 1), 630 / 1000, 630, 630 * 1000),3)</f>
        <v>630</v>
      </c>
      <c r="K36" s="127" t="str">
        <f>CHOOSE((1 + 1), "MVA", "KVA", "VA")</f>
        <v>KVA</v>
      </c>
      <c r="L36" s="127" t="str">
        <f>FIXED(90, 1)</f>
        <v>90.0</v>
      </c>
      <c r="M36" s="127" t="str">
        <f>IF(0 = 0, "3", "1")</f>
        <v>3</v>
      </c>
      <c r="N36" s="242" t="str">
        <f>IF(0 = 1, CHOOSE((0+1), "A", "B", "C", "AB", "BC", "CA"), "")</f>
        <v/>
      </c>
      <c r="O36" s="242">
        <v>100</v>
      </c>
      <c r="P36" s="242">
        <v>50</v>
      </c>
      <c r="Q36" s="242">
        <v>0</v>
      </c>
      <c r="R36" s="105" t="str">
        <f>IF(0 = 0,CHOOSE((1 + 1), "Y",  "Δ"),"--")</f>
        <v>Δ</v>
      </c>
      <c r="S36" s="127">
        <f>ROUND(0, 0)</f>
        <v>0</v>
      </c>
      <c r="T36" s="127">
        <f>ROUND(650, 1)</f>
        <v>650</v>
      </c>
      <c r="U36" s="105">
        <f>ROUND(6.67000008, 1)</f>
        <v>6.7</v>
      </c>
      <c r="V36" s="127">
        <f>ROUND(15.3846149, 0)</f>
        <v>15</v>
      </c>
      <c r="W36" s="127">
        <f>ROUND(23.0769234, 0)</f>
        <v>23</v>
      </c>
      <c r="X36" s="105">
        <f>ROUND(10000*6.67000008/(650*SQRT(1+(6.67000008)^2)),3)</f>
        <v>15.215</v>
      </c>
      <c r="Y36" s="127">
        <f>ROUND(0.200000003, 1)</f>
        <v>0.2</v>
      </c>
      <c r="Z36" s="60"/>
      <c r="AA36" s="53" t="s">
        <v>6271</v>
      </c>
    </row>
    <row r="37" spans="1:27">
      <c r="A37" s="105" t="s">
        <v>6272</v>
      </c>
      <c r="B37" s="105" t="str">
        <f>IF(TRIM("BUS_CNODE_JCT__1291") = "", "BUS_CNODE_JCT__1291", "BUS_CNODE_JCT__1291")</f>
        <v>BUS_CNODE_JCT__1291</v>
      </c>
      <c r="C37" s="105" t="str">
        <f>CHOOSE((0 + 1), DataType0, DataType1, DataType2, DataType3, DataType4, DataType5, DataType6, DataType7, DataType8, DataType9)</f>
        <v>DataType1</v>
      </c>
      <c r="D37" s="105" t="str">
        <f>CHOOSE((3+1), Priority0, Priority1, Priority2, Priority3, Priority4, Priority5, Priority6, Priority7, Priority8, Priority9)</f>
        <v>Priority4</v>
      </c>
      <c r="E37" s="105" t="s">
        <v>6220</v>
      </c>
      <c r="F37" s="105" t="str">
        <f>IF(TRUE = TRUE, "Yes", "No")</f>
        <v>Yes</v>
      </c>
      <c r="G37" s="105" t="s">
        <v>5202</v>
      </c>
      <c r="H37" s="105"/>
      <c r="I37" s="127">
        <f>ROUND(10, 3)</f>
        <v>10</v>
      </c>
      <c r="J37" s="127">
        <f>ROUND(CHOOSE((1 + 1), 400 / 1000, 400, 400 * 1000),3)</f>
        <v>400</v>
      </c>
      <c r="K37" s="127" t="str">
        <f>CHOOSE((1 + 1), "MVA", "KVA", "VA")</f>
        <v>KVA</v>
      </c>
      <c r="L37" s="127" t="str">
        <f>FIXED(90, 1)</f>
        <v>90.0</v>
      </c>
      <c r="M37" s="127" t="str">
        <f>IF(0 = 0, "3", "1")</f>
        <v>3</v>
      </c>
      <c r="N37" s="242" t="str">
        <f>IF(0 = 1, CHOOSE((0+1), "A", "B", "C", "AB", "BC", "CA"), "")</f>
        <v/>
      </c>
      <c r="O37" s="242">
        <v>100</v>
      </c>
      <c r="P37" s="242">
        <v>50</v>
      </c>
      <c r="Q37" s="242">
        <v>0</v>
      </c>
      <c r="R37" s="105" t="str">
        <f>IF(0 = 0,CHOOSE((1 + 1), "Y",  "Δ"),"--")</f>
        <v>Δ</v>
      </c>
      <c r="S37" s="127">
        <f>ROUND(0, 0)</f>
        <v>0</v>
      </c>
      <c r="T37" s="127">
        <f>ROUND(650, 1)</f>
        <v>650</v>
      </c>
      <c r="U37" s="105">
        <f>ROUND(6.67000008, 1)</f>
        <v>6.7</v>
      </c>
      <c r="V37" s="127">
        <f>ROUND(15.3846149, 0)</f>
        <v>15</v>
      </c>
      <c r="W37" s="127">
        <f>ROUND(23.0769234, 0)</f>
        <v>23</v>
      </c>
      <c r="X37" s="105">
        <f>ROUND(10000*6.67000008/(650*SQRT(1+(6.67000008)^2)),3)</f>
        <v>15.215</v>
      </c>
      <c r="Y37" s="127">
        <f>ROUND(0.200000003, 1)</f>
        <v>0.2</v>
      </c>
      <c r="Z37" s="60"/>
      <c r="AA37" s="53" t="s">
        <v>6273</v>
      </c>
    </row>
    <row r="38" spans="1:27">
      <c r="A38" s="105" t="s">
        <v>6274</v>
      </c>
      <c r="B38" s="105" t="str">
        <f>IF(TRIM("BUS_CNODE_JCT__1463") = "", "BUS_CNODE_JCT__1463", "BUS_CNODE_JCT__1463")</f>
        <v>BUS_CNODE_JCT__1463</v>
      </c>
      <c r="C38" s="105" t="str">
        <f>CHOOSE((0 + 1), DataType0, DataType1, DataType2, DataType3, DataType4, DataType5, DataType6, DataType7, DataType8, DataType9)</f>
        <v>DataType1</v>
      </c>
      <c r="D38" s="105" t="str">
        <f>CHOOSE((3+1), Priority0, Priority1, Priority2, Priority3, Priority4, Priority5, Priority6, Priority7, Priority8, Priority9)</f>
        <v>Priority4</v>
      </c>
      <c r="E38" s="105" t="s">
        <v>6220</v>
      </c>
      <c r="F38" s="105" t="str">
        <f>IF(TRUE = TRUE, "Yes", "No")</f>
        <v>Yes</v>
      </c>
      <c r="G38" s="105" t="s">
        <v>5202</v>
      </c>
      <c r="H38" s="105"/>
      <c r="I38" s="127">
        <f>ROUND(10, 3)</f>
        <v>10</v>
      </c>
      <c r="J38" s="127">
        <f>ROUND(CHOOSE((1 + 1), 1260 / 1000, 1260, 1260 * 1000),3)</f>
        <v>1260</v>
      </c>
      <c r="K38" s="127" t="str">
        <f>CHOOSE((1 + 1), "MVA", "KVA", "VA")</f>
        <v>KVA</v>
      </c>
      <c r="L38" s="127" t="str">
        <f>FIXED(90, 1)</f>
        <v>90.0</v>
      </c>
      <c r="M38" s="127" t="str">
        <f>IF(0 = 0, "3", "1")</f>
        <v>3</v>
      </c>
      <c r="N38" s="242" t="str">
        <f>IF(0 = 1, CHOOSE((0+1), "A", "B", "C", "AB", "BC", "CA"), "")</f>
        <v/>
      </c>
      <c r="O38" s="242">
        <v>100</v>
      </c>
      <c r="P38" s="242">
        <v>50</v>
      </c>
      <c r="Q38" s="242">
        <v>0</v>
      </c>
      <c r="R38" s="105" t="str">
        <f>IF(0 = 0,CHOOSE((1 + 1), "Y",  "Δ"),"--")</f>
        <v>Δ</v>
      </c>
      <c r="S38" s="127">
        <f>ROUND(0, 0)</f>
        <v>0</v>
      </c>
      <c r="T38" s="127">
        <f>ROUND(650, 1)</f>
        <v>650</v>
      </c>
      <c r="U38" s="105">
        <f>ROUND(6.67000008, 1)</f>
        <v>6.7</v>
      </c>
      <c r="V38" s="127">
        <f>ROUND(15.3846149, 0)</f>
        <v>15</v>
      </c>
      <c r="W38" s="127">
        <f>ROUND(23.0769234, 0)</f>
        <v>23</v>
      </c>
      <c r="X38" s="105">
        <f>ROUND(10000*6.67000008/(650*SQRT(1+(6.67000008)^2)),3)</f>
        <v>15.215</v>
      </c>
      <c r="Y38" s="127">
        <f>ROUND(0.200000003, 1)</f>
        <v>0.2</v>
      </c>
      <c r="Z38" s="60"/>
      <c r="AA38" s="53" t="s">
        <v>6275</v>
      </c>
    </row>
    <row r="39" spans="1:27">
      <c r="A39" s="105" t="s">
        <v>6276</v>
      </c>
      <c r="B39" s="105" t="str">
        <f>IF(TRIM("BUS_CNODE_JCT__1303") = "", "BUS_CNODE_JCT__1303", "BUS_CNODE_JCT__1303")</f>
        <v>BUS_CNODE_JCT__1303</v>
      </c>
      <c r="C39" s="105" t="str">
        <f>CHOOSE((0 + 1), DataType0, DataType1, DataType2, DataType3, DataType4, DataType5, DataType6, DataType7, DataType8, DataType9)</f>
        <v>DataType1</v>
      </c>
      <c r="D39" s="105" t="str">
        <f>CHOOSE((3+1), Priority0, Priority1, Priority2, Priority3, Priority4, Priority5, Priority6, Priority7, Priority8, Priority9)</f>
        <v>Priority4</v>
      </c>
      <c r="E39" s="105" t="s">
        <v>6220</v>
      </c>
      <c r="F39" s="105" t="str">
        <f>IF(TRUE = TRUE, "Yes", "No")</f>
        <v>Yes</v>
      </c>
      <c r="G39" s="105" t="s">
        <v>5202</v>
      </c>
      <c r="H39" s="105"/>
      <c r="I39" s="127">
        <f>ROUND(10, 3)</f>
        <v>10</v>
      </c>
      <c r="J39" s="127">
        <f>ROUND(CHOOSE((1 + 1), 160 / 1000, 160, 160 * 1000),3)</f>
        <v>160</v>
      </c>
      <c r="K39" s="127" t="str">
        <f>CHOOSE((1 + 1), "MVA", "KVA", "VA")</f>
        <v>KVA</v>
      </c>
      <c r="L39" s="127" t="str">
        <f>FIXED(90, 1)</f>
        <v>90.0</v>
      </c>
      <c r="M39" s="127" t="str">
        <f>IF(0 = 0, "3", "1")</f>
        <v>3</v>
      </c>
      <c r="N39" s="242" t="str">
        <f>IF(0 = 1, CHOOSE((0+1), "A", "B", "C", "AB", "BC", "CA"), "")</f>
        <v/>
      </c>
      <c r="O39" s="242">
        <v>100</v>
      </c>
      <c r="P39" s="242">
        <v>50</v>
      </c>
      <c r="Q39" s="242">
        <v>0</v>
      </c>
      <c r="R39" s="105" t="str">
        <f>IF(0 = 0,CHOOSE((1 + 1), "Y",  "Δ"),"--")</f>
        <v>Δ</v>
      </c>
      <c r="S39" s="127">
        <f>ROUND(0, 0)</f>
        <v>0</v>
      </c>
      <c r="T39" s="127">
        <f>ROUND(650, 1)</f>
        <v>650</v>
      </c>
      <c r="U39" s="105">
        <f>ROUND(6.67000008, 1)</f>
        <v>6.7</v>
      </c>
      <c r="V39" s="127">
        <f>ROUND(15.3846149, 0)</f>
        <v>15</v>
      </c>
      <c r="W39" s="127">
        <f>ROUND(23.0769234, 0)</f>
        <v>23</v>
      </c>
      <c r="X39" s="105">
        <f>ROUND(10000*6.67000008/(650*SQRT(1+(6.67000008)^2)),3)</f>
        <v>15.215</v>
      </c>
      <c r="Y39" s="127">
        <f>ROUND(0.200000003, 1)</f>
        <v>0.2</v>
      </c>
      <c r="Z39" s="60"/>
      <c r="AA39" s="53" t="s">
        <v>6277</v>
      </c>
    </row>
    <row r="40" spans="1:27">
      <c r="A40" s="105" t="s">
        <v>6278</v>
      </c>
      <c r="B40" s="105" t="str">
        <f>IF(TRIM("BUS_小区#1箱变_813_1515") = "", "BUS_小区#1箱变_813_1515", "BUS_小区#1箱变_813_1515")</f>
        <v>BUS_小区#1箱变_813_1515</v>
      </c>
      <c r="C40" s="105" t="str">
        <f>CHOOSE((0 + 1), DataType0, DataType1, DataType2, DataType3, DataType4, DataType5, DataType6, DataType7, DataType8, DataType9)</f>
        <v>DataType1</v>
      </c>
      <c r="D40" s="105" t="str">
        <f>CHOOSE((3+1), Priority0, Priority1, Priority2, Priority3, Priority4, Priority5, Priority6, Priority7, Priority8, Priority9)</f>
        <v>Priority4</v>
      </c>
      <c r="E40" s="105" t="s">
        <v>6220</v>
      </c>
      <c r="F40" s="105" t="str">
        <f>IF(TRUE = TRUE, "Yes", "No")</f>
        <v>Yes</v>
      </c>
      <c r="G40" s="105" t="s">
        <v>5202</v>
      </c>
      <c r="H40" s="105"/>
      <c r="I40" s="127">
        <f>ROUND(0.400000006, 3)</f>
        <v>0.4</v>
      </c>
      <c r="J40" s="127">
        <f>ROUND(CHOOSE((1 + 1), 40 / 1000, 40, 40 * 1000),3)</f>
        <v>40</v>
      </c>
      <c r="K40" s="127" t="str">
        <f>CHOOSE((1 + 1), "MVA", "KVA", "VA")</f>
        <v>KVA</v>
      </c>
      <c r="L40" s="127" t="str">
        <f>FIXED(90, 1)</f>
        <v>90.0</v>
      </c>
      <c r="M40" s="127" t="str">
        <f>IF(0 = 0, "3", "1")</f>
        <v>3</v>
      </c>
      <c r="N40" s="242" t="str">
        <f>IF(0 = 1, CHOOSE((0+1), "A", "B", "C", "AB", "BC", "CA"), "")</f>
        <v/>
      </c>
      <c r="O40" s="242">
        <v>100</v>
      </c>
      <c r="P40" s="242">
        <v>50</v>
      </c>
      <c r="Q40" s="242">
        <v>0</v>
      </c>
      <c r="R40" s="105" t="str">
        <f>IF(0 = 0,CHOOSE((1 + 1), "Y",  "Δ"),"--")</f>
        <v>Δ</v>
      </c>
      <c r="S40" s="127">
        <f>ROUND(0, 0)</f>
        <v>0</v>
      </c>
      <c r="T40" s="127">
        <f>ROUND(600, 1)</f>
        <v>600</v>
      </c>
      <c r="U40" s="105">
        <f>ROUND(2.38000011, 1)</f>
        <v>2.4</v>
      </c>
      <c r="V40" s="127">
        <f>ROUND(20, 0)</f>
        <v>20</v>
      </c>
      <c r="W40" s="127">
        <f>ROUND(50, 0)</f>
        <v>50</v>
      </c>
      <c r="X40" s="105">
        <f>ROUND(10000*2.38000011/(600*SQRT(1+(2.38000011)^2)),3)</f>
        <v>15.365</v>
      </c>
      <c r="Y40" s="127">
        <f>ROUND(0.200000003, 1)</f>
        <v>0.2</v>
      </c>
      <c r="Z40" s="60"/>
      <c r="AA40" s="53" t="s">
        <v>6279</v>
      </c>
    </row>
    <row r="41" spans="1:27">
      <c r="A41" s="105" t="s">
        <v>6280</v>
      </c>
      <c r="B41" s="105" t="str">
        <f>IF(TRIM("BUS_小区#2箱变_812_1513") = "", "BUS_小区#2箱变_812_1513", "BUS_小区#2箱变_812_1513")</f>
        <v>BUS_小区#2箱变_812_1513</v>
      </c>
      <c r="C41" s="105" t="str">
        <f>CHOOSE((0 + 1), DataType0, DataType1, DataType2, DataType3, DataType4, DataType5, DataType6, DataType7, DataType8, DataType9)</f>
        <v>DataType1</v>
      </c>
      <c r="D41" s="105" t="str">
        <f>CHOOSE((3+1), Priority0, Priority1, Priority2, Priority3, Priority4, Priority5, Priority6, Priority7, Priority8, Priority9)</f>
        <v>Priority4</v>
      </c>
      <c r="E41" s="105" t="s">
        <v>6220</v>
      </c>
      <c r="F41" s="105" t="str">
        <f>IF(TRUE = TRUE, "Yes", "No")</f>
        <v>Yes</v>
      </c>
      <c r="G41" s="105" t="s">
        <v>5202</v>
      </c>
      <c r="H41" s="105"/>
      <c r="I41" s="127">
        <f>ROUND(0.400000006, 3)</f>
        <v>0.4</v>
      </c>
      <c r="J41" s="127">
        <f>ROUND(CHOOSE((1 + 1), 40 / 1000, 40, 40 * 1000),3)</f>
        <v>40</v>
      </c>
      <c r="K41" s="127" t="str">
        <f>CHOOSE((1 + 1), "MVA", "KVA", "VA")</f>
        <v>KVA</v>
      </c>
      <c r="L41" s="127" t="str">
        <f>FIXED(90, 1)</f>
        <v>90.0</v>
      </c>
      <c r="M41" s="127" t="str">
        <f>IF(0 = 0, "3", "1")</f>
        <v>3</v>
      </c>
      <c r="N41" s="242" t="str">
        <f>IF(0 = 1, CHOOSE((0+1), "A", "B", "C", "AB", "BC", "CA"), "")</f>
        <v/>
      </c>
      <c r="O41" s="242">
        <v>100</v>
      </c>
      <c r="P41" s="242">
        <v>50</v>
      </c>
      <c r="Q41" s="242">
        <v>0</v>
      </c>
      <c r="R41" s="105" t="str">
        <f>IF(0 = 0,CHOOSE((1 + 1), "Y",  "Δ"),"--")</f>
        <v>Δ</v>
      </c>
      <c r="S41" s="127">
        <f>ROUND(0, 0)</f>
        <v>0</v>
      </c>
      <c r="T41" s="127">
        <f>ROUND(600, 1)</f>
        <v>600</v>
      </c>
      <c r="U41" s="105">
        <f>ROUND(2.38000011, 1)</f>
        <v>2.4</v>
      </c>
      <c r="V41" s="127">
        <f>ROUND(20, 0)</f>
        <v>20</v>
      </c>
      <c r="W41" s="127">
        <f>ROUND(50, 0)</f>
        <v>50</v>
      </c>
      <c r="X41" s="105">
        <f>ROUND(10000*2.38000011/(600*SQRT(1+(2.38000011)^2)),3)</f>
        <v>15.365</v>
      </c>
      <c r="Y41" s="127">
        <f>ROUND(0.200000003, 1)</f>
        <v>0.2</v>
      </c>
      <c r="Z41" s="60"/>
      <c r="AA41" s="53" t="s">
        <v>6281</v>
      </c>
    </row>
    <row r="42" spans="1:27">
      <c r="A42" s="105" t="s">
        <v>6282</v>
      </c>
      <c r="B42" s="105" t="str">
        <f>IF(TRIM("BUS_CNODE_JCT__1473") = "", "BUS_CNODE_JCT__1473", "BUS_CNODE_JCT__1473")</f>
        <v>BUS_CNODE_JCT__1473</v>
      </c>
      <c r="C42" s="105" t="str">
        <f>CHOOSE((0 + 1), DataType0, DataType1, DataType2, DataType3, DataType4, DataType5, DataType6, DataType7, DataType8, DataType9)</f>
        <v>DataType1</v>
      </c>
      <c r="D42" s="105" t="str">
        <f>CHOOSE((3+1), Priority0, Priority1, Priority2, Priority3, Priority4, Priority5, Priority6, Priority7, Priority8, Priority9)</f>
        <v>Priority4</v>
      </c>
      <c r="E42" s="105" t="s">
        <v>6220</v>
      </c>
      <c r="F42" s="105" t="str">
        <f>IF(TRUE = TRUE, "Yes", "No")</f>
        <v>Yes</v>
      </c>
      <c r="G42" s="105" t="s">
        <v>5202</v>
      </c>
      <c r="H42" s="105"/>
      <c r="I42" s="127">
        <f>ROUND(10, 3)</f>
        <v>10</v>
      </c>
      <c r="J42" s="127">
        <f>ROUND(CHOOSE((1 + 1), 315 / 1000, 315, 315 * 1000),3)</f>
        <v>315</v>
      </c>
      <c r="K42" s="127" t="str">
        <f>CHOOSE((1 + 1), "MVA", "KVA", "VA")</f>
        <v>KVA</v>
      </c>
      <c r="L42" s="127" t="str">
        <f>FIXED(90, 1)</f>
        <v>90.0</v>
      </c>
      <c r="M42" s="127" t="str">
        <f>IF(0 = 0, "3", "1")</f>
        <v>3</v>
      </c>
      <c r="N42" s="242" t="str">
        <f>IF(0 = 1, CHOOSE((0+1), "A", "B", "C", "AB", "BC", "CA"), "")</f>
        <v/>
      </c>
      <c r="O42" s="242">
        <v>100</v>
      </c>
      <c r="P42" s="242">
        <v>50</v>
      </c>
      <c r="Q42" s="242">
        <v>0</v>
      </c>
      <c r="R42" s="105" t="str">
        <f>IF(0 = 0,CHOOSE((1 + 1), "Y",  "Δ"),"--")</f>
        <v>Δ</v>
      </c>
      <c r="S42" s="127">
        <f>ROUND(0, 0)</f>
        <v>0</v>
      </c>
      <c r="T42" s="127">
        <f>ROUND(650, 1)</f>
        <v>650</v>
      </c>
      <c r="U42" s="105">
        <f>ROUND(6.67000008, 1)</f>
        <v>6.7</v>
      </c>
      <c r="V42" s="127">
        <f>ROUND(15.3846149, 0)</f>
        <v>15</v>
      </c>
      <c r="W42" s="127">
        <f>ROUND(23.0769234, 0)</f>
        <v>23</v>
      </c>
      <c r="X42" s="105">
        <f>ROUND(10000*6.67000008/(650*SQRT(1+(6.67000008)^2)),3)</f>
        <v>15.215</v>
      </c>
      <c r="Y42" s="127">
        <f>ROUND(0.200000003, 1)</f>
        <v>0.2</v>
      </c>
      <c r="Z42" s="60"/>
      <c r="AA42" s="53" t="s">
        <v>6283</v>
      </c>
    </row>
    <row r="43" spans="1:27">
      <c r="A43" s="105" t="s">
        <v>6284</v>
      </c>
      <c r="B43" s="105" t="str">
        <f>IF(TRIM("BUS_苑#16变1变_80_1499") = "", "BUS_苑#16变1变_80_1499", "BUS_苑#16变1变_80_1499")</f>
        <v>BUS_苑#16变1变_80_1499</v>
      </c>
      <c r="C43" s="105" t="str">
        <f>CHOOSE((0 + 1), DataType0, DataType1, DataType2, DataType3, DataType4, DataType5, DataType6, DataType7, DataType8, DataType9)</f>
        <v>DataType1</v>
      </c>
      <c r="D43" s="105" t="str">
        <f>CHOOSE((3+1), Priority0, Priority1, Priority2, Priority3, Priority4, Priority5, Priority6, Priority7, Priority8, Priority9)</f>
        <v>Priority4</v>
      </c>
      <c r="E43" s="105" t="s">
        <v>6220</v>
      </c>
      <c r="F43" s="105" t="str">
        <f>IF(TRUE = TRUE, "Yes", "No")</f>
        <v>Yes</v>
      </c>
      <c r="G43" s="105" t="s">
        <v>5202</v>
      </c>
      <c r="H43" s="105"/>
      <c r="I43" s="127">
        <f>ROUND(0.400000006, 3)</f>
        <v>0.4</v>
      </c>
      <c r="J43" s="127">
        <f>ROUND(CHOOSE((1 + 1), 40 / 1000, 40, 40 * 1000),3)</f>
        <v>40</v>
      </c>
      <c r="K43" s="127" t="str">
        <f>CHOOSE((1 + 1), "MVA", "KVA", "VA")</f>
        <v>KVA</v>
      </c>
      <c r="L43" s="127" t="str">
        <f>FIXED(90, 1)</f>
        <v>90.0</v>
      </c>
      <c r="M43" s="127" t="str">
        <f>IF(0 = 0, "3", "1")</f>
        <v>3</v>
      </c>
      <c r="N43" s="242" t="str">
        <f>IF(0 = 1, CHOOSE((0+1), "A", "B", "C", "AB", "BC", "CA"), "")</f>
        <v/>
      </c>
      <c r="O43" s="242">
        <v>100</v>
      </c>
      <c r="P43" s="242">
        <v>50</v>
      </c>
      <c r="Q43" s="242">
        <v>0</v>
      </c>
      <c r="R43" s="105" t="str">
        <f>IF(0 = 0,CHOOSE((1 + 1), "Y",  "Δ"),"--")</f>
        <v>Δ</v>
      </c>
      <c r="S43" s="127">
        <f>ROUND(0, 0)</f>
        <v>0</v>
      </c>
      <c r="T43" s="127">
        <f>ROUND(600, 1)</f>
        <v>600</v>
      </c>
      <c r="U43" s="105">
        <f>ROUND(2.38000011, 1)</f>
        <v>2.4</v>
      </c>
      <c r="V43" s="127">
        <f>ROUND(20, 0)</f>
        <v>20</v>
      </c>
      <c r="W43" s="127">
        <f>ROUND(50, 0)</f>
        <v>50</v>
      </c>
      <c r="X43" s="105">
        <f>ROUND(10000*2.38000011/(600*SQRT(1+(2.38000011)^2)),3)</f>
        <v>15.365</v>
      </c>
      <c r="Y43" s="127">
        <f>ROUND(0.200000003, 1)</f>
        <v>0.2</v>
      </c>
      <c r="Z43" s="60"/>
      <c r="AA43" s="53" t="s">
        <v>6285</v>
      </c>
    </row>
    <row r="44" spans="1:27">
      <c r="A44" s="105" t="s">
        <v>6286</v>
      </c>
      <c r="B44" s="105" t="str">
        <f>IF(TRIM("BUS_苑#16变2变_80_1501") = "", "BUS_苑#16变2变_80_1501", "BUS_苑#16变2变_80_1501")</f>
        <v>BUS_苑#16变2变_80_1501</v>
      </c>
      <c r="C44" s="105" t="str">
        <f>CHOOSE((0 + 1), DataType0, DataType1, DataType2, DataType3, DataType4, DataType5, DataType6, DataType7, DataType8, DataType9)</f>
        <v>DataType1</v>
      </c>
      <c r="D44" s="105" t="str">
        <f>CHOOSE((3+1), Priority0, Priority1, Priority2, Priority3, Priority4, Priority5, Priority6, Priority7, Priority8, Priority9)</f>
        <v>Priority4</v>
      </c>
      <c r="E44" s="105" t="s">
        <v>6220</v>
      </c>
      <c r="F44" s="105" t="str">
        <f>IF(TRUE = TRUE, "Yes", "No")</f>
        <v>Yes</v>
      </c>
      <c r="G44" s="105" t="s">
        <v>5202</v>
      </c>
      <c r="H44" s="105"/>
      <c r="I44" s="127">
        <f>ROUND(0.400000006, 3)</f>
        <v>0.4</v>
      </c>
      <c r="J44" s="127">
        <f>ROUND(CHOOSE((1 + 1), 40 / 1000, 40, 40 * 1000),3)</f>
        <v>40</v>
      </c>
      <c r="K44" s="127" t="str">
        <f>CHOOSE((1 + 1), "MVA", "KVA", "VA")</f>
        <v>KVA</v>
      </c>
      <c r="L44" s="127" t="str">
        <f>FIXED(90, 1)</f>
        <v>90.0</v>
      </c>
      <c r="M44" s="127" t="str">
        <f>IF(0 = 0, "3", "1")</f>
        <v>3</v>
      </c>
      <c r="N44" s="242" t="str">
        <f>IF(0 = 1, CHOOSE((0+1), "A", "B", "C", "AB", "BC", "CA"), "")</f>
        <v/>
      </c>
      <c r="O44" s="242">
        <v>100</v>
      </c>
      <c r="P44" s="242">
        <v>50</v>
      </c>
      <c r="Q44" s="242">
        <v>0</v>
      </c>
      <c r="R44" s="105" t="str">
        <f>IF(0 = 0,CHOOSE((1 + 1), "Y",  "Δ"),"--")</f>
        <v>Δ</v>
      </c>
      <c r="S44" s="127">
        <f>ROUND(0, 0)</f>
        <v>0</v>
      </c>
      <c r="T44" s="127">
        <f>ROUND(600, 1)</f>
        <v>600</v>
      </c>
      <c r="U44" s="105">
        <f>ROUND(2.38000011, 1)</f>
        <v>2.4</v>
      </c>
      <c r="V44" s="127">
        <f>ROUND(20, 0)</f>
        <v>20</v>
      </c>
      <c r="W44" s="127">
        <f>ROUND(50, 0)</f>
        <v>50</v>
      </c>
      <c r="X44" s="105">
        <f>ROUND(10000*2.38000011/(600*SQRT(1+(2.38000011)^2)),3)</f>
        <v>15.365</v>
      </c>
      <c r="Y44" s="127">
        <f>ROUND(0.200000003, 1)</f>
        <v>0.2</v>
      </c>
      <c r="Z44" s="60"/>
      <c r="AA44" s="53" t="s">
        <v>6287</v>
      </c>
    </row>
    <row r="45" spans="1:27">
      <c r="A45" s="105" t="s">
        <v>6288</v>
      </c>
      <c r="B45" s="105" t="str">
        <f>IF(TRIM("BUS_苑#17变1变_80_1507") = "", "BUS_苑#17变1变_80_1507", "BUS_苑#17变1变_80_1507")</f>
        <v>BUS_苑#17变1变_80_1507</v>
      </c>
      <c r="C45" s="105" t="str">
        <f>CHOOSE((0 + 1), DataType0, DataType1, DataType2, DataType3, DataType4, DataType5, DataType6, DataType7, DataType8, DataType9)</f>
        <v>DataType1</v>
      </c>
      <c r="D45" s="105" t="str">
        <f>CHOOSE((3+1), Priority0, Priority1, Priority2, Priority3, Priority4, Priority5, Priority6, Priority7, Priority8, Priority9)</f>
        <v>Priority4</v>
      </c>
      <c r="E45" s="105" t="s">
        <v>6220</v>
      </c>
      <c r="F45" s="105" t="str">
        <f>IF(TRUE = TRUE, "Yes", "No")</f>
        <v>Yes</v>
      </c>
      <c r="G45" s="105" t="s">
        <v>5202</v>
      </c>
      <c r="H45" s="105"/>
      <c r="I45" s="127">
        <f>ROUND(0.400000006, 3)</f>
        <v>0.4</v>
      </c>
      <c r="J45" s="127">
        <f>ROUND(CHOOSE((1 + 1), 40 / 1000, 40, 40 * 1000),3)</f>
        <v>40</v>
      </c>
      <c r="K45" s="127" t="str">
        <f>CHOOSE((1 + 1), "MVA", "KVA", "VA")</f>
        <v>KVA</v>
      </c>
      <c r="L45" s="127" t="str">
        <f>FIXED(90, 1)</f>
        <v>90.0</v>
      </c>
      <c r="M45" s="127" t="str">
        <f>IF(0 = 0, "3", "1")</f>
        <v>3</v>
      </c>
      <c r="N45" s="242" t="str">
        <f>IF(0 = 1, CHOOSE((0+1), "A", "B", "C", "AB", "BC", "CA"), "")</f>
        <v/>
      </c>
      <c r="O45" s="242">
        <v>100</v>
      </c>
      <c r="P45" s="242">
        <v>50</v>
      </c>
      <c r="Q45" s="242">
        <v>0</v>
      </c>
      <c r="R45" s="105" t="str">
        <f>IF(0 = 0,CHOOSE((1 + 1), "Y",  "Δ"),"--")</f>
        <v>Δ</v>
      </c>
      <c r="S45" s="127">
        <f>ROUND(0, 0)</f>
        <v>0</v>
      </c>
      <c r="T45" s="127">
        <f>ROUND(600, 1)</f>
        <v>600</v>
      </c>
      <c r="U45" s="105">
        <f>ROUND(2.38000011, 1)</f>
        <v>2.4</v>
      </c>
      <c r="V45" s="127">
        <f>ROUND(20, 0)</f>
        <v>20</v>
      </c>
      <c r="W45" s="127">
        <f>ROUND(50, 0)</f>
        <v>50</v>
      </c>
      <c r="X45" s="105">
        <f>ROUND(10000*2.38000011/(600*SQRT(1+(2.38000011)^2)),3)</f>
        <v>15.365</v>
      </c>
      <c r="Y45" s="127">
        <f>ROUND(0.200000003, 1)</f>
        <v>0.2</v>
      </c>
      <c r="Z45" s="60"/>
      <c r="AA45" s="53" t="s">
        <v>6289</v>
      </c>
    </row>
    <row r="46" spans="1:27">
      <c r="A46" s="105" t="s">
        <v>6290</v>
      </c>
      <c r="B46" s="105" t="str">
        <f>IF(TRIM("BUS_苑#17变2变_81_1509") = "", "BUS_苑#17变2变_81_1509", "BUS_苑#17变2变_81_1509")</f>
        <v>BUS_苑#17变2变_81_1509</v>
      </c>
      <c r="C46" s="105" t="str">
        <f>CHOOSE((0 + 1), DataType0, DataType1, DataType2, DataType3, DataType4, DataType5, DataType6, DataType7, DataType8, DataType9)</f>
        <v>DataType1</v>
      </c>
      <c r="D46" s="105" t="str">
        <f>CHOOSE((3+1), Priority0, Priority1, Priority2, Priority3, Priority4, Priority5, Priority6, Priority7, Priority8, Priority9)</f>
        <v>Priority4</v>
      </c>
      <c r="E46" s="105" t="s">
        <v>6220</v>
      </c>
      <c r="F46" s="105" t="str">
        <f>IF(TRUE = TRUE, "Yes", "No")</f>
        <v>Yes</v>
      </c>
      <c r="G46" s="105" t="s">
        <v>5202</v>
      </c>
      <c r="H46" s="105"/>
      <c r="I46" s="127">
        <f>ROUND(0.400000006, 3)</f>
        <v>0.4</v>
      </c>
      <c r="J46" s="127">
        <f>ROUND(CHOOSE((1 + 1), 40 / 1000, 40, 40 * 1000),3)</f>
        <v>40</v>
      </c>
      <c r="K46" s="127" t="str">
        <f>CHOOSE((1 + 1), "MVA", "KVA", "VA")</f>
        <v>KVA</v>
      </c>
      <c r="L46" s="127" t="str">
        <f>FIXED(90, 1)</f>
        <v>90.0</v>
      </c>
      <c r="M46" s="127" t="str">
        <f>IF(0 = 0, "3", "1")</f>
        <v>3</v>
      </c>
      <c r="N46" s="242" t="str">
        <f>IF(0 = 1, CHOOSE((0+1), "A", "B", "C", "AB", "BC", "CA"), "")</f>
        <v/>
      </c>
      <c r="O46" s="242">
        <v>100</v>
      </c>
      <c r="P46" s="242">
        <v>50</v>
      </c>
      <c r="Q46" s="242">
        <v>0</v>
      </c>
      <c r="R46" s="105" t="str">
        <f>IF(0 = 0,CHOOSE((1 + 1), "Y",  "Δ"),"--")</f>
        <v>Δ</v>
      </c>
      <c r="S46" s="127">
        <f>ROUND(0, 0)</f>
        <v>0</v>
      </c>
      <c r="T46" s="127">
        <f>ROUND(600, 1)</f>
        <v>600</v>
      </c>
      <c r="U46" s="105">
        <f>ROUND(2.38000011, 1)</f>
        <v>2.4</v>
      </c>
      <c r="V46" s="127">
        <f>ROUND(20, 0)</f>
        <v>20</v>
      </c>
      <c r="W46" s="127">
        <f>ROUND(50, 0)</f>
        <v>50</v>
      </c>
      <c r="X46" s="105">
        <f>ROUND(10000*2.38000011/(600*SQRT(1+(2.38000011)^2)),3)</f>
        <v>15.365</v>
      </c>
      <c r="Y46" s="127">
        <f>ROUND(0.200000003, 1)</f>
        <v>0.2</v>
      </c>
      <c r="Z46" s="60"/>
      <c r="AA46" s="53" t="s">
        <v>6291</v>
      </c>
    </row>
    <row r="47" spans="1:27">
      <c r="A47" s="105" t="s">
        <v>6292</v>
      </c>
      <c r="B47" s="105" t="str">
        <f>IF(TRIM("BUS_苑#5变1变_824_1537") = "", "BUS_苑#5变1变_824_1537", "BUS_苑#5变1变_824_1537")</f>
        <v>BUS_苑#5变1变_824_1537</v>
      </c>
      <c r="C47" s="105" t="str">
        <f>CHOOSE((0 + 1), DataType0, DataType1, DataType2, DataType3, DataType4, DataType5, DataType6, DataType7, DataType8, DataType9)</f>
        <v>DataType1</v>
      </c>
      <c r="D47" s="105" t="str">
        <f>CHOOSE((3+1), Priority0, Priority1, Priority2, Priority3, Priority4, Priority5, Priority6, Priority7, Priority8, Priority9)</f>
        <v>Priority4</v>
      </c>
      <c r="E47" s="105" t="s">
        <v>6220</v>
      </c>
      <c r="F47" s="105" t="str">
        <f>IF(TRUE = TRUE, "Yes", "No")</f>
        <v>Yes</v>
      </c>
      <c r="G47" s="105" t="s">
        <v>5202</v>
      </c>
      <c r="H47" s="105"/>
      <c r="I47" s="127">
        <f>ROUND(0.400000006, 3)</f>
        <v>0.4</v>
      </c>
      <c r="J47" s="127">
        <f>ROUND(CHOOSE((1 + 1), 40 / 1000, 40, 40 * 1000),3)</f>
        <v>40</v>
      </c>
      <c r="K47" s="127" t="str">
        <f>CHOOSE((1 + 1), "MVA", "KVA", "VA")</f>
        <v>KVA</v>
      </c>
      <c r="L47" s="127" t="str">
        <f>FIXED(90, 1)</f>
        <v>90.0</v>
      </c>
      <c r="M47" s="127" t="str">
        <f>IF(0 = 0, "3", "1")</f>
        <v>3</v>
      </c>
      <c r="N47" s="242" t="str">
        <f>IF(0 = 1, CHOOSE((0+1), "A", "B", "C", "AB", "BC", "CA"), "")</f>
        <v/>
      </c>
      <c r="O47" s="242">
        <v>100</v>
      </c>
      <c r="P47" s="242">
        <v>50</v>
      </c>
      <c r="Q47" s="242">
        <v>0</v>
      </c>
      <c r="R47" s="105" t="str">
        <f>IF(0 = 0,CHOOSE((1 + 1), "Y",  "Δ"),"--")</f>
        <v>Δ</v>
      </c>
      <c r="S47" s="127">
        <f>ROUND(0, 0)</f>
        <v>0</v>
      </c>
      <c r="T47" s="127">
        <f>ROUND(600, 1)</f>
        <v>600</v>
      </c>
      <c r="U47" s="105">
        <f>ROUND(2.38000011, 1)</f>
        <v>2.4</v>
      </c>
      <c r="V47" s="127">
        <f>ROUND(20, 0)</f>
        <v>20</v>
      </c>
      <c r="W47" s="127">
        <f>ROUND(50, 0)</f>
        <v>50</v>
      </c>
      <c r="X47" s="105">
        <f>ROUND(10000*2.38000011/(600*SQRT(1+(2.38000011)^2)),3)</f>
        <v>15.365</v>
      </c>
      <c r="Y47" s="127">
        <f>ROUND(0.200000003, 1)</f>
        <v>0.2</v>
      </c>
      <c r="Z47" s="60"/>
      <c r="AA47" s="53" t="s">
        <v>6293</v>
      </c>
    </row>
    <row r="48" spans="1:27">
      <c r="A48" s="105" t="s">
        <v>6294</v>
      </c>
      <c r="B48" s="105" t="str">
        <f>IF(TRIM("BUS_苑#5变2变_825_1539") = "", "BUS_苑#5变2变_825_1539", "BUS_苑#5变2变_825_1539")</f>
        <v>BUS_苑#5变2变_825_1539</v>
      </c>
      <c r="C48" s="105" t="str">
        <f>CHOOSE((0 + 1), DataType0, DataType1, DataType2, DataType3, DataType4, DataType5, DataType6, DataType7, DataType8, DataType9)</f>
        <v>DataType1</v>
      </c>
      <c r="D48" s="105" t="str">
        <f>CHOOSE((3+1), Priority0, Priority1, Priority2, Priority3, Priority4, Priority5, Priority6, Priority7, Priority8, Priority9)</f>
        <v>Priority4</v>
      </c>
      <c r="E48" s="105" t="s">
        <v>6220</v>
      </c>
      <c r="F48" s="105" t="str">
        <f>IF(TRUE = TRUE, "Yes", "No")</f>
        <v>Yes</v>
      </c>
      <c r="G48" s="105" t="s">
        <v>5202</v>
      </c>
      <c r="H48" s="105"/>
      <c r="I48" s="127">
        <f>ROUND(0.400000006, 3)</f>
        <v>0.4</v>
      </c>
      <c r="J48" s="127">
        <f>ROUND(CHOOSE((1 + 1), 40 / 1000, 40, 40 * 1000),3)</f>
        <v>40</v>
      </c>
      <c r="K48" s="127" t="str">
        <f>CHOOSE((1 + 1), "MVA", "KVA", "VA")</f>
        <v>KVA</v>
      </c>
      <c r="L48" s="127" t="str">
        <f>FIXED(90, 1)</f>
        <v>90.0</v>
      </c>
      <c r="M48" s="127" t="str">
        <f>IF(0 = 0, "3", "1")</f>
        <v>3</v>
      </c>
      <c r="N48" s="242" t="str">
        <f>IF(0 = 1, CHOOSE((0+1), "A", "B", "C", "AB", "BC", "CA"), "")</f>
        <v/>
      </c>
      <c r="O48" s="242">
        <v>100</v>
      </c>
      <c r="P48" s="242">
        <v>50</v>
      </c>
      <c r="Q48" s="242">
        <v>0</v>
      </c>
      <c r="R48" s="105" t="str">
        <f>IF(0 = 0,CHOOSE((1 + 1), "Y",  "Δ"),"--")</f>
        <v>Δ</v>
      </c>
      <c r="S48" s="127">
        <f>ROUND(0, 0)</f>
        <v>0</v>
      </c>
      <c r="T48" s="127">
        <f>ROUND(600, 1)</f>
        <v>600</v>
      </c>
      <c r="U48" s="105">
        <f>ROUND(2.38000011, 1)</f>
        <v>2.4</v>
      </c>
      <c r="V48" s="127">
        <f>ROUND(20, 0)</f>
        <v>20</v>
      </c>
      <c r="W48" s="127">
        <f>ROUND(50, 0)</f>
        <v>50</v>
      </c>
      <c r="X48" s="105">
        <f>ROUND(10000*2.38000011/(600*SQRT(1+(2.38000011)^2)),3)</f>
        <v>15.365</v>
      </c>
      <c r="Y48" s="127">
        <f>ROUND(0.200000003, 1)</f>
        <v>0.2</v>
      </c>
      <c r="Z48" s="60"/>
      <c r="AA48" s="53" t="s">
        <v>6295</v>
      </c>
    </row>
    <row r="49" spans="1:27">
      <c r="A49" s="105" t="s">
        <v>6296</v>
      </c>
      <c r="B49" s="105" t="str">
        <f>IF(TRIM("BUS_苑10主变1变_80_1505") = "", "BUS_苑10主变1变_80_1505", "BUS_苑10主变1变_80_1505")</f>
        <v>BUS_苑10主变1变_80_1505</v>
      </c>
      <c r="C49" s="105" t="str">
        <f>CHOOSE((0 + 1), DataType0, DataType1, DataType2, DataType3, DataType4, DataType5, DataType6, DataType7, DataType8, DataType9)</f>
        <v>DataType1</v>
      </c>
      <c r="D49" s="105" t="str">
        <f>CHOOSE((3+1), Priority0, Priority1, Priority2, Priority3, Priority4, Priority5, Priority6, Priority7, Priority8, Priority9)</f>
        <v>Priority4</v>
      </c>
      <c r="E49" s="105" t="s">
        <v>6220</v>
      </c>
      <c r="F49" s="105" t="str">
        <f>IF(TRUE = TRUE, "Yes", "No")</f>
        <v>Yes</v>
      </c>
      <c r="G49" s="105" t="s">
        <v>5202</v>
      </c>
      <c r="H49" s="105"/>
      <c r="I49" s="127">
        <f>ROUND(0.400000006, 3)</f>
        <v>0.4</v>
      </c>
      <c r="J49" s="127">
        <f>ROUND(CHOOSE((1 + 1), 40 / 1000, 40, 40 * 1000),3)</f>
        <v>40</v>
      </c>
      <c r="K49" s="127" t="str">
        <f>CHOOSE((1 + 1), "MVA", "KVA", "VA")</f>
        <v>KVA</v>
      </c>
      <c r="L49" s="127" t="str">
        <f>FIXED(90, 1)</f>
        <v>90.0</v>
      </c>
      <c r="M49" s="127" t="str">
        <f>IF(0 = 0, "3", "1")</f>
        <v>3</v>
      </c>
      <c r="N49" s="242" t="str">
        <f>IF(0 = 1, CHOOSE((0+1), "A", "B", "C", "AB", "BC", "CA"), "")</f>
        <v/>
      </c>
      <c r="O49" s="242">
        <v>100</v>
      </c>
      <c r="P49" s="242">
        <v>50</v>
      </c>
      <c r="Q49" s="242">
        <v>0</v>
      </c>
      <c r="R49" s="105" t="str">
        <f>IF(0 = 0,CHOOSE((1 + 1), "Y",  "Δ"),"--")</f>
        <v>Δ</v>
      </c>
      <c r="S49" s="127">
        <f>ROUND(0, 0)</f>
        <v>0</v>
      </c>
      <c r="T49" s="127">
        <f>ROUND(600, 1)</f>
        <v>600</v>
      </c>
      <c r="U49" s="105">
        <f>ROUND(2.38000011, 1)</f>
        <v>2.4</v>
      </c>
      <c r="V49" s="127">
        <f>ROUND(20, 0)</f>
        <v>20</v>
      </c>
      <c r="W49" s="127">
        <f>ROUND(50, 0)</f>
        <v>50</v>
      </c>
      <c r="X49" s="105">
        <f>ROUND(10000*2.38000011/(600*SQRT(1+(2.38000011)^2)),3)</f>
        <v>15.365</v>
      </c>
      <c r="Y49" s="127">
        <f>ROUND(0.200000003, 1)</f>
        <v>0.2</v>
      </c>
      <c r="Z49" s="60"/>
      <c r="AA49" s="53" t="s">
        <v>6297</v>
      </c>
    </row>
    <row r="50" spans="1:27">
      <c r="A50" s="105" t="s">
        <v>6298</v>
      </c>
      <c r="B50" s="105" t="str">
        <f>IF(TRIM("BUS_苑10主变2变_80_1503") = "", "BUS_苑10主变2变_80_1503", "BUS_苑10主变2变_80_1503")</f>
        <v>BUS_苑10主变2变_80_1503</v>
      </c>
      <c r="C50" s="105" t="str">
        <f>CHOOSE((0 + 1), DataType0, DataType1, DataType2, DataType3, DataType4, DataType5, DataType6, DataType7, DataType8, DataType9)</f>
        <v>DataType1</v>
      </c>
      <c r="D50" s="105" t="str">
        <f>CHOOSE((3+1), Priority0, Priority1, Priority2, Priority3, Priority4, Priority5, Priority6, Priority7, Priority8, Priority9)</f>
        <v>Priority4</v>
      </c>
      <c r="E50" s="105" t="s">
        <v>6220</v>
      </c>
      <c r="F50" s="105" t="str">
        <f>IF(TRUE = TRUE, "Yes", "No")</f>
        <v>Yes</v>
      </c>
      <c r="G50" s="105" t="s">
        <v>5202</v>
      </c>
      <c r="H50" s="105"/>
      <c r="I50" s="127">
        <f>ROUND(0.400000006, 3)</f>
        <v>0.4</v>
      </c>
      <c r="J50" s="127">
        <f>ROUND(CHOOSE((1 + 1), 40 / 1000, 40, 40 * 1000),3)</f>
        <v>40</v>
      </c>
      <c r="K50" s="127" t="str">
        <f>CHOOSE((1 + 1), "MVA", "KVA", "VA")</f>
        <v>KVA</v>
      </c>
      <c r="L50" s="127" t="str">
        <f>FIXED(90, 1)</f>
        <v>90.0</v>
      </c>
      <c r="M50" s="127" t="str">
        <f>IF(0 = 0, "3", "1")</f>
        <v>3</v>
      </c>
      <c r="N50" s="242" t="str">
        <f>IF(0 = 1, CHOOSE((0+1), "A", "B", "C", "AB", "BC", "CA"), "")</f>
        <v/>
      </c>
      <c r="O50" s="242">
        <v>100</v>
      </c>
      <c r="P50" s="242">
        <v>50</v>
      </c>
      <c r="Q50" s="242">
        <v>0</v>
      </c>
      <c r="R50" s="105" t="str">
        <f>IF(0 = 0,CHOOSE((1 + 1), "Y",  "Δ"),"--")</f>
        <v>Δ</v>
      </c>
      <c r="S50" s="127">
        <f>ROUND(0, 0)</f>
        <v>0</v>
      </c>
      <c r="T50" s="127">
        <f>ROUND(600, 1)</f>
        <v>600</v>
      </c>
      <c r="U50" s="105">
        <f>ROUND(2.38000011, 1)</f>
        <v>2.4</v>
      </c>
      <c r="V50" s="127">
        <f>ROUND(20, 0)</f>
        <v>20</v>
      </c>
      <c r="W50" s="127">
        <f>ROUND(50, 0)</f>
        <v>50</v>
      </c>
      <c r="X50" s="105">
        <f>ROUND(10000*2.38000011/(600*SQRT(1+(2.38000011)^2)),3)</f>
        <v>15.365</v>
      </c>
      <c r="Y50" s="127">
        <f>ROUND(0.200000003, 1)</f>
        <v>0.2</v>
      </c>
      <c r="Z50" s="60"/>
      <c r="AA50" s="53" t="s">
        <v>6299</v>
      </c>
    </row>
    <row r="51" spans="1:27">
      <c r="A51" s="105" t="s">
        <v>6300</v>
      </c>
      <c r="B51" s="105" t="str">
        <f>IF(TRIM("BUS_苑3主变1变_826_1541") = "", "BUS_苑3主变1变_826_1541", "BUS_苑3主变1变_826_1541")</f>
        <v>BUS_苑3主变1变_826_1541</v>
      </c>
      <c r="C51" s="105" t="str">
        <f>CHOOSE((0 + 1), DataType0, DataType1, DataType2, DataType3, DataType4, DataType5, DataType6, DataType7, DataType8, DataType9)</f>
        <v>DataType1</v>
      </c>
      <c r="D51" s="105" t="str">
        <f>CHOOSE((3+1), Priority0, Priority1, Priority2, Priority3, Priority4, Priority5, Priority6, Priority7, Priority8, Priority9)</f>
        <v>Priority4</v>
      </c>
      <c r="E51" s="105" t="s">
        <v>6220</v>
      </c>
      <c r="F51" s="105" t="str">
        <f>IF(TRUE = TRUE, "Yes", "No")</f>
        <v>Yes</v>
      </c>
      <c r="G51" s="105" t="s">
        <v>5202</v>
      </c>
      <c r="H51" s="105"/>
      <c r="I51" s="127">
        <f>ROUND(0.400000006, 3)</f>
        <v>0.4</v>
      </c>
      <c r="J51" s="127">
        <f>ROUND(CHOOSE((1 + 1), 40 / 1000, 40, 40 * 1000),3)</f>
        <v>40</v>
      </c>
      <c r="K51" s="127" t="str">
        <f>CHOOSE((1 + 1), "MVA", "KVA", "VA")</f>
        <v>KVA</v>
      </c>
      <c r="L51" s="127" t="str">
        <f>FIXED(90, 1)</f>
        <v>90.0</v>
      </c>
      <c r="M51" s="127" t="str">
        <f>IF(0 = 0, "3", "1")</f>
        <v>3</v>
      </c>
      <c r="N51" s="242" t="str">
        <f>IF(0 = 1, CHOOSE((0+1), "A", "B", "C", "AB", "BC", "CA"), "")</f>
        <v/>
      </c>
      <c r="O51" s="242">
        <v>100</v>
      </c>
      <c r="P51" s="242">
        <v>50</v>
      </c>
      <c r="Q51" s="242">
        <v>0</v>
      </c>
      <c r="R51" s="105" t="str">
        <f>IF(0 = 0,CHOOSE((1 + 1), "Y",  "Δ"),"--")</f>
        <v>Δ</v>
      </c>
      <c r="S51" s="127">
        <f>ROUND(0, 0)</f>
        <v>0</v>
      </c>
      <c r="T51" s="127">
        <f>ROUND(600, 1)</f>
        <v>600</v>
      </c>
      <c r="U51" s="105">
        <f>ROUND(2.38000011, 1)</f>
        <v>2.4</v>
      </c>
      <c r="V51" s="127">
        <f>ROUND(20, 0)</f>
        <v>20</v>
      </c>
      <c r="W51" s="127">
        <f>ROUND(50, 0)</f>
        <v>50</v>
      </c>
      <c r="X51" s="105">
        <f>ROUND(10000*2.38000011/(600*SQRT(1+(2.38000011)^2)),3)</f>
        <v>15.365</v>
      </c>
      <c r="Y51" s="127">
        <f>ROUND(0.200000003, 1)</f>
        <v>0.2</v>
      </c>
      <c r="Z51" s="60"/>
      <c r="AA51" s="53" t="s">
        <v>6301</v>
      </c>
    </row>
    <row r="52" spans="1:27">
      <c r="A52" s="105" t="s">
        <v>6302</v>
      </c>
      <c r="B52" s="105" t="str">
        <f>IF(TRIM("BUS_苑3主变2变_827_1489") = "", "BUS_苑3主变2变_827_1489", "BUS_苑3主变2变_827_1489")</f>
        <v>BUS_苑3主变2变_827_1489</v>
      </c>
      <c r="C52" s="105" t="str">
        <f>CHOOSE((0 + 1), DataType0, DataType1, DataType2, DataType3, DataType4, DataType5, DataType6, DataType7, DataType8, DataType9)</f>
        <v>DataType1</v>
      </c>
      <c r="D52" s="105" t="str">
        <f>CHOOSE((3+1), Priority0, Priority1, Priority2, Priority3, Priority4, Priority5, Priority6, Priority7, Priority8, Priority9)</f>
        <v>Priority4</v>
      </c>
      <c r="E52" s="105" t="s">
        <v>6220</v>
      </c>
      <c r="F52" s="105" t="str">
        <f>IF(TRUE = TRUE, "Yes", "No")</f>
        <v>Yes</v>
      </c>
      <c r="G52" s="105" t="s">
        <v>5202</v>
      </c>
      <c r="H52" s="105"/>
      <c r="I52" s="127">
        <f>ROUND(0.400000006, 3)</f>
        <v>0.4</v>
      </c>
      <c r="J52" s="127">
        <f>ROUND(CHOOSE((1 + 1), 40 / 1000, 40, 40 * 1000),3)</f>
        <v>40</v>
      </c>
      <c r="K52" s="127" t="str">
        <f>CHOOSE((1 + 1), "MVA", "KVA", "VA")</f>
        <v>KVA</v>
      </c>
      <c r="L52" s="127" t="str">
        <f>FIXED(90, 1)</f>
        <v>90.0</v>
      </c>
      <c r="M52" s="127" t="str">
        <f>IF(0 = 0, "3", "1")</f>
        <v>3</v>
      </c>
      <c r="N52" s="242" t="str">
        <f>IF(0 = 1, CHOOSE((0+1), "A", "B", "C", "AB", "BC", "CA"), "")</f>
        <v/>
      </c>
      <c r="O52" s="242">
        <v>100</v>
      </c>
      <c r="P52" s="242">
        <v>50</v>
      </c>
      <c r="Q52" s="242">
        <v>0</v>
      </c>
      <c r="R52" s="105" t="str">
        <f>IF(0 = 0,CHOOSE((1 + 1), "Y",  "Δ"),"--")</f>
        <v>Δ</v>
      </c>
      <c r="S52" s="127">
        <f>ROUND(0, 0)</f>
        <v>0</v>
      </c>
      <c r="T52" s="127">
        <f>ROUND(600, 1)</f>
        <v>600</v>
      </c>
      <c r="U52" s="105">
        <f>ROUND(2.38000011, 1)</f>
        <v>2.4</v>
      </c>
      <c r="V52" s="127">
        <f>ROUND(20, 0)</f>
        <v>20</v>
      </c>
      <c r="W52" s="127">
        <f>ROUND(50, 0)</f>
        <v>50</v>
      </c>
      <c r="X52" s="105">
        <f>ROUND(10000*2.38000011/(600*SQRT(1+(2.38000011)^2)),3)</f>
        <v>15.365</v>
      </c>
      <c r="Y52" s="127">
        <f>ROUND(0.200000003, 1)</f>
        <v>0.2</v>
      </c>
      <c r="Z52" s="60"/>
      <c r="AA52" s="53" t="s">
        <v>6303</v>
      </c>
    </row>
    <row r="53" spans="1:27">
      <c r="A53" s="105" t="s">
        <v>6304</v>
      </c>
      <c r="B53" s="105" t="str">
        <f>IF(TRIM("BUS_苑4主变1变_828_1543") = "", "BUS_苑4主变1变_828_1543", "BUS_苑4主变1变_828_1543")</f>
        <v>BUS_苑4主变1变_828_1543</v>
      </c>
      <c r="C53" s="105" t="str">
        <f>CHOOSE((0 + 1), DataType0, DataType1, DataType2, DataType3, DataType4, DataType5, DataType6, DataType7, DataType8, DataType9)</f>
        <v>DataType1</v>
      </c>
      <c r="D53" s="105" t="str">
        <f>CHOOSE((3+1), Priority0, Priority1, Priority2, Priority3, Priority4, Priority5, Priority6, Priority7, Priority8, Priority9)</f>
        <v>Priority4</v>
      </c>
      <c r="E53" s="105" t="s">
        <v>6220</v>
      </c>
      <c r="F53" s="105" t="str">
        <f>IF(TRUE = TRUE, "Yes", "No")</f>
        <v>Yes</v>
      </c>
      <c r="G53" s="105" t="s">
        <v>5202</v>
      </c>
      <c r="H53" s="105"/>
      <c r="I53" s="127">
        <f>ROUND(0.400000006, 3)</f>
        <v>0.4</v>
      </c>
      <c r="J53" s="127">
        <f>ROUND(CHOOSE((1 + 1), 40 / 1000, 40, 40 * 1000),3)</f>
        <v>40</v>
      </c>
      <c r="K53" s="127" t="str">
        <f>CHOOSE((1 + 1), "MVA", "KVA", "VA")</f>
        <v>KVA</v>
      </c>
      <c r="L53" s="127" t="str">
        <f>FIXED(90, 1)</f>
        <v>90.0</v>
      </c>
      <c r="M53" s="127" t="str">
        <f>IF(0 = 0, "3", "1")</f>
        <v>3</v>
      </c>
      <c r="N53" s="242" t="str">
        <f>IF(0 = 1, CHOOSE((0+1), "A", "B", "C", "AB", "BC", "CA"), "")</f>
        <v/>
      </c>
      <c r="O53" s="242">
        <v>100</v>
      </c>
      <c r="P53" s="242">
        <v>50</v>
      </c>
      <c r="Q53" s="242">
        <v>0</v>
      </c>
      <c r="R53" s="105" t="str">
        <f>IF(0 = 0,CHOOSE((1 + 1), "Y",  "Δ"),"--")</f>
        <v>Δ</v>
      </c>
      <c r="S53" s="127">
        <f>ROUND(0, 0)</f>
        <v>0</v>
      </c>
      <c r="T53" s="127">
        <f>ROUND(600, 1)</f>
        <v>600</v>
      </c>
      <c r="U53" s="105">
        <f>ROUND(2.38000011, 1)</f>
        <v>2.4</v>
      </c>
      <c r="V53" s="127">
        <f>ROUND(20, 0)</f>
        <v>20</v>
      </c>
      <c r="W53" s="127">
        <f>ROUND(50, 0)</f>
        <v>50</v>
      </c>
      <c r="X53" s="105">
        <f>ROUND(10000*2.38000011/(600*SQRT(1+(2.38000011)^2)),3)</f>
        <v>15.365</v>
      </c>
      <c r="Y53" s="127">
        <f>ROUND(0.200000003, 1)</f>
        <v>0.2</v>
      </c>
      <c r="Z53" s="60"/>
      <c r="AA53" s="53" t="s">
        <v>6305</v>
      </c>
    </row>
    <row r="54" spans="1:27">
      <c r="A54" s="105" t="s">
        <v>6306</v>
      </c>
      <c r="B54" s="105" t="str">
        <f>IF(TRIM("BUS_苑4主变2变_829_1483") = "", "BUS_苑4主变2变_829_1483", "BUS_苑4主变2变_829_1483")</f>
        <v>BUS_苑4主变2变_829_1483</v>
      </c>
      <c r="C54" s="105" t="str">
        <f>CHOOSE((0 + 1), DataType0, DataType1, DataType2, DataType3, DataType4, DataType5, DataType6, DataType7, DataType8, DataType9)</f>
        <v>DataType1</v>
      </c>
      <c r="D54" s="105" t="str">
        <f>CHOOSE((3+1), Priority0, Priority1, Priority2, Priority3, Priority4, Priority5, Priority6, Priority7, Priority8, Priority9)</f>
        <v>Priority4</v>
      </c>
      <c r="E54" s="105" t="s">
        <v>6220</v>
      </c>
      <c r="F54" s="105" t="str">
        <f>IF(TRUE = TRUE, "Yes", "No")</f>
        <v>Yes</v>
      </c>
      <c r="G54" s="105" t="s">
        <v>5202</v>
      </c>
      <c r="H54" s="105"/>
      <c r="I54" s="127">
        <f>ROUND(0.400000006, 3)</f>
        <v>0.4</v>
      </c>
      <c r="J54" s="127">
        <f>ROUND(CHOOSE((1 + 1), 40 / 1000, 40, 40 * 1000),3)</f>
        <v>40</v>
      </c>
      <c r="K54" s="127" t="str">
        <f>CHOOSE((1 + 1), "MVA", "KVA", "VA")</f>
        <v>KVA</v>
      </c>
      <c r="L54" s="127" t="str">
        <f>FIXED(90, 1)</f>
        <v>90.0</v>
      </c>
      <c r="M54" s="127" t="str">
        <f>IF(0 = 0, "3", "1")</f>
        <v>3</v>
      </c>
      <c r="N54" s="242" t="str">
        <f>IF(0 = 1, CHOOSE((0+1), "A", "B", "C", "AB", "BC", "CA"), "")</f>
        <v/>
      </c>
      <c r="O54" s="242">
        <v>100</v>
      </c>
      <c r="P54" s="242">
        <v>50</v>
      </c>
      <c r="Q54" s="242">
        <v>0</v>
      </c>
      <c r="R54" s="105" t="str">
        <f>IF(0 = 0,CHOOSE((1 + 1), "Y",  "Δ"),"--")</f>
        <v>Δ</v>
      </c>
      <c r="S54" s="127">
        <f>ROUND(0, 0)</f>
        <v>0</v>
      </c>
      <c r="T54" s="127">
        <f>ROUND(600, 1)</f>
        <v>600</v>
      </c>
      <c r="U54" s="105">
        <f>ROUND(2.38000011, 1)</f>
        <v>2.4</v>
      </c>
      <c r="V54" s="127">
        <f>ROUND(20, 0)</f>
        <v>20</v>
      </c>
      <c r="W54" s="127">
        <f>ROUND(50, 0)</f>
        <v>50</v>
      </c>
      <c r="X54" s="105">
        <f>ROUND(10000*2.38000011/(600*SQRT(1+(2.38000011)^2)),3)</f>
        <v>15.365</v>
      </c>
      <c r="Y54" s="127">
        <f>ROUND(0.200000003, 1)</f>
        <v>0.2</v>
      </c>
      <c r="Z54" s="60"/>
      <c r="AA54" s="53" t="s">
        <v>6307</v>
      </c>
    </row>
    <row r="55" spans="1:27">
      <c r="A55" s="105" t="s">
        <v>6308</v>
      </c>
      <c r="B55" s="105" t="str">
        <f>IF(TRIM("BUS_苑6主变_823_1535") = "", "BUS_苑6主变_823_1535", "BUS_苑6主变_823_1535")</f>
        <v>BUS_苑6主变_823_1535</v>
      </c>
      <c r="C55" s="105" t="str">
        <f>CHOOSE((0 + 1), DataType0, DataType1, DataType2, DataType3, DataType4, DataType5, DataType6, DataType7, DataType8, DataType9)</f>
        <v>DataType1</v>
      </c>
      <c r="D55" s="105" t="str">
        <f>CHOOSE((3+1), Priority0, Priority1, Priority2, Priority3, Priority4, Priority5, Priority6, Priority7, Priority8, Priority9)</f>
        <v>Priority4</v>
      </c>
      <c r="E55" s="105" t="s">
        <v>6220</v>
      </c>
      <c r="F55" s="105" t="str">
        <f>IF(TRUE = TRUE, "Yes", "No")</f>
        <v>Yes</v>
      </c>
      <c r="G55" s="105" t="s">
        <v>5202</v>
      </c>
      <c r="H55" s="105"/>
      <c r="I55" s="127">
        <f>ROUND(0.400000006, 3)</f>
        <v>0.4</v>
      </c>
      <c r="J55" s="127">
        <f>ROUND(CHOOSE((1 + 1), 40 / 1000, 40, 40 * 1000),3)</f>
        <v>40</v>
      </c>
      <c r="K55" s="127" t="str">
        <f>CHOOSE((1 + 1), "MVA", "KVA", "VA")</f>
        <v>KVA</v>
      </c>
      <c r="L55" s="127" t="str">
        <f>FIXED(90, 1)</f>
        <v>90.0</v>
      </c>
      <c r="M55" s="127" t="str">
        <f>IF(0 = 0, "3", "1")</f>
        <v>3</v>
      </c>
      <c r="N55" s="242" t="str">
        <f>IF(0 = 1, CHOOSE((0+1), "A", "B", "C", "AB", "BC", "CA"), "")</f>
        <v/>
      </c>
      <c r="O55" s="242">
        <v>100</v>
      </c>
      <c r="P55" s="242">
        <v>50</v>
      </c>
      <c r="Q55" s="242">
        <v>0</v>
      </c>
      <c r="R55" s="105" t="str">
        <f>IF(0 = 0,CHOOSE((1 + 1), "Y",  "Δ"),"--")</f>
        <v>Δ</v>
      </c>
      <c r="S55" s="127">
        <f>ROUND(0, 0)</f>
        <v>0</v>
      </c>
      <c r="T55" s="127">
        <f>ROUND(600, 1)</f>
        <v>600</v>
      </c>
      <c r="U55" s="105">
        <f>ROUND(2.38000011, 1)</f>
        <v>2.4</v>
      </c>
      <c r="V55" s="127">
        <f>ROUND(20, 0)</f>
        <v>20</v>
      </c>
      <c r="W55" s="127">
        <f>ROUND(50, 0)</f>
        <v>50</v>
      </c>
      <c r="X55" s="105">
        <f>ROUND(10000*2.38000011/(600*SQRT(1+(2.38000011)^2)),3)</f>
        <v>15.365</v>
      </c>
      <c r="Y55" s="127">
        <f>ROUND(0.200000003, 1)</f>
        <v>0.2</v>
      </c>
      <c r="Z55" s="60"/>
      <c r="AA55" s="53" t="s">
        <v>6309</v>
      </c>
    </row>
    <row r="56" spans="1:27">
      <c r="A56" s="105" t="s">
        <v>6310</v>
      </c>
      <c r="B56" s="105" t="str">
        <f>IF(TRIM("BUS_苑7主变_822_1533") = "", "BUS_苑7主变_822_1533", "BUS_苑7主变_822_1533")</f>
        <v>BUS_苑7主变_822_1533</v>
      </c>
      <c r="C56" s="105" t="str">
        <f>CHOOSE((0 + 1), DataType0, DataType1, DataType2, DataType3, DataType4, DataType5, DataType6, DataType7, DataType8, DataType9)</f>
        <v>DataType1</v>
      </c>
      <c r="D56" s="105" t="str">
        <f>CHOOSE((3+1), Priority0, Priority1, Priority2, Priority3, Priority4, Priority5, Priority6, Priority7, Priority8, Priority9)</f>
        <v>Priority4</v>
      </c>
      <c r="E56" s="105" t="s">
        <v>6220</v>
      </c>
      <c r="F56" s="105" t="str">
        <f>IF(TRUE = TRUE, "Yes", "No")</f>
        <v>Yes</v>
      </c>
      <c r="G56" s="105" t="s">
        <v>5202</v>
      </c>
      <c r="H56" s="105"/>
      <c r="I56" s="127">
        <f>ROUND(0.400000006, 3)</f>
        <v>0.4</v>
      </c>
      <c r="J56" s="127">
        <f>ROUND(CHOOSE((1 + 1), 40 / 1000, 40, 40 * 1000),3)</f>
        <v>40</v>
      </c>
      <c r="K56" s="127" t="str">
        <f>CHOOSE((1 + 1), "MVA", "KVA", "VA")</f>
        <v>KVA</v>
      </c>
      <c r="L56" s="127" t="str">
        <f>FIXED(90, 1)</f>
        <v>90.0</v>
      </c>
      <c r="M56" s="127" t="str">
        <f>IF(0 = 0, "3", "1")</f>
        <v>3</v>
      </c>
      <c r="N56" s="242" t="str">
        <f>IF(0 = 1, CHOOSE((0+1), "A", "B", "C", "AB", "BC", "CA"), "")</f>
        <v/>
      </c>
      <c r="O56" s="242">
        <v>100</v>
      </c>
      <c r="P56" s="242">
        <v>50</v>
      </c>
      <c r="Q56" s="242">
        <v>0</v>
      </c>
      <c r="R56" s="105" t="str">
        <f>IF(0 = 0,CHOOSE((1 + 1), "Y",  "Δ"),"--")</f>
        <v>Δ</v>
      </c>
      <c r="S56" s="127">
        <f>ROUND(0, 0)</f>
        <v>0</v>
      </c>
      <c r="T56" s="127">
        <f>ROUND(600, 1)</f>
        <v>600</v>
      </c>
      <c r="U56" s="105">
        <f>ROUND(2.38000011, 1)</f>
        <v>2.4</v>
      </c>
      <c r="V56" s="127">
        <f>ROUND(20, 0)</f>
        <v>20</v>
      </c>
      <c r="W56" s="127">
        <f>ROUND(50, 0)</f>
        <v>50</v>
      </c>
      <c r="X56" s="105">
        <f>ROUND(10000*2.38000011/(600*SQRT(1+(2.38000011)^2)),3)</f>
        <v>15.365</v>
      </c>
      <c r="Y56" s="127">
        <f>ROUND(0.200000003, 1)</f>
        <v>0.2</v>
      </c>
      <c r="Z56" s="60"/>
      <c r="AA56" s="53" t="s">
        <v>6311</v>
      </c>
    </row>
    <row r="57" spans="1:27">
      <c r="A57" s="105" t="s">
        <v>6312</v>
      </c>
      <c r="B57" s="105" t="str">
        <f>IF(TRIM("BUS_苑8主变1变_820_1529") = "", "BUS_苑8主变1变_820_1529", "BUS_苑8主变1变_820_1529")</f>
        <v>BUS_苑8主变1变_820_1529</v>
      </c>
      <c r="C57" s="105" t="str">
        <f>CHOOSE((0 + 1), DataType0, DataType1, DataType2, DataType3, DataType4, DataType5, DataType6, DataType7, DataType8, DataType9)</f>
        <v>DataType1</v>
      </c>
      <c r="D57" s="105" t="str">
        <f>CHOOSE((3+1), Priority0, Priority1, Priority2, Priority3, Priority4, Priority5, Priority6, Priority7, Priority8, Priority9)</f>
        <v>Priority4</v>
      </c>
      <c r="E57" s="105" t="s">
        <v>6220</v>
      </c>
      <c r="F57" s="105" t="str">
        <f>IF(TRUE = TRUE, "Yes", "No")</f>
        <v>Yes</v>
      </c>
      <c r="G57" s="105" t="s">
        <v>5202</v>
      </c>
      <c r="H57" s="105"/>
      <c r="I57" s="127">
        <f>ROUND(0.400000006, 3)</f>
        <v>0.4</v>
      </c>
      <c r="J57" s="127">
        <f>ROUND(CHOOSE((1 + 1), 40 / 1000, 40, 40 * 1000),3)</f>
        <v>40</v>
      </c>
      <c r="K57" s="127" t="str">
        <f>CHOOSE((1 + 1), "MVA", "KVA", "VA")</f>
        <v>KVA</v>
      </c>
      <c r="L57" s="127" t="str">
        <f>FIXED(90, 1)</f>
        <v>90.0</v>
      </c>
      <c r="M57" s="127" t="str">
        <f>IF(0 = 0, "3", "1")</f>
        <v>3</v>
      </c>
      <c r="N57" s="242" t="str">
        <f>IF(0 = 1, CHOOSE((0+1), "A", "B", "C", "AB", "BC", "CA"), "")</f>
        <v/>
      </c>
      <c r="O57" s="242">
        <v>100</v>
      </c>
      <c r="P57" s="242">
        <v>50</v>
      </c>
      <c r="Q57" s="242">
        <v>0</v>
      </c>
      <c r="R57" s="105" t="str">
        <f>IF(0 = 0,CHOOSE((1 + 1), "Y",  "Δ"),"--")</f>
        <v>Δ</v>
      </c>
      <c r="S57" s="127">
        <f>ROUND(0, 0)</f>
        <v>0</v>
      </c>
      <c r="T57" s="127">
        <f>ROUND(600, 1)</f>
        <v>600</v>
      </c>
      <c r="U57" s="105">
        <f>ROUND(2.38000011, 1)</f>
        <v>2.4</v>
      </c>
      <c r="V57" s="127">
        <f>ROUND(20, 0)</f>
        <v>20</v>
      </c>
      <c r="W57" s="127">
        <f>ROUND(50, 0)</f>
        <v>50</v>
      </c>
      <c r="X57" s="105">
        <f>ROUND(10000*2.38000011/(600*SQRT(1+(2.38000011)^2)),3)</f>
        <v>15.365</v>
      </c>
      <c r="Y57" s="127">
        <f>ROUND(0.200000003, 1)</f>
        <v>0.2</v>
      </c>
      <c r="Z57" s="60"/>
      <c r="AA57" s="53" t="s">
        <v>6313</v>
      </c>
    </row>
    <row r="58" spans="1:27">
      <c r="A58" s="105" t="s">
        <v>6314</v>
      </c>
      <c r="B58" s="105" t="str">
        <f>IF(TRIM("BUS_苑8主变2变_821_1531") = "", "BUS_苑8主变2变_821_1531", "BUS_苑8主变2变_821_1531")</f>
        <v>BUS_苑8主变2变_821_1531</v>
      </c>
      <c r="C58" s="105" t="str">
        <f>CHOOSE((0 + 1), DataType0, DataType1, DataType2, DataType3, DataType4, DataType5, DataType6, DataType7, DataType8, DataType9)</f>
        <v>DataType1</v>
      </c>
      <c r="D58" s="105" t="str">
        <f>CHOOSE((3+1), Priority0, Priority1, Priority2, Priority3, Priority4, Priority5, Priority6, Priority7, Priority8, Priority9)</f>
        <v>Priority4</v>
      </c>
      <c r="E58" s="105" t="s">
        <v>6220</v>
      </c>
      <c r="F58" s="105" t="str">
        <f>IF(TRUE = TRUE, "Yes", "No")</f>
        <v>Yes</v>
      </c>
      <c r="G58" s="105" t="s">
        <v>5202</v>
      </c>
      <c r="H58" s="105"/>
      <c r="I58" s="127">
        <f>ROUND(0.400000006, 3)</f>
        <v>0.4</v>
      </c>
      <c r="J58" s="127">
        <f>ROUND(CHOOSE((1 + 1), 40 / 1000, 40, 40 * 1000),3)</f>
        <v>40</v>
      </c>
      <c r="K58" s="127" t="str">
        <f>CHOOSE((1 + 1), "MVA", "KVA", "VA")</f>
        <v>KVA</v>
      </c>
      <c r="L58" s="127" t="str">
        <f>FIXED(90, 1)</f>
        <v>90.0</v>
      </c>
      <c r="M58" s="127" t="str">
        <f>IF(0 = 0, "3", "1")</f>
        <v>3</v>
      </c>
      <c r="N58" s="242" t="str">
        <f>IF(0 = 1, CHOOSE((0+1), "A", "B", "C", "AB", "BC", "CA"), "")</f>
        <v/>
      </c>
      <c r="O58" s="242">
        <v>100</v>
      </c>
      <c r="P58" s="242">
        <v>50</v>
      </c>
      <c r="Q58" s="242">
        <v>0</v>
      </c>
      <c r="R58" s="105" t="str">
        <f>IF(0 = 0,CHOOSE((1 + 1), "Y",  "Δ"),"--")</f>
        <v>Δ</v>
      </c>
      <c r="S58" s="127">
        <f>ROUND(0, 0)</f>
        <v>0</v>
      </c>
      <c r="T58" s="127">
        <f>ROUND(600, 1)</f>
        <v>600</v>
      </c>
      <c r="U58" s="105">
        <f>ROUND(2.38000011, 1)</f>
        <v>2.4</v>
      </c>
      <c r="V58" s="127">
        <f>ROUND(20, 0)</f>
        <v>20</v>
      </c>
      <c r="W58" s="127">
        <f>ROUND(50, 0)</f>
        <v>50</v>
      </c>
      <c r="X58" s="105">
        <f>ROUND(10000*2.38000011/(600*SQRT(1+(2.38000011)^2)),3)</f>
        <v>15.365</v>
      </c>
      <c r="Y58" s="127">
        <f>ROUND(0.200000003, 1)</f>
        <v>0.2</v>
      </c>
      <c r="Z58" s="60"/>
      <c r="AA58" s="53" t="s">
        <v>6315</v>
      </c>
    </row>
    <row r="59" spans="1:27">
      <c r="A59" s="105" t="s">
        <v>6316</v>
      </c>
      <c r="B59" s="105" t="str">
        <f>IF(TRIM("BUS_苑9主变1变_830_1545") = "", "BUS_苑9主变1变_830_1545", "BUS_苑9主变1变_830_1545")</f>
        <v>BUS_苑9主变1变_830_1545</v>
      </c>
      <c r="C59" s="105" t="str">
        <f>CHOOSE((0 + 1), DataType0, DataType1, DataType2, DataType3, DataType4, DataType5, DataType6, DataType7, DataType8, DataType9)</f>
        <v>DataType1</v>
      </c>
      <c r="D59" s="105" t="str">
        <f>CHOOSE((3+1), Priority0, Priority1, Priority2, Priority3, Priority4, Priority5, Priority6, Priority7, Priority8, Priority9)</f>
        <v>Priority4</v>
      </c>
      <c r="E59" s="105" t="s">
        <v>6220</v>
      </c>
      <c r="F59" s="105" t="str">
        <f>IF(TRUE = TRUE, "Yes", "No")</f>
        <v>Yes</v>
      </c>
      <c r="G59" s="105" t="s">
        <v>5202</v>
      </c>
      <c r="H59" s="105"/>
      <c r="I59" s="127">
        <f>ROUND(0.400000006, 3)</f>
        <v>0.4</v>
      </c>
      <c r="J59" s="127">
        <f>ROUND(CHOOSE((1 + 1), 40 / 1000, 40, 40 * 1000),3)</f>
        <v>40</v>
      </c>
      <c r="K59" s="127" t="str">
        <f>CHOOSE((1 + 1), "MVA", "KVA", "VA")</f>
        <v>KVA</v>
      </c>
      <c r="L59" s="127" t="str">
        <f>FIXED(90, 1)</f>
        <v>90.0</v>
      </c>
      <c r="M59" s="127" t="str">
        <f>IF(0 = 0, "3", "1")</f>
        <v>3</v>
      </c>
      <c r="N59" s="242" t="str">
        <f>IF(0 = 1, CHOOSE((0+1), "A", "B", "C", "AB", "BC", "CA"), "")</f>
        <v/>
      </c>
      <c r="O59" s="242">
        <v>100</v>
      </c>
      <c r="P59" s="242">
        <v>50</v>
      </c>
      <c r="Q59" s="242">
        <v>0</v>
      </c>
      <c r="R59" s="105" t="str">
        <f>IF(0 = 0,CHOOSE((1 + 1), "Y",  "Δ"),"--")</f>
        <v>Δ</v>
      </c>
      <c r="S59" s="127">
        <f>ROUND(0, 0)</f>
        <v>0</v>
      </c>
      <c r="T59" s="127">
        <f>ROUND(600, 1)</f>
        <v>600</v>
      </c>
      <c r="U59" s="105">
        <f>ROUND(2.38000011, 1)</f>
        <v>2.4</v>
      </c>
      <c r="V59" s="127">
        <f>ROUND(20, 0)</f>
        <v>20</v>
      </c>
      <c r="W59" s="127">
        <f>ROUND(50, 0)</f>
        <v>50</v>
      </c>
      <c r="X59" s="105">
        <f>ROUND(10000*2.38000011/(600*SQRT(1+(2.38000011)^2)),3)</f>
        <v>15.365</v>
      </c>
      <c r="Y59" s="127">
        <f>ROUND(0.200000003, 1)</f>
        <v>0.2</v>
      </c>
      <c r="Z59" s="60"/>
      <c r="AA59" s="53" t="s">
        <v>6317</v>
      </c>
    </row>
    <row r="60" spans="1:27">
      <c r="A60" s="105" t="s">
        <v>6318</v>
      </c>
      <c r="B60" s="105" t="str">
        <f>IF(TRIM("BUS_苑9主变2变_831_1547") = "", "BUS_苑9主变2变_831_1547", "BUS_苑9主变2变_831_1547")</f>
        <v>BUS_苑9主变2变_831_1547</v>
      </c>
      <c r="C60" s="105" t="str">
        <f>CHOOSE((0 + 1), DataType0, DataType1, DataType2, DataType3, DataType4, DataType5, DataType6, DataType7, DataType8, DataType9)</f>
        <v>DataType1</v>
      </c>
      <c r="D60" s="105" t="str">
        <f>CHOOSE((3+1), Priority0, Priority1, Priority2, Priority3, Priority4, Priority5, Priority6, Priority7, Priority8, Priority9)</f>
        <v>Priority4</v>
      </c>
      <c r="E60" s="105" t="s">
        <v>6220</v>
      </c>
      <c r="F60" s="105" t="str">
        <f>IF(TRUE = TRUE, "Yes", "No")</f>
        <v>Yes</v>
      </c>
      <c r="G60" s="105" t="s">
        <v>5202</v>
      </c>
      <c r="H60" s="105"/>
      <c r="I60" s="127">
        <f>ROUND(0.400000006, 3)</f>
        <v>0.4</v>
      </c>
      <c r="J60" s="127">
        <f>ROUND(CHOOSE((1 + 1), 40 / 1000, 40, 40 * 1000),3)</f>
        <v>40</v>
      </c>
      <c r="K60" s="127" t="str">
        <f>CHOOSE((1 + 1), "MVA", "KVA", "VA")</f>
        <v>KVA</v>
      </c>
      <c r="L60" s="127" t="str">
        <f>FIXED(90, 1)</f>
        <v>90.0</v>
      </c>
      <c r="M60" s="127" t="str">
        <f>IF(0 = 0, "3", "1")</f>
        <v>3</v>
      </c>
      <c r="N60" s="242" t="str">
        <f>IF(0 = 1, CHOOSE((0+1), "A", "B", "C", "AB", "BC", "CA"), "")</f>
        <v/>
      </c>
      <c r="O60" s="242">
        <v>100</v>
      </c>
      <c r="P60" s="242">
        <v>50</v>
      </c>
      <c r="Q60" s="242">
        <v>0</v>
      </c>
      <c r="R60" s="105" t="str">
        <f>IF(0 = 0,CHOOSE((1 + 1), "Y",  "Δ"),"--")</f>
        <v>Δ</v>
      </c>
      <c r="S60" s="127">
        <f>ROUND(0, 0)</f>
        <v>0</v>
      </c>
      <c r="T60" s="127">
        <f>ROUND(600, 1)</f>
        <v>600</v>
      </c>
      <c r="U60" s="105">
        <f>ROUND(2.38000011, 1)</f>
        <v>2.4</v>
      </c>
      <c r="V60" s="127">
        <f>ROUND(20, 0)</f>
        <v>20</v>
      </c>
      <c r="W60" s="127">
        <f>ROUND(50, 0)</f>
        <v>50</v>
      </c>
      <c r="X60" s="105">
        <f>ROUND(10000*2.38000011/(600*SQRT(1+(2.38000011)^2)),3)</f>
        <v>15.365</v>
      </c>
      <c r="Y60" s="127">
        <f>ROUND(0.200000003, 1)</f>
        <v>0.2</v>
      </c>
      <c r="Z60" s="60"/>
      <c r="AA60" s="53" t="s">
        <v>6319</v>
      </c>
    </row>
    <row r="61" spans="1:27">
      <c r="A61" s="105" t="s">
        <v>6320</v>
      </c>
      <c r="B61" s="105" t="str">
        <f>IF(TRIM("BUS_苑菜场配电所_804_1481") = "", "BUS_苑菜场配电所_804_1481", "BUS_苑菜场配电所_804_1481")</f>
        <v>BUS_苑菜场配电所_804_1481</v>
      </c>
      <c r="C61" s="105" t="str">
        <f>CHOOSE((0 + 1), DataType0, DataType1, DataType2, DataType3, DataType4, DataType5, DataType6, DataType7, DataType8, DataType9)</f>
        <v>DataType1</v>
      </c>
      <c r="D61" s="105" t="str">
        <f>CHOOSE((3+1), Priority0, Priority1, Priority2, Priority3, Priority4, Priority5, Priority6, Priority7, Priority8, Priority9)</f>
        <v>Priority4</v>
      </c>
      <c r="E61" s="105" t="s">
        <v>6220</v>
      </c>
      <c r="F61" s="105" t="str">
        <f>IF(TRUE = TRUE, "Yes", "No")</f>
        <v>Yes</v>
      </c>
      <c r="G61" s="105" t="s">
        <v>5202</v>
      </c>
      <c r="H61" s="105"/>
      <c r="I61" s="127">
        <f>ROUND(0.400000006, 3)</f>
        <v>0.4</v>
      </c>
      <c r="J61" s="127">
        <f>ROUND(CHOOSE((1 + 1), 40 / 1000, 40, 40 * 1000),3)</f>
        <v>40</v>
      </c>
      <c r="K61" s="127" t="str">
        <f>CHOOSE((1 + 1), "MVA", "KVA", "VA")</f>
        <v>KVA</v>
      </c>
      <c r="L61" s="127" t="str">
        <f>FIXED(90, 1)</f>
        <v>90.0</v>
      </c>
      <c r="M61" s="127" t="str">
        <f>IF(0 = 0, "3", "1")</f>
        <v>3</v>
      </c>
      <c r="N61" s="242" t="str">
        <f>IF(0 = 1, CHOOSE((0+1), "A", "B", "C", "AB", "BC", "CA"), "")</f>
        <v/>
      </c>
      <c r="O61" s="242">
        <v>100</v>
      </c>
      <c r="P61" s="242">
        <v>50</v>
      </c>
      <c r="Q61" s="242">
        <v>0</v>
      </c>
      <c r="R61" s="105" t="str">
        <f>IF(0 = 0,CHOOSE((1 + 1), "Y",  "Δ"),"--")</f>
        <v>Δ</v>
      </c>
      <c r="S61" s="127">
        <f>ROUND(0, 0)</f>
        <v>0</v>
      </c>
      <c r="T61" s="127">
        <f>ROUND(600, 1)</f>
        <v>600</v>
      </c>
      <c r="U61" s="105">
        <f>ROUND(2.38000011, 1)</f>
        <v>2.4</v>
      </c>
      <c r="V61" s="127">
        <f>ROUND(20, 0)</f>
        <v>20</v>
      </c>
      <c r="W61" s="127">
        <f>ROUND(50, 0)</f>
        <v>50</v>
      </c>
      <c r="X61" s="105">
        <f>ROUND(10000*2.38000011/(600*SQRT(1+(2.38000011)^2)),3)</f>
        <v>15.365</v>
      </c>
      <c r="Y61" s="127">
        <f>ROUND(0.200000003, 1)</f>
        <v>0.2</v>
      </c>
      <c r="Z61" s="60"/>
      <c r="AA61" s="53" t="s">
        <v>6321</v>
      </c>
    </row>
    <row r="62" spans="1:27">
      <c r="A62" s="247"/>
      <c r="AA62" s="249"/>
    </row>
    <row r="63" spans="1:27">
      <c r="A63" s="247"/>
      <c r="AA63" s="249"/>
    </row>
    <row r="64" spans="1:27">
      <c r="A64" s="247"/>
      <c r="AA64" s="249"/>
    </row>
    <row r="65" spans="1:27">
      <c r="A65" s="247"/>
      <c r="AA65" s="249"/>
    </row>
    <row r="66" spans="1:27">
      <c r="A66" s="247"/>
      <c r="AA66" s="249"/>
    </row>
    <row r="67" spans="1:27">
      <c r="A67" s="247"/>
      <c r="AA67" s="249"/>
    </row>
    <row r="68" spans="1:27">
      <c r="A68" s="247"/>
      <c r="AA68" s="249"/>
    </row>
    <row r="69" spans="1:27">
      <c r="A69" s="247"/>
      <c r="AA69" s="249"/>
    </row>
    <row r="70" spans="1:27">
      <c r="A70" s="247"/>
      <c r="AA70" s="249"/>
    </row>
    <row r="71" spans="1:27">
      <c r="A71" s="247"/>
      <c r="AA71" s="249"/>
    </row>
    <row r="72" spans="1:27">
      <c r="A72" s="247"/>
      <c r="AA72" s="249"/>
    </row>
    <row r="73" spans="1:27">
      <c r="A73" s="247"/>
      <c r="AA73" s="249"/>
    </row>
    <row r="74" spans="1:27">
      <c r="A74" s="247"/>
      <c r="AA74" s="249"/>
    </row>
    <row r="75" spans="1:27">
      <c r="A75" s="247"/>
      <c r="AA75" s="249"/>
    </row>
    <row r="76" spans="1:27">
      <c r="A76" s="247"/>
      <c r="AA76" s="249"/>
    </row>
    <row r="77" spans="1:27">
      <c r="A77" s="247"/>
      <c r="AA77" s="249"/>
    </row>
    <row r="78" spans="1:27">
      <c r="A78" s="247"/>
      <c r="AA78" s="249"/>
    </row>
    <row r="79" spans="1:27">
      <c r="A79" s="247"/>
      <c r="AA79" s="249"/>
    </row>
    <row r="80" spans="1:27">
      <c r="A80" s="247"/>
      <c r="AA80" s="249"/>
    </row>
    <row r="81" spans="1:27">
      <c r="A81" s="247"/>
      <c r="AA81" s="249"/>
    </row>
    <row r="82" spans="1:27">
      <c r="A82" s="247"/>
      <c r="AA82" s="249"/>
    </row>
    <row r="83" spans="1:27">
      <c r="A83" s="247"/>
      <c r="AA83" s="249"/>
    </row>
    <row r="84" spans="1:27">
      <c r="A84" s="247"/>
      <c r="AA84" s="249"/>
    </row>
    <row r="85" spans="1:27">
      <c r="A85" s="247"/>
      <c r="AA85" s="249"/>
    </row>
    <row r="86" spans="1:27">
      <c r="A86" s="247"/>
      <c r="AA86" s="249"/>
    </row>
    <row r="87" spans="1:27">
      <c r="A87" s="247"/>
      <c r="AA87" s="249"/>
    </row>
    <row r="88" spans="1:27">
      <c r="A88" s="247"/>
      <c r="AA88" s="249"/>
    </row>
    <row r="89" spans="1:27">
      <c r="A89" s="247"/>
      <c r="AA89" s="249"/>
    </row>
    <row r="90" spans="1:27">
      <c r="A90" s="247"/>
      <c r="AA90" s="249"/>
    </row>
    <row r="91" spans="1:27">
      <c r="A91" s="247"/>
      <c r="AA91" s="249"/>
    </row>
    <row r="92" spans="1:27">
      <c r="A92" s="247"/>
      <c r="AA92" s="249"/>
    </row>
    <row r="93" spans="1:27">
      <c r="A93" s="247"/>
      <c r="AA93" s="249"/>
    </row>
    <row r="94" spans="1:27">
      <c r="A94" s="247"/>
      <c r="AA94" s="249"/>
    </row>
    <row r="95" spans="1:27">
      <c r="A95" s="247"/>
      <c r="AA95" s="249"/>
    </row>
    <row r="96" spans="1:27">
      <c r="A96" s="247"/>
      <c r="AA96" s="249"/>
    </row>
    <row r="97" spans="1:27">
      <c r="A97" s="247"/>
      <c r="AA97" s="249"/>
    </row>
    <row r="98" spans="1:27">
      <c r="A98" s="247"/>
      <c r="AA98" s="249"/>
    </row>
    <row r="99" spans="1:27">
      <c r="A99" s="247"/>
      <c r="AA99" s="249"/>
    </row>
    <row r="100" spans="1:27">
      <c r="A100" s="247"/>
      <c r="AA100" s="249"/>
    </row>
    <row r="101" spans="1:27">
      <c r="A101" s="247"/>
      <c r="AA101" s="249"/>
    </row>
    <row r="102" spans="1:27">
      <c r="A102" s="247"/>
      <c r="AA102" s="249"/>
    </row>
    <row r="103" spans="1:27">
      <c r="A103" s="247"/>
      <c r="AA103" s="249"/>
    </row>
    <row r="104" spans="1:27">
      <c r="A104" s="247"/>
      <c r="AA104" s="249"/>
    </row>
    <row r="105" spans="1:27">
      <c r="A105" s="247"/>
      <c r="AA105" s="249"/>
    </row>
    <row r="106" spans="1:27">
      <c r="A106" s="247"/>
      <c r="AA106" s="249"/>
    </row>
    <row r="107" spans="1:27">
      <c r="A107" s="247"/>
      <c r="AA107" s="249"/>
    </row>
    <row r="108" spans="1:27">
      <c r="A108" s="247"/>
      <c r="AA108" s="249"/>
    </row>
    <row r="109" spans="1:27">
      <c r="A109" s="247"/>
      <c r="AA109" s="249"/>
    </row>
    <row r="110" spans="1:27">
      <c r="A110" s="247"/>
      <c r="AA110" s="249"/>
    </row>
    <row r="111" spans="1:27">
      <c r="A111" s="247"/>
      <c r="AA111" s="249"/>
    </row>
    <row r="112" spans="1:27">
      <c r="A112" s="247"/>
      <c r="AA112" s="249"/>
    </row>
    <row r="113" spans="1:27">
      <c r="A113" s="247"/>
      <c r="AA113" s="249"/>
    </row>
    <row r="114" spans="1:27">
      <c r="A114" s="247"/>
      <c r="AA114" s="249"/>
    </row>
    <row r="115" spans="1:27">
      <c r="A115" s="247"/>
      <c r="AA115" s="249"/>
    </row>
    <row r="116" spans="1:27">
      <c r="A116" s="247"/>
      <c r="AA116" s="249"/>
    </row>
    <row r="117" spans="1:27">
      <c r="A117" s="247"/>
      <c r="AA117" s="249"/>
    </row>
    <row r="118" spans="1:27">
      <c r="A118" s="247"/>
      <c r="AA118" s="249"/>
    </row>
    <row r="119" spans="1:27">
      <c r="A119" s="247"/>
      <c r="AA119" s="249"/>
    </row>
    <row r="120" spans="1:27">
      <c r="A120" s="247"/>
      <c r="AA120" s="249"/>
    </row>
    <row r="121" spans="1:27">
      <c r="A121" s="247"/>
      <c r="AA121" s="249"/>
    </row>
    <row r="122" spans="1:27">
      <c r="A122" s="247"/>
      <c r="AA122" s="249"/>
    </row>
    <row r="123" spans="1:27">
      <c r="A123" s="247"/>
      <c r="AA123" s="249"/>
    </row>
    <row r="124" spans="1:27">
      <c r="A124" s="247"/>
      <c r="AA124" s="249"/>
    </row>
    <row r="125" spans="1:27">
      <c r="A125" s="247"/>
      <c r="AA125" s="249"/>
    </row>
    <row r="126" spans="1:27">
      <c r="A126" s="247"/>
      <c r="AA126" s="249"/>
    </row>
    <row r="127" spans="1:27">
      <c r="A127" s="247"/>
      <c r="AA127" s="249"/>
    </row>
    <row r="128" spans="1:27">
      <c r="A128" s="247"/>
      <c r="AA128" s="249"/>
    </row>
    <row r="129" spans="1:27">
      <c r="A129" s="247"/>
      <c r="AA129" s="249"/>
    </row>
    <row r="130" spans="1:27">
      <c r="A130" s="247"/>
      <c r="AA130" s="249"/>
    </row>
    <row r="131" spans="1:27">
      <c r="A131" s="247"/>
      <c r="AA131" s="249"/>
    </row>
    <row r="132" spans="1:27">
      <c r="A132" s="247"/>
      <c r="AA132" s="249"/>
    </row>
    <row r="133" spans="1:27">
      <c r="A133" s="247"/>
      <c r="AA133" s="249"/>
    </row>
    <row r="134" spans="1:27">
      <c r="A134" s="247"/>
      <c r="AA134" s="249"/>
    </row>
    <row r="135" spans="1:27">
      <c r="A135" s="247"/>
      <c r="AA135" s="249"/>
    </row>
    <row r="136" spans="1:27">
      <c r="A136" s="247"/>
      <c r="AA136" s="249"/>
    </row>
    <row r="137" spans="1:27">
      <c r="A137" s="247"/>
      <c r="AA137" s="249"/>
    </row>
    <row r="138" spans="1:27">
      <c r="A138" s="247"/>
      <c r="AA138" s="249"/>
    </row>
    <row r="139" spans="1:27">
      <c r="A139" s="247"/>
      <c r="AA139" s="249"/>
    </row>
    <row r="140" spans="1:27">
      <c r="A140" s="247"/>
      <c r="AA140" s="249"/>
    </row>
    <row r="141" spans="1:27">
      <c r="A141" s="247"/>
      <c r="AA141" s="249"/>
    </row>
    <row r="142" spans="1:27">
      <c r="A142" s="247"/>
      <c r="AA142" s="249"/>
    </row>
    <row r="143" spans="1:27">
      <c r="A143" s="247"/>
      <c r="AA143" s="249"/>
    </row>
    <row r="144" spans="1:27">
      <c r="A144" s="247"/>
      <c r="AA144" s="249"/>
    </row>
    <row r="145" spans="1:27">
      <c r="A145" s="247"/>
      <c r="AA145" s="249"/>
    </row>
    <row r="146" spans="1:27">
      <c r="A146" s="247"/>
      <c r="AA146" s="249"/>
    </row>
    <row r="147" spans="1:27">
      <c r="A147" s="247"/>
      <c r="AA147" s="249"/>
    </row>
    <row r="148" spans="1:27">
      <c r="A148" s="247"/>
      <c r="AA148" s="249"/>
    </row>
    <row r="149" spans="1:27">
      <c r="A149" s="247"/>
      <c r="AA149" s="249"/>
    </row>
    <row r="150" spans="1:27">
      <c r="A150" s="247"/>
      <c r="AA150" s="249"/>
    </row>
    <row r="151" spans="1:27">
      <c r="A151" s="247"/>
      <c r="AA151" s="249"/>
    </row>
    <row r="152" spans="1:27">
      <c r="A152" s="247"/>
      <c r="AA152" s="249"/>
    </row>
    <row r="153" spans="1:27">
      <c r="A153" s="247"/>
      <c r="AA153" s="249"/>
    </row>
    <row r="154" spans="1:27">
      <c r="A154" s="247"/>
      <c r="AA154" s="249"/>
    </row>
    <row r="155" spans="1:27">
      <c r="A155" s="247"/>
      <c r="AA155" s="249"/>
    </row>
    <row r="156" spans="1:27">
      <c r="A156" s="247"/>
      <c r="AA156" s="249"/>
    </row>
    <row r="157" spans="1:27">
      <c r="A157" s="247"/>
      <c r="AA157" s="249"/>
    </row>
    <row r="158" spans="1:27">
      <c r="A158" s="247"/>
      <c r="AA158" s="249"/>
    </row>
    <row r="159" spans="1:27">
      <c r="A159" s="247"/>
      <c r="AA159" s="249"/>
    </row>
    <row r="160" spans="1:27">
      <c r="A160" s="247"/>
      <c r="AA160" s="249"/>
    </row>
    <row r="161" spans="1:27">
      <c r="A161" s="247"/>
      <c r="AA161" s="249"/>
    </row>
    <row r="162" spans="1:27">
      <c r="A162" s="247"/>
      <c r="AA162" s="249"/>
    </row>
    <row r="163" spans="1:27">
      <c r="A163" s="247"/>
      <c r="AA163" s="249"/>
    </row>
    <row r="164" spans="1:27">
      <c r="A164" s="247"/>
      <c r="AA164" s="249"/>
    </row>
    <row r="165" spans="1:27">
      <c r="A165" s="247"/>
      <c r="AA165" s="249"/>
    </row>
    <row r="166" spans="1:27">
      <c r="A166" s="247"/>
      <c r="AA166" s="249"/>
    </row>
    <row r="167" spans="1:27">
      <c r="A167" s="247"/>
      <c r="AA167" s="249"/>
    </row>
    <row r="168" spans="1:27">
      <c r="A168" s="247"/>
      <c r="AA168" s="249"/>
    </row>
    <row r="169" spans="1:27">
      <c r="A169" s="247"/>
      <c r="AA169" s="249"/>
    </row>
    <row r="170" spans="1:27">
      <c r="A170" s="247"/>
      <c r="AA170" s="249"/>
    </row>
    <row r="171" spans="1:27">
      <c r="A171" s="247"/>
      <c r="AA171" s="249"/>
    </row>
    <row r="172" spans="1:27">
      <c r="A172" s="247"/>
      <c r="AA172" s="249"/>
    </row>
    <row r="173" spans="1:27">
      <c r="A173" s="247"/>
      <c r="AA173" s="249"/>
    </row>
    <row r="174" spans="1:27">
      <c r="A174" s="247"/>
      <c r="AA174" s="249"/>
    </row>
    <row r="175" spans="1:27">
      <c r="A175" s="247"/>
      <c r="AA175" s="249"/>
    </row>
    <row r="176" spans="1:27">
      <c r="A176" s="247"/>
      <c r="AA176" s="249"/>
    </row>
    <row r="177" spans="1:27">
      <c r="A177" s="247"/>
      <c r="AA177" s="249"/>
    </row>
    <row r="178" spans="1:27">
      <c r="A178" s="247"/>
      <c r="AA178" s="249"/>
    </row>
    <row r="179" spans="1:27">
      <c r="A179" s="247"/>
      <c r="AA179" s="249"/>
    </row>
    <row r="180" spans="1:27">
      <c r="A180" s="247"/>
      <c r="AA180" s="249"/>
    </row>
    <row r="181" spans="1:27">
      <c r="A181" s="247"/>
      <c r="AA181" s="249"/>
    </row>
    <row r="182" spans="1:27">
      <c r="A182" s="247"/>
      <c r="AA182" s="249"/>
    </row>
    <row r="183" spans="1:27">
      <c r="A183" s="247"/>
      <c r="AA183" s="249"/>
    </row>
    <row r="184" spans="1:27">
      <c r="A184" s="247"/>
      <c r="AA184" s="249"/>
    </row>
    <row r="185" spans="1:27">
      <c r="A185" s="247"/>
      <c r="AA185" s="249"/>
    </row>
    <row r="186" spans="1:27">
      <c r="A186" s="247"/>
      <c r="AA186" s="249"/>
    </row>
    <row r="187" spans="1:27">
      <c r="A187" s="247"/>
      <c r="AA187" s="249"/>
    </row>
    <row r="188" spans="1:27">
      <c r="A188" s="247"/>
      <c r="AA188" s="249"/>
    </row>
    <row r="189" spans="1:27">
      <c r="A189" s="247"/>
      <c r="AA189" s="249"/>
    </row>
    <row r="190" spans="1:27">
      <c r="A190" s="247"/>
      <c r="AA190" s="249"/>
    </row>
    <row r="191" spans="1:27">
      <c r="A191" s="247"/>
      <c r="AA191" s="249"/>
    </row>
    <row r="192" spans="1:27">
      <c r="A192" s="247"/>
      <c r="AA192" s="249"/>
    </row>
    <row r="193" spans="1:27">
      <c r="A193" s="247"/>
      <c r="AA193" s="249"/>
    </row>
    <row r="194" spans="1:27">
      <c r="A194" s="247"/>
      <c r="AA194" s="249"/>
    </row>
    <row r="195" spans="1:27">
      <c r="A195" s="247"/>
      <c r="AA195" s="249"/>
    </row>
    <row r="196" spans="1:27">
      <c r="A196" s="247"/>
      <c r="AA196" s="249"/>
    </row>
    <row r="197" spans="1:27">
      <c r="A197" s="247"/>
      <c r="AA197" s="249"/>
    </row>
    <row r="198" spans="1:27">
      <c r="A198" s="247"/>
      <c r="AA198" s="249"/>
    </row>
    <row r="199" spans="1:27">
      <c r="A199" s="247"/>
      <c r="AA199" s="249"/>
    </row>
    <row r="200" spans="1:27">
      <c r="A200" s="247"/>
      <c r="AA200" s="249"/>
    </row>
    <row r="201" spans="1:27">
      <c r="A201" s="247"/>
      <c r="AA201" s="249"/>
    </row>
    <row r="202" spans="1:27">
      <c r="A202" s="247"/>
      <c r="AA202" s="249"/>
    </row>
    <row r="203" spans="1:27">
      <c r="A203" s="247"/>
      <c r="AA203" s="249"/>
    </row>
    <row r="204" spans="1:27">
      <c r="A204" s="247"/>
      <c r="AA204" s="249"/>
    </row>
    <row r="205" spans="1:27">
      <c r="A205" s="247"/>
      <c r="AA205" s="249"/>
    </row>
    <row r="206" spans="1:27">
      <c r="A206" s="247"/>
      <c r="AA206" s="249"/>
    </row>
    <row r="207" spans="1:27">
      <c r="A207" s="247"/>
      <c r="AA207" s="249"/>
    </row>
    <row r="208" spans="1:27">
      <c r="A208" s="247"/>
      <c r="AA208" s="249"/>
    </row>
    <row r="209" spans="1:27">
      <c r="A209" s="247"/>
      <c r="AA209" s="249"/>
    </row>
    <row r="210" spans="1:27">
      <c r="A210" s="247"/>
      <c r="AA210" s="249"/>
    </row>
    <row r="211" spans="1:27">
      <c r="A211" s="247"/>
      <c r="AA211" s="249"/>
    </row>
    <row r="212" spans="1:27">
      <c r="A212" s="247"/>
      <c r="AA212" s="249"/>
    </row>
    <row r="213" spans="1:27">
      <c r="A213" s="247"/>
      <c r="AA213" s="249"/>
    </row>
    <row r="214" spans="1:27">
      <c r="A214" s="247"/>
      <c r="AA214" s="249"/>
    </row>
    <row r="215" spans="1:27">
      <c r="A215" s="247"/>
      <c r="AA215" s="249"/>
    </row>
    <row r="216" spans="1:27">
      <c r="A216" s="247"/>
      <c r="AA216" s="249"/>
    </row>
    <row r="217" spans="1:27">
      <c r="A217" s="247"/>
      <c r="AA217" s="249"/>
    </row>
    <row r="218" spans="1:27">
      <c r="A218" s="247"/>
      <c r="AA218" s="249"/>
    </row>
    <row r="219" spans="1:27">
      <c r="A219" s="247"/>
      <c r="AA219" s="249"/>
    </row>
    <row r="220" spans="1:27">
      <c r="A220" s="247"/>
      <c r="AA220" s="249"/>
    </row>
    <row r="221" spans="1:27">
      <c r="A221" s="247"/>
      <c r="AA221" s="249"/>
    </row>
    <row r="222" spans="1:27">
      <c r="A222" s="247"/>
      <c r="AA222" s="249"/>
    </row>
    <row r="223" spans="1:27">
      <c r="A223" s="247"/>
      <c r="AA223" s="249"/>
    </row>
    <row r="224" spans="1:27">
      <c r="A224" s="247"/>
      <c r="AA224" s="249"/>
    </row>
    <row r="225" spans="1:27">
      <c r="A225" s="247"/>
      <c r="AA225" s="249"/>
    </row>
    <row r="226" spans="1:27">
      <c r="A226" s="247"/>
      <c r="AA226" s="249"/>
    </row>
    <row r="227" spans="1:27">
      <c r="A227" s="247"/>
      <c r="AA227" s="249"/>
    </row>
    <row r="228" spans="1:27">
      <c r="A228" s="247"/>
      <c r="AA228" s="249"/>
    </row>
    <row r="229" spans="1:27">
      <c r="A229" s="247"/>
      <c r="AA229" s="249"/>
    </row>
    <row r="230" spans="1:27">
      <c r="A230" s="247"/>
      <c r="AA230" s="249"/>
    </row>
    <row r="231" spans="1:27">
      <c r="A231" s="247"/>
      <c r="AA231" s="249"/>
    </row>
    <row r="232" spans="1:27">
      <c r="A232" s="247"/>
      <c r="AA232" s="249"/>
    </row>
    <row r="233" spans="1:27">
      <c r="A233" s="247"/>
      <c r="AA233" s="249"/>
    </row>
    <row r="234" spans="1:27">
      <c r="A234" s="247"/>
      <c r="AA234" s="249"/>
    </row>
    <row r="235" spans="1:27">
      <c r="A235" s="247"/>
      <c r="AA235" s="249"/>
    </row>
    <row r="236" spans="1:27">
      <c r="A236" s="247"/>
      <c r="AA236" s="249"/>
    </row>
    <row r="237" spans="1:27">
      <c r="A237" s="247"/>
      <c r="AA237" s="249"/>
    </row>
    <row r="238" spans="1:27">
      <c r="A238" s="247"/>
      <c r="AA238" s="249"/>
    </row>
    <row r="239" spans="1:27">
      <c r="A239" s="247"/>
      <c r="AA239" s="249"/>
    </row>
    <row r="240" spans="1:27">
      <c r="A240" s="247"/>
      <c r="AA240" s="249"/>
    </row>
    <row r="241" spans="1:27">
      <c r="A241" s="247"/>
      <c r="AA241" s="249"/>
    </row>
    <row r="242" spans="1:27">
      <c r="A242" s="247"/>
      <c r="AA242" s="249"/>
    </row>
    <row r="243" spans="1:27">
      <c r="A243" s="247"/>
      <c r="AA243" s="249"/>
    </row>
    <row r="244" spans="1:27">
      <c r="A244" s="247"/>
      <c r="AA244" s="249"/>
    </row>
    <row r="245" spans="1:27">
      <c r="A245" s="247"/>
      <c r="AA245" s="249"/>
    </row>
    <row r="246" spans="1:27">
      <c r="A246" s="247"/>
      <c r="AA246" s="249"/>
    </row>
    <row r="247" spans="1:27">
      <c r="A247" s="247"/>
      <c r="AA247" s="249"/>
    </row>
    <row r="248" spans="1:27">
      <c r="A248" s="247"/>
      <c r="AA248" s="249"/>
    </row>
    <row r="249" spans="1:27">
      <c r="A249" s="247"/>
      <c r="AA249" s="249"/>
    </row>
    <row r="250" spans="1:27">
      <c r="A250" s="247"/>
      <c r="AA250" s="249"/>
    </row>
    <row r="251" spans="1:27">
      <c r="A251" s="247"/>
      <c r="AA251" s="249"/>
    </row>
    <row r="252" spans="1:27">
      <c r="A252" s="247"/>
      <c r="AA252" s="249"/>
    </row>
    <row r="253" spans="1:27">
      <c r="A253" s="247"/>
      <c r="AA253" s="249"/>
    </row>
    <row r="254" spans="1:27">
      <c r="A254" s="247"/>
      <c r="AA254" s="249"/>
    </row>
    <row r="255" spans="1:27">
      <c r="A255" s="247"/>
      <c r="AA255" s="249"/>
    </row>
    <row r="256" spans="1:27">
      <c r="A256" s="247"/>
      <c r="AA256" s="249"/>
    </row>
    <row r="257" spans="1:27">
      <c r="A257" s="247"/>
      <c r="AA257" s="249"/>
    </row>
    <row r="258" spans="1:27">
      <c r="A258" s="247"/>
      <c r="AA258" s="249"/>
    </row>
    <row r="259" spans="1:27">
      <c r="A259" s="247"/>
      <c r="AA259" s="249"/>
    </row>
    <row r="260" spans="1:27">
      <c r="A260" s="247"/>
      <c r="AA260" s="249"/>
    </row>
    <row r="261" spans="1:27">
      <c r="A261" s="247"/>
      <c r="AA261" s="249"/>
    </row>
    <row r="262" spans="1:27">
      <c r="A262" s="247"/>
      <c r="AA262" s="249"/>
    </row>
    <row r="263" spans="1:27">
      <c r="A263" s="247"/>
      <c r="AA263" s="249"/>
    </row>
    <row r="264" spans="1:27">
      <c r="A264" s="247"/>
      <c r="AA264" s="249"/>
    </row>
    <row r="265" spans="1:27">
      <c r="A265" s="247"/>
      <c r="AA265" s="249"/>
    </row>
    <row r="266" spans="1:27">
      <c r="A266" s="247"/>
      <c r="AA266" s="249"/>
    </row>
    <row r="267" spans="1:27">
      <c r="A267" s="247"/>
      <c r="AA267" s="249"/>
    </row>
    <row r="268" spans="1:27">
      <c r="A268" s="247"/>
      <c r="AA268" s="249"/>
    </row>
    <row r="269" spans="1:27">
      <c r="A269" s="247"/>
      <c r="AA269" s="249"/>
    </row>
    <row r="270" spans="1:27">
      <c r="A270" s="247"/>
      <c r="AA270" s="249"/>
    </row>
    <row r="271" spans="1:27">
      <c r="A271" s="247"/>
      <c r="AA271" s="249"/>
    </row>
    <row r="272" spans="1:27">
      <c r="A272" s="247"/>
      <c r="AA272" s="249"/>
    </row>
    <row r="273" spans="1:27">
      <c r="A273" s="247"/>
      <c r="AA273" s="249"/>
    </row>
    <row r="274" spans="1:27">
      <c r="A274" s="247"/>
      <c r="AA274" s="249"/>
    </row>
    <row r="275" spans="1:27">
      <c r="A275" s="247"/>
      <c r="AA275" s="249"/>
    </row>
    <row r="276" spans="1:27">
      <c r="A276" s="247"/>
      <c r="AA276" s="249"/>
    </row>
    <row r="277" spans="1:27">
      <c r="A277" s="247"/>
      <c r="AA277" s="249"/>
    </row>
    <row r="278" spans="1:27">
      <c r="A278" s="247"/>
      <c r="AA278" s="249"/>
    </row>
    <row r="279" spans="1:27">
      <c r="A279" s="247"/>
      <c r="AA279" s="249"/>
    </row>
    <row r="280" spans="1:27">
      <c r="A280" s="247"/>
      <c r="AA280" s="249"/>
    </row>
    <row r="281" spans="1:27">
      <c r="A281" s="247"/>
      <c r="AA281" s="249"/>
    </row>
    <row r="282" spans="1:27">
      <c r="A282" s="247"/>
      <c r="AA282" s="249"/>
    </row>
    <row r="283" spans="1:27">
      <c r="A283" s="247"/>
      <c r="AA283" s="249"/>
    </row>
    <row r="284" spans="1:27">
      <c r="A284" s="247"/>
      <c r="AA284" s="249"/>
    </row>
    <row r="285" spans="1:27">
      <c r="A285" s="247"/>
      <c r="AA285" s="249"/>
    </row>
    <row r="286" spans="1:27">
      <c r="A286" s="247"/>
      <c r="AA286" s="249"/>
    </row>
    <row r="287" spans="1:27">
      <c r="A287" s="247"/>
      <c r="AA287" s="249"/>
    </row>
    <row r="288" spans="1:27">
      <c r="A288" s="247"/>
      <c r="AA288" s="249"/>
    </row>
    <row r="289" spans="1:27">
      <c r="A289" s="247"/>
      <c r="AA289" s="249"/>
    </row>
    <row r="290" spans="1:27">
      <c r="A290" s="247"/>
      <c r="AA290" s="249"/>
    </row>
    <row r="291" spans="1:27">
      <c r="A291" s="247"/>
      <c r="AA291" s="249"/>
    </row>
    <row r="292" spans="1:27">
      <c r="A292" s="247"/>
      <c r="AA292" s="249"/>
    </row>
    <row r="293" spans="1:27">
      <c r="A293" s="247"/>
      <c r="AA293" s="249"/>
    </row>
    <row r="294" spans="1:27">
      <c r="A294" s="247"/>
      <c r="AA294" s="249"/>
    </row>
    <row r="295" spans="1:27">
      <c r="A295" s="247"/>
      <c r="AA295" s="249"/>
    </row>
    <row r="296" spans="1:27">
      <c r="A296" s="247"/>
      <c r="AA296" s="249"/>
    </row>
    <row r="297" spans="1:27">
      <c r="A297" s="247"/>
      <c r="AA297" s="249"/>
    </row>
    <row r="298" spans="1:27">
      <c r="A298" s="247"/>
      <c r="AA298" s="249"/>
    </row>
    <row r="299" spans="1:27">
      <c r="A299" s="247"/>
      <c r="AA299" s="249"/>
    </row>
    <row r="300" spans="1:27">
      <c r="A300" s="247"/>
      <c r="AA300" s="249"/>
    </row>
    <row r="301" spans="1:27">
      <c r="A301" s="247"/>
      <c r="AA301" s="249"/>
    </row>
    <row r="302" spans="1:27">
      <c r="A302" s="247"/>
      <c r="AA302" s="249"/>
    </row>
    <row r="303" spans="1:27">
      <c r="A303" s="247"/>
      <c r="AA303" s="249"/>
    </row>
    <row r="304" spans="1:27">
      <c r="A304" s="247"/>
      <c r="AA304" s="249"/>
    </row>
    <row r="305" spans="1:27">
      <c r="A305" s="247"/>
      <c r="AA305" s="249"/>
    </row>
    <row r="306" spans="1:27">
      <c r="A306" s="247"/>
      <c r="AA306" s="249"/>
    </row>
    <row r="307" spans="1:27">
      <c r="A307" s="247"/>
      <c r="AA307" s="249"/>
    </row>
    <row r="308" spans="1:27">
      <c r="A308" s="247"/>
      <c r="AA308" s="249"/>
    </row>
    <row r="309" spans="1:27">
      <c r="A309" s="247"/>
      <c r="AA309" s="249"/>
    </row>
    <row r="310" spans="1:27">
      <c r="A310" s="247"/>
      <c r="AA310" s="249"/>
    </row>
    <row r="311" spans="1:27">
      <c r="A311" s="247"/>
      <c r="AA311" s="249"/>
    </row>
    <row r="312" spans="1:27">
      <c r="A312" s="247"/>
      <c r="AA312" s="249"/>
    </row>
    <row r="313" spans="1:27">
      <c r="A313" s="247"/>
      <c r="AA313" s="249"/>
    </row>
    <row r="314" spans="1:27">
      <c r="A314" s="247"/>
      <c r="AA314" s="249"/>
    </row>
    <row r="315" spans="1:27">
      <c r="A315" s="247"/>
      <c r="AA315" s="249"/>
    </row>
    <row r="316" spans="1:27">
      <c r="A316" s="247"/>
      <c r="AA316" s="249"/>
    </row>
    <row r="317" spans="1:27">
      <c r="A317" s="247"/>
      <c r="AA317" s="249"/>
    </row>
    <row r="318" spans="1:27">
      <c r="A318" s="247"/>
      <c r="AA318" s="249"/>
    </row>
    <row r="319" spans="1:27">
      <c r="A319" s="247"/>
      <c r="AA319" s="249"/>
    </row>
    <row r="320" spans="1:27">
      <c r="A320" s="248"/>
      <c r="AA320" s="249"/>
    </row>
    <row r="321" spans="1:27">
      <c r="A321" s="248"/>
      <c r="AA321" s="249"/>
    </row>
    <row r="322" spans="1:27">
      <c r="A322" s="248"/>
      <c r="AA322" s="249"/>
    </row>
    <row r="323" spans="1:27">
      <c r="A323" s="248"/>
      <c r="AA323" s="249"/>
    </row>
    <row r="324" spans="1:27">
      <c r="A324" s="248"/>
      <c r="AA324" s="249"/>
    </row>
    <row r="325" spans="1:27">
      <c r="A325" s="248"/>
      <c r="AA325" s="249"/>
    </row>
  </sheetData>
  <sheetProtection sheet="1" objects="1" scenarios="1"/>
  <protectedRanges>
    <protectedRange sqref="AA7:AA10" name="Range1_1"/>
  </protectedRanges>
  <mergeCells count="37">
    <mergeCell ref="K7:K9"/>
    <mergeCell ref="T7:T9"/>
    <mergeCell ref="S7:S9"/>
    <mergeCell ref="R7:R9"/>
    <mergeCell ref="E7:E9"/>
    <mergeCell ref="F7:F9"/>
    <mergeCell ref="I7:I9"/>
    <mergeCell ref="J7:J9"/>
    <mergeCell ref="L7:L9"/>
    <mergeCell ref="M7:M9"/>
    <mergeCell ref="N7:N9"/>
    <mergeCell ref="X8:X9"/>
    <mergeCell ref="Y8:Y9"/>
    <mergeCell ref="V7:W7"/>
    <mergeCell ref="V8:V9"/>
    <mergeCell ref="W8:W9"/>
    <mergeCell ref="U7:U9"/>
    <mergeCell ref="O7:O9"/>
    <mergeCell ref="P7:P9"/>
    <mergeCell ref="Q7:Q9"/>
    <mergeCell ref="C3:I3"/>
    <mergeCell ref="C4:I4"/>
    <mergeCell ref="M1:N4"/>
    <mergeCell ref="K3:L3"/>
    <mergeCell ref="K4:L4"/>
    <mergeCell ref="C1:L1"/>
    <mergeCell ref="C2:L2"/>
    <mergeCell ref="D7:D9"/>
    <mergeCell ref="B7:B9"/>
    <mergeCell ref="C7:C9"/>
    <mergeCell ref="AA7:AA9"/>
    <mergeCell ref="A5:N5"/>
    <mergeCell ref="A7:A9"/>
    <mergeCell ref="G7:G9"/>
    <mergeCell ref="H7:H9"/>
    <mergeCell ref="Z7:Z9"/>
    <mergeCell ref="X7:Y7"/>
  </mergeCells>
  <phoneticPr fontId="2" type="noConversion"/>
  <dataValidations count="3">
    <dataValidation type="list" allowBlank="1" showInputMessage="1" showErrorMessage="1" sqref="AI10:ID10">
      <formula1>AH13:AH325</formula1>
    </dataValidation>
    <dataValidation type="list" allowBlank="1" showInputMessage="1" showErrorMessage="1" sqref="IV10">
      <formula1>R13:IV325</formula1>
    </dataValidation>
    <dataValidation type="list" allowBlank="1" showInputMessage="1" showErrorMessage="1" sqref="IE10:IU10">
      <formula1>A13:ID325</formula1>
    </dataValidation>
  </dataValidations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5"/>
  <sheetViews>
    <sheetView workbookViewId="0">
      <pane xSplit="1" ySplit="9" topLeftCell="C10" activePane="bottomRight" state="frozen"/>
      <selection pane="topRight" activeCell="B1" sqref="B1"/>
      <selection pane="bottomLeft" activeCell="A10" sqref="A10"/>
      <selection pane="bottomRight" activeCell="M10" sqref="M10"/>
    </sheetView>
  </sheetViews>
  <sheetFormatPr defaultColWidth="9.1796875" defaultRowHeight="12.5"/>
  <cols>
    <col min="1" max="1" width="20" style="4" customWidth="1"/>
    <col min="2" max="2" width="14.26953125" style="4" customWidth="1"/>
    <col min="3" max="3" width="14.1796875" style="4" customWidth="1"/>
    <col min="4" max="4" width="18" style="4" customWidth="1"/>
    <col min="5" max="6" width="11.26953125" style="4" customWidth="1"/>
    <col min="7" max="7" width="29.1796875" style="4" customWidth="1"/>
    <col min="8" max="9" width="9.81640625" style="4" customWidth="1"/>
    <col min="10" max="10" width="8.453125" style="4" customWidth="1"/>
    <col min="11" max="11" width="7.26953125" style="4" customWidth="1"/>
    <col min="12" max="12" width="22.1796875" style="4" customWidth="1"/>
    <col min="13" max="13" width="27.26953125" style="4" customWidth="1"/>
    <col min="14" max="14" width="7" style="4" customWidth="1"/>
    <col min="15" max="16" width="7.81640625" style="4" customWidth="1"/>
    <col min="17" max="17" width="12.26953125" style="4" customWidth="1"/>
    <col min="18" max="18" width="10.54296875" style="4" customWidth="1"/>
    <col min="19" max="16384" width="9.1796875" style="4"/>
  </cols>
  <sheetData>
    <row r="1" spans="1:18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7"/>
      <c r="L1" s="166"/>
      <c r="M1" s="167"/>
      <c r="N1" s="17"/>
      <c r="O1" s="17"/>
      <c r="P1" s="17"/>
      <c r="Q1" s="17"/>
    </row>
    <row r="2" spans="1:18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60"/>
      <c r="L2" s="168"/>
      <c r="M2" s="169"/>
    </row>
    <row r="3" spans="1:18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60"/>
      <c r="H3" s="3" t="s">
        <v>1510</v>
      </c>
      <c r="I3" s="3"/>
      <c r="J3" s="164" t="str">
        <f>_FormulaHelpers_!B48</f>
        <v>Base</v>
      </c>
      <c r="K3" s="164"/>
      <c r="L3" s="168"/>
      <c r="M3" s="169"/>
    </row>
    <row r="4" spans="1:18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3"/>
      <c r="H4" s="3" t="s">
        <v>1795</v>
      </c>
      <c r="I4" s="3"/>
      <c r="J4" s="164" t="str">
        <f>_FormulaHelpers_!B52</f>
        <v>Normal</v>
      </c>
      <c r="K4" s="164"/>
      <c r="L4" s="170"/>
      <c r="M4" s="171"/>
    </row>
    <row r="5" spans="1:18" ht="18.75" customHeight="1">
      <c r="A5" s="154" t="s">
        <v>1128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7"/>
      <c r="O5" s="17"/>
      <c r="P5" s="17"/>
      <c r="Q5" s="17"/>
    </row>
    <row r="7" spans="1:18" s="15" customFormat="1" ht="15" customHeight="1">
      <c r="A7" s="149" t="s">
        <v>1576</v>
      </c>
      <c r="B7" s="149" t="s">
        <v>2230</v>
      </c>
      <c r="C7" s="150" t="s">
        <v>2152</v>
      </c>
      <c r="D7" s="149" t="s">
        <v>2240</v>
      </c>
      <c r="E7" s="149" t="s">
        <v>1852</v>
      </c>
      <c r="F7" s="149" t="s">
        <v>1734</v>
      </c>
      <c r="G7" s="149" t="s">
        <v>1512</v>
      </c>
      <c r="H7" s="149" t="s">
        <v>2264</v>
      </c>
      <c r="I7" s="149"/>
      <c r="J7" s="149" t="s">
        <v>847</v>
      </c>
      <c r="K7" s="149" t="s">
        <v>1187</v>
      </c>
      <c r="L7" s="149" t="s">
        <v>12</v>
      </c>
      <c r="M7" s="146" t="s">
        <v>2223</v>
      </c>
      <c r="N7"/>
      <c r="O7"/>
      <c r="P7"/>
      <c r="Q7"/>
      <c r="R7"/>
    </row>
    <row r="8" spans="1:18" s="15" customFormat="1" ht="15" customHeight="1">
      <c r="A8" s="149"/>
      <c r="B8" s="149"/>
      <c r="C8" s="151"/>
      <c r="D8" s="149"/>
      <c r="E8" s="149"/>
      <c r="F8" s="149"/>
      <c r="G8" s="149"/>
      <c r="H8" s="149" t="s">
        <v>2167</v>
      </c>
      <c r="I8" s="149" t="s">
        <v>2166</v>
      </c>
      <c r="J8" s="149"/>
      <c r="K8" s="149"/>
      <c r="L8" s="149"/>
      <c r="M8" s="147"/>
      <c r="N8"/>
      <c r="O8"/>
      <c r="P8"/>
      <c r="Q8"/>
      <c r="R8"/>
    </row>
    <row r="9" spans="1:18" s="15" customFormat="1" ht="15" customHeight="1">
      <c r="A9" s="149"/>
      <c r="B9" s="149"/>
      <c r="C9" s="152"/>
      <c r="D9" s="149"/>
      <c r="E9" s="149"/>
      <c r="F9" s="149"/>
      <c r="G9" s="149"/>
      <c r="H9" s="149"/>
      <c r="I9" s="149"/>
      <c r="J9" s="149"/>
      <c r="K9" s="149"/>
      <c r="L9" s="149"/>
      <c r="M9" s="148"/>
      <c r="N9"/>
      <c r="O9"/>
      <c r="P9"/>
      <c r="Q9"/>
      <c r="R9"/>
    </row>
    <row r="10" spans="1:18" ht="15" customHeight="1">
      <c r="A10" s="13" t="s">
        <v>1853</v>
      </c>
      <c r="B10" s="13" t="s">
        <v>2231</v>
      </c>
      <c r="C10" s="13" t="s">
        <v>2153</v>
      </c>
      <c r="D10" s="13" t="s">
        <v>2273</v>
      </c>
      <c r="E10" s="13" t="s">
        <v>1859</v>
      </c>
      <c r="F10" s="13" t="s">
        <v>1860</v>
      </c>
      <c r="G10" s="13" t="s">
        <v>1854</v>
      </c>
      <c r="H10" s="36" t="s">
        <v>1186</v>
      </c>
      <c r="I10" s="30" t="s">
        <v>2265</v>
      </c>
      <c r="J10" s="29" t="s">
        <v>2232</v>
      </c>
      <c r="K10" s="14" t="s">
        <v>1188</v>
      </c>
      <c r="L10" s="40" t="s">
        <v>571</v>
      </c>
      <c r="M10" s="53" t="s">
        <v>2224</v>
      </c>
      <c r="N10"/>
      <c r="O10"/>
      <c r="P10"/>
      <c r="Q10"/>
      <c r="R10"/>
    </row>
    <row r="12" spans="1:18" ht="13">
      <c r="A12" s="6"/>
      <c r="H12" s="20"/>
      <c r="I12" s="20"/>
    </row>
    <row r="13" spans="1:18">
      <c r="A13" s="7"/>
    </row>
    <row r="14" spans="1:18">
      <c r="A14" s="7"/>
    </row>
    <row r="15" spans="1:18">
      <c r="A15" s="7"/>
    </row>
    <row r="16" spans="1:18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M7:M10" name="Range1_1"/>
  </protectedRanges>
  <mergeCells count="22">
    <mergeCell ref="J4:K4"/>
    <mergeCell ref="C1:K1"/>
    <mergeCell ref="E7:E9"/>
    <mergeCell ref="F7:F9"/>
    <mergeCell ref="C2:K2"/>
    <mergeCell ref="H7:I7"/>
    <mergeCell ref="L1:M4"/>
    <mergeCell ref="J3:K3"/>
    <mergeCell ref="C3:G3"/>
    <mergeCell ref="C4:G4"/>
    <mergeCell ref="K7:K9"/>
    <mergeCell ref="D7:D9"/>
    <mergeCell ref="B7:B9"/>
    <mergeCell ref="C7:C9"/>
    <mergeCell ref="A5:M5"/>
    <mergeCell ref="A7:A9"/>
    <mergeCell ref="H8:H9"/>
    <mergeCell ref="I8:I9"/>
    <mergeCell ref="M7:M9"/>
    <mergeCell ref="L7:L9"/>
    <mergeCell ref="G7:G9"/>
    <mergeCell ref="J7:J9"/>
  </mergeCells>
  <phoneticPr fontId="2" type="noConversion"/>
  <dataValidations disablePrompts="1" count="2">
    <dataValidation type="list" allowBlank="1" showInputMessage="1" showErrorMessage="1" sqref="HX10:IV10">
      <formula1>HX13:IT325</formula1>
    </dataValidation>
    <dataValidation type="list" allowBlank="1" showInputMessage="1" showErrorMessage="1" sqref="S10:HW10">
      <formula1>S13:S325</formula1>
    </dataValidation>
  </dataValidations>
  <pageMargins left="0.75" right="0.75" top="1" bottom="1" header="0.5" footer="0.5"/>
  <pageSetup scale="31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325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C30" sqref="AC30"/>
    </sheetView>
  </sheetViews>
  <sheetFormatPr defaultColWidth="9.1796875" defaultRowHeight="12.5"/>
  <cols>
    <col min="1" max="1" width="20" style="4" customWidth="1"/>
    <col min="2" max="2" width="14.26953125" style="4" customWidth="1"/>
    <col min="3" max="3" width="18" style="4" customWidth="1"/>
    <col min="4" max="5" width="11.26953125" style="4" customWidth="1"/>
    <col min="6" max="6" width="7.453125" style="4" customWidth="1"/>
    <col min="7" max="8" width="12.7265625" style="4" customWidth="1"/>
    <col min="9" max="9" width="29.1796875" style="4" customWidth="1"/>
    <col min="10" max="10" width="9.81640625" style="4" customWidth="1"/>
    <col min="11" max="11" width="8.453125" style="4" customWidth="1"/>
    <col min="12" max="12" width="7.26953125" style="4" customWidth="1"/>
    <col min="13" max="13" width="9.81640625" style="4" customWidth="1"/>
    <col min="14" max="14" width="7.7265625" style="4" customWidth="1"/>
    <col min="15" max="15" width="12" style="4" customWidth="1"/>
    <col min="16" max="16" width="7" style="4" customWidth="1"/>
    <col min="17" max="17" width="9.26953125" style="4" customWidth="1"/>
    <col min="18" max="18" width="10.26953125" style="4" customWidth="1"/>
    <col min="19" max="25" width="7.81640625" style="4" customWidth="1"/>
    <col min="26" max="28" width="9.7265625" style="4" customWidth="1"/>
    <col min="29" max="29" width="12.26953125" style="4" customWidth="1"/>
    <col min="30" max="30" width="10.7265625" style="4" customWidth="1"/>
    <col min="31" max="33" width="9.1796875" style="4"/>
    <col min="34" max="34" width="11.453125" style="4" customWidth="1"/>
    <col min="35" max="35" width="28.1796875" style="4" customWidth="1"/>
    <col min="36" max="36" width="25.1796875" style="4" customWidth="1"/>
    <col min="37" max="37" width="12" style="4" bestFit="1" customWidth="1"/>
    <col min="38" max="38" width="12.1796875" style="4" bestFit="1" customWidth="1"/>
    <col min="39" max="39" width="6.1796875" style="4" bestFit="1" customWidth="1"/>
    <col min="40" max="40" width="9.81640625" style="4" bestFit="1" customWidth="1"/>
    <col min="41" max="41" width="13.1796875" style="4" bestFit="1" customWidth="1"/>
    <col min="42" max="16384" width="9.1796875" style="4"/>
  </cols>
  <sheetData>
    <row r="1" spans="1:41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7"/>
      <c r="M1" s="166"/>
      <c r="N1" s="16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41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60"/>
      <c r="M2" s="168"/>
      <c r="N2" s="169"/>
    </row>
    <row r="3" spans="1:41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60"/>
      <c r="J3" s="3" t="s">
        <v>1510</v>
      </c>
      <c r="K3" s="164" t="str">
        <f>_FormulaHelpers_!B48</f>
        <v>Base</v>
      </c>
      <c r="L3" s="164"/>
      <c r="M3" s="168"/>
      <c r="N3" s="169"/>
    </row>
    <row r="4" spans="1:41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3"/>
      <c r="J4" s="3" t="s">
        <v>1795</v>
      </c>
      <c r="K4" s="164" t="str">
        <f>_FormulaHelpers_!B52</f>
        <v>Normal</v>
      </c>
      <c r="L4" s="164"/>
      <c r="M4" s="170"/>
      <c r="N4" s="171"/>
    </row>
    <row r="5" spans="1:41" ht="18.75" customHeight="1">
      <c r="A5" s="154" t="s">
        <v>947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39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7" spans="1:41" s="15" customFormat="1" ht="15" customHeight="1">
      <c r="A7" s="149" t="s">
        <v>1922</v>
      </c>
      <c r="B7" s="149" t="s">
        <v>1511</v>
      </c>
      <c r="C7" s="149" t="s">
        <v>2240</v>
      </c>
      <c r="D7" s="149" t="s">
        <v>1852</v>
      </c>
      <c r="E7" s="149" t="s">
        <v>1734</v>
      </c>
      <c r="F7" s="149" t="s">
        <v>985</v>
      </c>
      <c r="G7" s="149" t="s">
        <v>2230</v>
      </c>
      <c r="H7" s="150" t="s">
        <v>2152</v>
      </c>
      <c r="I7" s="149" t="s">
        <v>1512</v>
      </c>
      <c r="J7" s="149" t="s">
        <v>2238</v>
      </c>
      <c r="K7" s="149" t="s">
        <v>2264</v>
      </c>
      <c r="L7" s="149"/>
      <c r="M7" s="149" t="s">
        <v>986</v>
      </c>
      <c r="N7" s="149" t="s">
        <v>1602</v>
      </c>
      <c r="O7" s="149" t="s">
        <v>1883</v>
      </c>
      <c r="P7" s="149" t="s">
        <v>988</v>
      </c>
      <c r="Q7" s="149" t="s">
        <v>990</v>
      </c>
      <c r="R7" s="150" t="s">
        <v>991</v>
      </c>
      <c r="S7" s="149" t="s">
        <v>1888</v>
      </c>
      <c r="T7" s="149" t="s">
        <v>1042</v>
      </c>
      <c r="U7" s="149" t="s">
        <v>1187</v>
      </c>
      <c r="V7" s="149" t="s">
        <v>995</v>
      </c>
      <c r="W7" s="149" t="s">
        <v>997</v>
      </c>
      <c r="X7" s="149"/>
      <c r="Y7" s="149"/>
      <c r="Z7" s="149" t="s">
        <v>998</v>
      </c>
      <c r="AA7" s="149"/>
      <c r="AB7" s="149"/>
      <c r="AC7" s="149" t="s">
        <v>1002</v>
      </c>
      <c r="AD7" s="149"/>
      <c r="AE7" s="149"/>
      <c r="AF7" s="149" t="s">
        <v>1005</v>
      </c>
      <c r="AG7" s="149"/>
      <c r="AH7" s="149"/>
      <c r="AI7" s="149" t="s">
        <v>12</v>
      </c>
      <c r="AJ7" s="146" t="s">
        <v>2223</v>
      </c>
      <c r="AK7" s="61"/>
      <c r="AL7" s="61"/>
      <c r="AM7" s="61"/>
      <c r="AN7" s="61"/>
      <c r="AO7" s="61"/>
    </row>
    <row r="8" spans="1:41" s="15" customFormat="1" ht="15" customHeight="1">
      <c r="A8" s="149"/>
      <c r="B8" s="149"/>
      <c r="C8" s="149"/>
      <c r="D8" s="149"/>
      <c r="E8" s="149"/>
      <c r="F8" s="149"/>
      <c r="G8" s="149"/>
      <c r="H8" s="151"/>
      <c r="I8" s="149"/>
      <c r="J8" s="149"/>
      <c r="K8" s="149" t="s">
        <v>2167</v>
      </c>
      <c r="L8" s="149" t="s">
        <v>2166</v>
      </c>
      <c r="M8" s="149"/>
      <c r="N8" s="149"/>
      <c r="O8" s="149"/>
      <c r="P8" s="149"/>
      <c r="Q8" s="149"/>
      <c r="R8" s="151"/>
      <c r="S8" s="149"/>
      <c r="T8" s="149"/>
      <c r="U8" s="149"/>
      <c r="V8" s="149"/>
      <c r="W8" s="149" t="s">
        <v>995</v>
      </c>
      <c r="X8" s="149" t="s">
        <v>999</v>
      </c>
      <c r="Y8" s="149" t="s">
        <v>1001</v>
      </c>
      <c r="Z8" s="149" t="s">
        <v>1000</v>
      </c>
      <c r="AA8" s="149" t="s">
        <v>999</v>
      </c>
      <c r="AB8" s="149" t="s">
        <v>1001</v>
      </c>
      <c r="AC8" s="149" t="s">
        <v>1000</v>
      </c>
      <c r="AD8" s="149" t="s">
        <v>999</v>
      </c>
      <c r="AE8" s="149" t="s">
        <v>1001</v>
      </c>
      <c r="AF8" s="149" t="s">
        <v>1000</v>
      </c>
      <c r="AG8" s="149" t="s">
        <v>999</v>
      </c>
      <c r="AH8" s="149" t="s">
        <v>1001</v>
      </c>
      <c r="AI8" s="149"/>
      <c r="AJ8" s="147"/>
      <c r="AK8" s="62" t="s">
        <v>2857</v>
      </c>
      <c r="AL8" s="63" t="s">
        <v>2285</v>
      </c>
      <c r="AM8" s="62" t="s">
        <v>2295</v>
      </c>
      <c r="AN8" s="63" t="s">
        <v>2296</v>
      </c>
      <c r="AO8" s="62" t="s">
        <v>2297</v>
      </c>
    </row>
    <row r="9" spans="1:41" s="15" customFormat="1" ht="15" customHeight="1">
      <c r="A9" s="149"/>
      <c r="B9" s="149"/>
      <c r="C9" s="149"/>
      <c r="D9" s="149"/>
      <c r="E9" s="149"/>
      <c r="F9" s="149"/>
      <c r="G9" s="149"/>
      <c r="H9" s="152"/>
      <c r="I9" s="149"/>
      <c r="J9" s="149"/>
      <c r="K9" s="149"/>
      <c r="L9" s="149"/>
      <c r="M9" s="149"/>
      <c r="N9" s="149"/>
      <c r="O9" s="149"/>
      <c r="P9" s="149"/>
      <c r="Q9" s="149"/>
      <c r="R9" s="152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8"/>
      <c r="AK9" s="59"/>
      <c r="AL9" s="59"/>
      <c r="AM9" s="59"/>
      <c r="AN9" s="59"/>
      <c r="AO9" s="59"/>
    </row>
    <row r="10" spans="1:41" ht="15" customHeight="1">
      <c r="A10" s="13" t="s">
        <v>1853</v>
      </c>
      <c r="B10" s="13" t="s">
        <v>1862</v>
      </c>
      <c r="C10" s="13" t="s">
        <v>2269</v>
      </c>
      <c r="D10" s="13" t="s">
        <v>1859</v>
      </c>
      <c r="E10" s="13" t="s">
        <v>1860</v>
      </c>
      <c r="F10" s="13" t="s">
        <v>1861</v>
      </c>
      <c r="G10" s="13" t="s">
        <v>2231</v>
      </c>
      <c r="H10" s="13" t="s">
        <v>2153</v>
      </c>
      <c r="I10" s="13" t="s">
        <v>1854</v>
      </c>
      <c r="J10" s="14" t="s">
        <v>1354</v>
      </c>
      <c r="K10" s="38" t="s">
        <v>2255</v>
      </c>
      <c r="L10" s="30" t="s">
        <v>5090</v>
      </c>
      <c r="M10" s="14" t="s">
        <v>987</v>
      </c>
      <c r="N10" s="14" t="s">
        <v>4693</v>
      </c>
      <c r="O10" s="16" t="s">
        <v>1915</v>
      </c>
      <c r="P10" s="16" t="s">
        <v>989</v>
      </c>
      <c r="Q10" s="16" t="s">
        <v>992</v>
      </c>
      <c r="R10" s="16" t="s">
        <v>993</v>
      </c>
      <c r="S10" s="16" t="s">
        <v>1889</v>
      </c>
      <c r="T10" s="14" t="s">
        <v>1041</v>
      </c>
      <c r="U10" s="14" t="s">
        <v>994</v>
      </c>
      <c r="V10" s="14" t="s">
        <v>996</v>
      </c>
      <c r="W10" s="14" t="s">
        <v>5091</v>
      </c>
      <c r="X10" s="14" t="s">
        <v>5092</v>
      </c>
      <c r="Y10" s="14" t="s">
        <v>5093</v>
      </c>
      <c r="Z10" s="14" t="s">
        <v>5094</v>
      </c>
      <c r="AA10" s="14" t="s">
        <v>5095</v>
      </c>
      <c r="AB10" s="14" t="s">
        <v>5096</v>
      </c>
      <c r="AC10" s="14" t="s">
        <v>1003</v>
      </c>
      <c r="AD10" s="14" t="s">
        <v>1004</v>
      </c>
      <c r="AE10" s="14" t="s">
        <v>5097</v>
      </c>
      <c r="AF10" s="14" t="s">
        <v>5098</v>
      </c>
      <c r="AG10" s="14" t="s">
        <v>5099</v>
      </c>
      <c r="AH10" s="14" t="s">
        <v>5100</v>
      </c>
      <c r="AI10" s="14" t="s">
        <v>571</v>
      </c>
      <c r="AJ10" s="53" t="s">
        <v>2224</v>
      </c>
      <c r="AK10" s="58"/>
      <c r="AL10" s="58"/>
      <c r="AM10" s="58"/>
      <c r="AN10" s="58"/>
      <c r="AO10" s="58"/>
    </row>
    <row r="12" spans="1:41" ht="13">
      <c r="A12" s="6"/>
    </row>
    <row r="13" spans="1:41">
      <c r="A13" s="7"/>
    </row>
    <row r="14" spans="1:41">
      <c r="A14" s="7"/>
    </row>
    <row r="15" spans="1:41">
      <c r="A15" s="7"/>
    </row>
    <row r="16" spans="1:41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AJ7:AJ10" name="Range1_1"/>
  </protectedRanges>
  <mergeCells count="49">
    <mergeCell ref="AJ7:AJ9"/>
    <mergeCell ref="H7:H9"/>
    <mergeCell ref="AC7:AE7"/>
    <mergeCell ref="AC8:AC9"/>
    <mergeCell ref="AD8:AD9"/>
    <mergeCell ref="AE8:AE9"/>
    <mergeCell ref="AF7:AH7"/>
    <mergeCell ref="AF8:AF9"/>
    <mergeCell ref="AG8:AG9"/>
    <mergeCell ref="AH8:AH9"/>
    <mergeCell ref="AI7:AI9"/>
    <mergeCell ref="T7:T9"/>
    <mergeCell ref="U7:U9"/>
    <mergeCell ref="Z7:AB7"/>
    <mergeCell ref="W7:Y7"/>
    <mergeCell ref="W8:W9"/>
    <mergeCell ref="X8:X9"/>
    <mergeCell ref="Y8:Y9"/>
    <mergeCell ref="AA8:AA9"/>
    <mergeCell ref="AB8:AB9"/>
    <mergeCell ref="Z8:Z9"/>
    <mergeCell ref="J7:J9"/>
    <mergeCell ref="M7:M9"/>
    <mergeCell ref="N7:N9"/>
    <mergeCell ref="R7:R9"/>
    <mergeCell ref="S7:S9"/>
    <mergeCell ref="P7:P9"/>
    <mergeCell ref="O7:O9"/>
    <mergeCell ref="K7:L7"/>
    <mergeCell ref="V7:V9"/>
    <mergeCell ref="A7:A9"/>
    <mergeCell ref="A5:N5"/>
    <mergeCell ref="C3:I3"/>
    <mergeCell ref="C4:I4"/>
    <mergeCell ref="M1:N4"/>
    <mergeCell ref="K3:L3"/>
    <mergeCell ref="K4:L4"/>
    <mergeCell ref="B7:B9"/>
    <mergeCell ref="C7:C9"/>
    <mergeCell ref="D7:D9"/>
    <mergeCell ref="C1:L1"/>
    <mergeCell ref="C2:L2"/>
    <mergeCell ref="F7:F9"/>
    <mergeCell ref="K8:K9"/>
    <mergeCell ref="L8:L9"/>
    <mergeCell ref="Q7:Q9"/>
    <mergeCell ref="E7:E9"/>
    <mergeCell ref="G7:G9"/>
    <mergeCell ref="I7:I9"/>
  </mergeCells>
  <phoneticPr fontId="2" type="noConversion"/>
  <dataValidations disablePrompts="1" count="2">
    <dataValidation type="list" allowBlank="1" showInputMessage="1" showErrorMessage="1" sqref="AP10:IN10">
      <formula1>AP13:AP325</formula1>
    </dataValidation>
    <dataValidation type="list" allowBlank="1" showInputMessage="1" showErrorMessage="1" sqref="IO10:IV10">
      <formula1>A13:IO325</formula1>
    </dataValidation>
  </dataValidations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325"/>
  <sheetViews>
    <sheetView workbookViewId="0">
      <pane xSplit="1" ySplit="9" topLeftCell="I10" activePane="bottomRight" state="frozen"/>
      <selection pane="topRight" activeCell="B1" sqref="B1"/>
      <selection pane="bottomLeft" activeCell="A10" sqref="A10"/>
      <selection pane="bottomRight" activeCell="P11" sqref="P11"/>
    </sheetView>
  </sheetViews>
  <sheetFormatPr defaultColWidth="9.1796875" defaultRowHeight="12.5"/>
  <cols>
    <col min="1" max="1" width="20" style="4" customWidth="1"/>
    <col min="2" max="2" width="13.26953125" style="4" customWidth="1"/>
    <col min="3" max="3" width="11.26953125" style="4" customWidth="1"/>
    <col min="4" max="4" width="18" style="4" customWidth="1"/>
    <col min="5" max="5" width="14.453125" style="4" customWidth="1"/>
    <col min="6" max="6" width="13.54296875" style="4" customWidth="1"/>
    <col min="7" max="7" width="25.1796875" style="4" customWidth="1"/>
    <col min="8" max="8" width="11.26953125" style="4" customWidth="1"/>
    <col min="9" max="9" width="20.7265625" style="4" customWidth="1"/>
    <col min="10" max="10" width="9.26953125" style="4" customWidth="1"/>
    <col min="11" max="11" width="9.54296875" style="4" customWidth="1"/>
    <col min="12" max="14" width="10.7265625" style="4" customWidth="1"/>
    <col min="15" max="15" width="8.7265625" style="4" customWidth="1"/>
    <col min="16" max="16" width="11" style="4" customWidth="1"/>
    <col min="17" max="17" width="12.453125" style="4" customWidth="1"/>
    <col min="18" max="18" width="16.26953125" style="4" customWidth="1"/>
    <col min="19" max="19" width="15.7265625" style="4" customWidth="1"/>
    <col min="20" max="20" width="17.26953125" style="4" customWidth="1"/>
    <col min="21" max="21" width="7.81640625" style="4" customWidth="1"/>
    <col min="22" max="22" width="12.26953125" style="4" customWidth="1"/>
    <col min="23" max="23" width="8.54296875" style="4" customWidth="1"/>
    <col min="24" max="24" width="22.453125" style="4" customWidth="1"/>
    <col min="25" max="25" width="25.54296875" style="4" customWidth="1"/>
    <col min="26" max="26" width="12" style="4" bestFit="1" customWidth="1"/>
    <col min="27" max="27" width="12.1796875" style="4" bestFit="1" customWidth="1"/>
    <col min="28" max="28" width="10.1796875" style="4" customWidth="1"/>
    <col min="29" max="29" width="12.7265625" style="4" customWidth="1"/>
    <col min="30" max="30" width="28.453125" style="4" customWidth="1"/>
    <col min="31" max="16384" width="9.1796875" style="4"/>
  </cols>
  <sheetData>
    <row r="1" spans="1:30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  <c r="Q1" s="166"/>
      <c r="R1" s="16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30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60"/>
      <c r="Q2" s="168"/>
      <c r="R2" s="169"/>
    </row>
    <row r="3" spans="1:30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59"/>
      <c r="L3" s="159"/>
      <c r="M3" s="160"/>
      <c r="N3" s="3" t="s">
        <v>1510</v>
      </c>
      <c r="O3" s="164" t="str">
        <f>_FormulaHelpers_!B48</f>
        <v>Base</v>
      </c>
      <c r="P3" s="164"/>
      <c r="Q3" s="168"/>
      <c r="R3" s="169"/>
    </row>
    <row r="4" spans="1:30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2"/>
      <c r="L4" s="162"/>
      <c r="M4" s="163"/>
      <c r="N4" s="3" t="s">
        <v>1795</v>
      </c>
      <c r="O4" s="164" t="str">
        <f>_FormulaHelpers_!B52</f>
        <v>Normal</v>
      </c>
      <c r="P4" s="164"/>
      <c r="Q4" s="170"/>
      <c r="R4" s="171"/>
    </row>
    <row r="5" spans="1:30" ht="18.75" customHeight="1">
      <c r="A5" s="154" t="s">
        <v>244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39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7" spans="1:30" customFormat="1" ht="15" customHeight="1">
      <c r="A7" s="149" t="s">
        <v>368</v>
      </c>
      <c r="B7" s="149"/>
      <c r="C7" s="149"/>
      <c r="D7" s="149"/>
      <c r="E7" s="149"/>
      <c r="F7" s="149"/>
      <c r="G7" s="149"/>
      <c r="H7" s="149" t="s">
        <v>375</v>
      </c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 t="s">
        <v>12</v>
      </c>
      <c r="Y7" s="146" t="s">
        <v>2223</v>
      </c>
      <c r="Z7" s="61"/>
      <c r="AA7" s="61"/>
      <c r="AB7" s="61"/>
      <c r="AC7" s="61"/>
      <c r="AD7" s="61"/>
    </row>
    <row r="8" spans="1:30" customFormat="1" ht="15" customHeight="1">
      <c r="A8" s="149" t="s">
        <v>1576</v>
      </c>
      <c r="B8" s="149" t="s">
        <v>365</v>
      </c>
      <c r="C8" s="149" t="s">
        <v>366</v>
      </c>
      <c r="D8" s="150" t="s">
        <v>2230</v>
      </c>
      <c r="E8" s="150" t="s">
        <v>2152</v>
      </c>
      <c r="F8" s="149" t="s">
        <v>367</v>
      </c>
      <c r="G8" s="149" t="s">
        <v>1512</v>
      </c>
      <c r="H8" s="149" t="s">
        <v>1955</v>
      </c>
      <c r="I8" s="149" t="s">
        <v>370</v>
      </c>
      <c r="J8" s="149" t="s">
        <v>372</v>
      </c>
      <c r="K8" s="149" t="s">
        <v>376</v>
      </c>
      <c r="L8" s="149"/>
      <c r="M8" s="149"/>
      <c r="N8" s="149"/>
      <c r="O8" s="149" t="s">
        <v>2018</v>
      </c>
      <c r="P8" s="149"/>
      <c r="Q8" s="149"/>
      <c r="R8" s="149"/>
      <c r="S8" s="149"/>
      <c r="T8" s="149"/>
      <c r="U8" s="44"/>
      <c r="V8" s="44"/>
      <c r="W8" s="44"/>
      <c r="X8" s="149"/>
      <c r="Y8" s="147"/>
      <c r="Z8" s="62" t="s">
        <v>2857</v>
      </c>
      <c r="AA8" s="63" t="s">
        <v>2285</v>
      </c>
      <c r="AB8" s="62" t="s">
        <v>2295</v>
      </c>
      <c r="AC8" s="63" t="s">
        <v>2296</v>
      </c>
      <c r="AD8" s="62" t="s">
        <v>2297</v>
      </c>
    </row>
    <row r="9" spans="1:30" customFormat="1" ht="15" customHeight="1">
      <c r="A9" s="149"/>
      <c r="B9" s="149"/>
      <c r="C9" s="149"/>
      <c r="D9" s="152"/>
      <c r="E9" s="152"/>
      <c r="F9" s="149"/>
      <c r="G9" s="149"/>
      <c r="H9" s="149"/>
      <c r="I9" s="149"/>
      <c r="J9" s="149"/>
      <c r="K9" s="27" t="s">
        <v>377</v>
      </c>
      <c r="L9" s="27" t="s">
        <v>1353</v>
      </c>
      <c r="M9" s="27" t="s">
        <v>374</v>
      </c>
      <c r="N9" s="27" t="s">
        <v>378</v>
      </c>
      <c r="O9" s="27" t="s">
        <v>377</v>
      </c>
      <c r="P9" s="27" t="s">
        <v>1353</v>
      </c>
      <c r="Q9" s="27" t="s">
        <v>2019</v>
      </c>
      <c r="R9" s="27" t="s">
        <v>2021</v>
      </c>
      <c r="S9" s="27" t="s">
        <v>2022</v>
      </c>
      <c r="T9" s="27" t="s">
        <v>2020</v>
      </c>
      <c r="U9" s="27" t="s">
        <v>380</v>
      </c>
      <c r="V9" s="27" t="s">
        <v>381</v>
      </c>
      <c r="W9" s="27" t="s">
        <v>382</v>
      </c>
      <c r="X9" s="149"/>
      <c r="Y9" s="148"/>
      <c r="Z9" s="59"/>
      <c r="AA9" s="59"/>
      <c r="AB9" s="59"/>
      <c r="AC9" s="59"/>
      <c r="AD9" s="59"/>
    </row>
    <row r="10" spans="1:30" customFormat="1" ht="15" customHeight="1">
      <c r="A10" s="13" t="s">
        <v>1853</v>
      </c>
      <c r="B10" s="14" t="s">
        <v>2274</v>
      </c>
      <c r="C10" s="30" t="s">
        <v>2275</v>
      </c>
      <c r="D10" s="13" t="s">
        <v>2231</v>
      </c>
      <c r="E10" s="13" t="s">
        <v>2153</v>
      </c>
      <c r="F10" s="13" t="s">
        <v>1861</v>
      </c>
      <c r="G10" s="13" t="s">
        <v>1854</v>
      </c>
      <c r="H10" s="41" t="s">
        <v>369</v>
      </c>
      <c r="I10" s="41" t="s">
        <v>371</v>
      </c>
      <c r="J10" s="41" t="s">
        <v>373</v>
      </c>
      <c r="K10" s="41" t="s">
        <v>5074</v>
      </c>
      <c r="L10" s="41" t="s">
        <v>5075</v>
      </c>
      <c r="M10" s="41" t="s">
        <v>5076</v>
      </c>
      <c r="N10" s="42" t="s">
        <v>5077</v>
      </c>
      <c r="O10" s="41" t="s">
        <v>5078</v>
      </c>
      <c r="P10" s="41" t="s">
        <v>5079</v>
      </c>
      <c r="Q10" s="42" t="s">
        <v>5080</v>
      </c>
      <c r="R10" s="42" t="s">
        <v>5081</v>
      </c>
      <c r="S10" s="42" t="s">
        <v>5083</v>
      </c>
      <c r="T10" s="42" t="s">
        <v>5082</v>
      </c>
      <c r="U10" s="43" t="s">
        <v>379</v>
      </c>
      <c r="V10" s="48" t="s">
        <v>2129</v>
      </c>
      <c r="W10" s="28" t="s">
        <v>383</v>
      </c>
      <c r="X10" s="34" t="s">
        <v>571</v>
      </c>
      <c r="Y10" s="53" t="s">
        <v>2224</v>
      </c>
      <c r="Z10" s="58"/>
      <c r="AA10" s="58"/>
      <c r="AB10" s="58"/>
      <c r="AC10" s="58"/>
      <c r="AD10" s="58"/>
    </row>
    <row r="11" spans="1:30">
      <c r="D11" s="13"/>
    </row>
    <row r="12" spans="1:30" ht="13">
      <c r="A12" s="6"/>
    </row>
    <row r="13" spans="1:30">
      <c r="A13" s="7"/>
    </row>
    <row r="14" spans="1:30">
      <c r="A14" s="7"/>
    </row>
    <row r="15" spans="1:30">
      <c r="A15" s="7"/>
    </row>
    <row r="16" spans="1:30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Y7:Y10" name="Range1_1"/>
  </protectedRanges>
  <mergeCells count="24">
    <mergeCell ref="Y7:Y9"/>
    <mergeCell ref="X7:X9"/>
    <mergeCell ref="H8:H9"/>
    <mergeCell ref="I8:I9"/>
    <mergeCell ref="K8:N8"/>
    <mergeCell ref="J8:J9"/>
    <mergeCell ref="O8:T8"/>
    <mergeCell ref="H7:W7"/>
    <mergeCell ref="A5:R5"/>
    <mergeCell ref="C3:M3"/>
    <mergeCell ref="C4:M4"/>
    <mergeCell ref="Q1:R4"/>
    <mergeCell ref="O3:P3"/>
    <mergeCell ref="O4:P4"/>
    <mergeCell ref="C2:P2"/>
    <mergeCell ref="C1:P1"/>
    <mergeCell ref="A7:G7"/>
    <mergeCell ref="A8:A9"/>
    <mergeCell ref="B8:B9"/>
    <mergeCell ref="C8:C9"/>
    <mergeCell ref="D8:D9"/>
    <mergeCell ref="F8:F9"/>
    <mergeCell ref="G8:G9"/>
    <mergeCell ref="E8:E9"/>
  </mergeCells>
  <phoneticPr fontId="2" type="noConversion"/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N325"/>
  <sheetViews>
    <sheetView zoomScaleNormal="100" workbookViewId="0">
      <pane xSplit="1" ySplit="9" topLeftCell="N10" activePane="bottomRight" state="frozen"/>
      <selection pane="topRight" activeCell="B1" sqref="B1"/>
      <selection pane="bottomLeft" activeCell="A10" sqref="A10"/>
      <selection pane="bottomRight" activeCell="A11" sqref="A11:AI164"/>
    </sheetView>
  </sheetViews>
  <sheetFormatPr defaultColWidth="9.1796875" defaultRowHeight="12.5"/>
  <cols>
    <col min="1" max="1" width="20" style="57" customWidth="1"/>
    <col min="2" max="2" width="13.26953125" style="57" customWidth="1"/>
    <col min="3" max="3" width="11.26953125" style="57" customWidth="1"/>
    <col min="4" max="4" width="18" style="57" customWidth="1"/>
    <col min="5" max="5" width="14.7265625" style="57" customWidth="1"/>
    <col min="6" max="6" width="13.54296875" style="57" customWidth="1"/>
    <col min="7" max="7" width="25.1796875" style="57" customWidth="1"/>
    <col min="8" max="8" width="11.26953125" style="57" customWidth="1"/>
    <col min="9" max="9" width="16.54296875" style="57" customWidth="1"/>
    <col min="10" max="10" width="15" style="57" customWidth="1"/>
    <col min="11" max="11" width="18.453125" style="57" customWidth="1"/>
    <col min="12" max="12" width="15" style="57" customWidth="1"/>
    <col min="13" max="13" width="9.54296875" style="57" customWidth="1"/>
    <col min="14" max="14" width="14.81640625" style="57" customWidth="1"/>
    <col min="15" max="15" width="10.7265625" style="57" customWidth="1"/>
    <col min="16" max="16" width="19.1796875" style="57" customWidth="1"/>
    <col min="17" max="17" width="13.453125" style="57" customWidth="1"/>
    <col min="18" max="18" width="14.26953125" style="57" customWidth="1"/>
    <col min="19" max="19" width="17" style="57" customWidth="1"/>
    <col min="20" max="20" width="16.26953125" style="57" customWidth="1"/>
    <col min="21" max="21" width="15.7265625" style="57" customWidth="1"/>
    <col min="22" max="22" width="13.26953125" style="57" customWidth="1"/>
    <col min="23" max="23" width="7.81640625" style="57" customWidth="1"/>
    <col min="24" max="24" width="16.7265625" style="57" customWidth="1"/>
    <col min="25" max="25" width="14" style="57" customWidth="1"/>
    <col min="26" max="26" width="13.453125" style="57" customWidth="1"/>
    <col min="27" max="27" width="16.81640625" style="57" customWidth="1"/>
    <col min="28" max="28" width="12.26953125" style="57" customWidth="1"/>
    <col min="29" max="29" width="8" style="57" customWidth="1"/>
    <col min="30" max="30" width="16.54296875" style="57" customWidth="1"/>
    <col min="31" max="31" width="11.81640625" style="57" customWidth="1"/>
    <col min="32" max="32" width="16.26953125" style="57" customWidth="1"/>
    <col min="33" max="33" width="25.7265625" style="57" customWidth="1"/>
    <col min="34" max="34" width="23" style="57" customWidth="1"/>
    <col min="35" max="35" width="32.7265625" style="57" customWidth="1"/>
    <col min="36" max="36" width="21.81640625" style="57" customWidth="1"/>
    <col min="37" max="37" width="17.7265625" style="57" customWidth="1"/>
    <col min="38" max="38" width="28.453125" style="57" customWidth="1"/>
    <col min="39" max="39" width="11.7265625" style="57" bestFit="1" customWidth="1"/>
    <col min="40" max="40" width="20.7265625" style="57" customWidth="1"/>
    <col min="41" max="16384" width="9.1796875" style="57"/>
  </cols>
  <sheetData>
    <row r="1" spans="1:40" ht="14">
      <c r="A1" s="83"/>
      <c r="B1" s="84" t="s">
        <v>1507</v>
      </c>
      <c r="C1" s="137">
        <f>_FormulaHelpers_!B43</f>
        <v>0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  <c r="S1" s="250"/>
      <c r="T1" s="251"/>
      <c r="U1" s="263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</row>
    <row r="2" spans="1:40" ht="14">
      <c r="A2" s="87"/>
      <c r="B2" s="84" t="s">
        <v>1508</v>
      </c>
      <c r="C2" s="140">
        <f>_FormulaHelpers_!B44</f>
        <v>0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2"/>
      <c r="S2" s="253"/>
      <c r="T2" s="254"/>
      <c r="U2" s="263"/>
    </row>
    <row r="3" spans="1:40" ht="14">
      <c r="A3" s="87"/>
      <c r="B3" s="84" t="s">
        <v>1794</v>
      </c>
      <c r="C3" s="140">
        <f>_FormulaHelpers_!B45</f>
        <v>0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2"/>
      <c r="P3" s="84" t="s">
        <v>1510</v>
      </c>
      <c r="Q3" s="132" t="str">
        <f>_FormulaHelpers_!B48</f>
        <v>Base</v>
      </c>
      <c r="R3" s="132"/>
      <c r="S3" s="253"/>
      <c r="T3" s="254"/>
      <c r="U3" s="263"/>
    </row>
    <row r="4" spans="1:40" ht="14">
      <c r="A4" s="88"/>
      <c r="B4" s="84" t="s">
        <v>1509</v>
      </c>
      <c r="C4" s="143">
        <f>_FormulaHelpers_!B46</f>
        <v>45703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  <c r="P4" s="84" t="s">
        <v>1795</v>
      </c>
      <c r="Q4" s="132" t="str">
        <f>_FormulaHelpers_!B52</f>
        <v>Normal</v>
      </c>
      <c r="R4" s="132"/>
      <c r="S4" s="256"/>
      <c r="T4" s="257"/>
      <c r="U4" s="263"/>
    </row>
    <row r="5" spans="1:40" ht="18.75" customHeight="1">
      <c r="A5" s="134" t="s">
        <v>2027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28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</row>
    <row r="7" spans="1:40" s="85" customFormat="1" ht="15" customHeight="1">
      <c r="A7" s="176" t="s">
        <v>368</v>
      </c>
      <c r="B7" s="176"/>
      <c r="C7" s="176"/>
      <c r="D7" s="176"/>
      <c r="E7" s="176"/>
      <c r="F7" s="176"/>
      <c r="G7" s="176"/>
      <c r="H7" s="176" t="s">
        <v>375</v>
      </c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7" t="s">
        <v>4836</v>
      </c>
      <c r="AE7" s="178"/>
      <c r="AF7" s="178"/>
      <c r="AG7" s="179"/>
      <c r="AH7" s="176" t="s">
        <v>12</v>
      </c>
      <c r="AI7" s="146" t="s">
        <v>2223</v>
      </c>
      <c r="AJ7" s="61"/>
      <c r="AK7" s="61"/>
      <c r="AL7" s="61"/>
      <c r="AM7" s="61"/>
      <c r="AN7" s="61"/>
    </row>
    <row r="8" spans="1:40" s="85" customFormat="1" ht="15" customHeight="1">
      <c r="A8" s="176" t="s">
        <v>1576</v>
      </c>
      <c r="B8" s="176" t="s">
        <v>365</v>
      </c>
      <c r="C8" s="176" t="s">
        <v>366</v>
      </c>
      <c r="D8" s="146" t="s">
        <v>2230</v>
      </c>
      <c r="E8" s="146" t="s">
        <v>2152</v>
      </c>
      <c r="F8" s="176" t="s">
        <v>367</v>
      </c>
      <c r="G8" s="176" t="s">
        <v>1512</v>
      </c>
      <c r="H8" s="176" t="s">
        <v>1955</v>
      </c>
      <c r="I8" s="176" t="s">
        <v>2058</v>
      </c>
      <c r="J8" s="176" t="s">
        <v>2060</v>
      </c>
      <c r="K8" s="264" t="s">
        <v>4792</v>
      </c>
      <c r="L8" s="264" t="s">
        <v>3318</v>
      </c>
      <c r="M8" s="176" t="s">
        <v>376</v>
      </c>
      <c r="N8" s="176"/>
      <c r="O8" s="176"/>
      <c r="P8" s="176"/>
      <c r="Q8" s="176"/>
      <c r="R8" s="176"/>
      <c r="S8" s="176"/>
      <c r="T8" s="176"/>
      <c r="U8" s="176"/>
      <c r="V8" s="177" t="s">
        <v>2018</v>
      </c>
      <c r="W8" s="178"/>
      <c r="X8" s="178"/>
      <c r="Y8" s="178"/>
      <c r="Z8" s="178"/>
      <c r="AA8" s="178"/>
      <c r="AB8" s="178"/>
      <c r="AC8" s="179"/>
      <c r="AD8" s="146" t="s">
        <v>4837</v>
      </c>
      <c r="AE8" s="146" t="s">
        <v>4838</v>
      </c>
      <c r="AF8" s="177" t="s">
        <v>3317</v>
      </c>
      <c r="AG8" s="179"/>
      <c r="AH8" s="176"/>
      <c r="AI8" s="147"/>
      <c r="AJ8" s="62" t="s">
        <v>2857</v>
      </c>
      <c r="AK8" s="63" t="s">
        <v>2285</v>
      </c>
      <c r="AL8" s="62" t="s">
        <v>2295</v>
      </c>
      <c r="AM8" s="63" t="s">
        <v>2296</v>
      </c>
      <c r="AN8" s="62" t="s">
        <v>2297</v>
      </c>
    </row>
    <row r="9" spans="1:40" s="85" customFormat="1" ht="15" customHeight="1">
      <c r="A9" s="176"/>
      <c r="B9" s="176"/>
      <c r="C9" s="176"/>
      <c r="D9" s="148"/>
      <c r="E9" s="148"/>
      <c r="F9" s="176"/>
      <c r="G9" s="176"/>
      <c r="H9" s="176"/>
      <c r="I9" s="176"/>
      <c r="J9" s="176"/>
      <c r="K9" s="264"/>
      <c r="L9" s="264"/>
      <c r="M9" s="113" t="s">
        <v>377</v>
      </c>
      <c r="N9" s="265" t="s">
        <v>2062</v>
      </c>
      <c r="O9" s="113" t="s">
        <v>2063</v>
      </c>
      <c r="P9" s="265" t="s">
        <v>2064</v>
      </c>
      <c r="Q9" s="113" t="s">
        <v>2066</v>
      </c>
      <c r="R9" s="113" t="s">
        <v>2067</v>
      </c>
      <c r="S9" s="265" t="s">
        <v>2068</v>
      </c>
      <c r="T9" s="265" t="s">
        <v>2069</v>
      </c>
      <c r="U9" s="113" t="s">
        <v>2151</v>
      </c>
      <c r="V9" s="113" t="s">
        <v>377</v>
      </c>
      <c r="W9" s="265" t="s">
        <v>847</v>
      </c>
      <c r="X9" s="113" t="s">
        <v>2070</v>
      </c>
      <c r="Y9" s="265" t="s">
        <v>2019</v>
      </c>
      <c r="Z9" s="265" t="s">
        <v>2071</v>
      </c>
      <c r="AA9" s="113" t="s">
        <v>2072</v>
      </c>
      <c r="AB9" s="265" t="s">
        <v>2074</v>
      </c>
      <c r="AC9" s="113" t="s">
        <v>2075</v>
      </c>
      <c r="AD9" s="148"/>
      <c r="AE9" s="148"/>
      <c r="AF9" s="115" t="s">
        <v>4839</v>
      </c>
      <c r="AG9" s="115" t="s">
        <v>4840</v>
      </c>
      <c r="AH9" s="176"/>
      <c r="AI9" s="148"/>
      <c r="AJ9" s="59"/>
      <c r="AK9" s="59"/>
      <c r="AL9" s="59"/>
      <c r="AM9" s="59"/>
      <c r="AN9" s="59"/>
    </row>
    <row r="10" spans="1:40" s="85" customFormat="1" ht="15" hidden="1" customHeight="1">
      <c r="A10" s="105" t="s">
        <v>1853</v>
      </c>
      <c r="B10" s="127" t="s">
        <v>2274</v>
      </c>
      <c r="C10" s="58" t="s">
        <v>2275</v>
      </c>
      <c r="D10" s="105" t="s">
        <v>2231</v>
      </c>
      <c r="E10" s="105" t="s">
        <v>2153</v>
      </c>
      <c r="F10" s="105" t="s">
        <v>1861</v>
      </c>
      <c r="G10" s="105" t="s">
        <v>1854</v>
      </c>
      <c r="H10" s="105" t="s">
        <v>369</v>
      </c>
      <c r="I10" s="105" t="s">
        <v>2059</v>
      </c>
      <c r="J10" s="105" t="s">
        <v>2061</v>
      </c>
      <c r="K10" s="105" t="s">
        <v>4982</v>
      </c>
      <c r="L10" s="105" t="s">
        <v>4983</v>
      </c>
      <c r="M10" s="105" t="s">
        <v>4984</v>
      </c>
      <c r="N10" s="105" t="s">
        <v>4985</v>
      </c>
      <c r="O10" s="266" t="s">
        <v>5000</v>
      </c>
      <c r="P10" s="260" t="s">
        <v>4986</v>
      </c>
      <c r="Q10" s="105" t="s">
        <v>4987</v>
      </c>
      <c r="R10" s="105" t="s">
        <v>4988</v>
      </c>
      <c r="S10" s="260" t="s">
        <v>4989</v>
      </c>
      <c r="T10" s="242" t="s">
        <v>4990</v>
      </c>
      <c r="U10" s="267" t="s">
        <v>4991</v>
      </c>
      <c r="V10" s="260" t="s">
        <v>4992</v>
      </c>
      <c r="W10" s="260" t="s">
        <v>4993</v>
      </c>
      <c r="X10" s="260" t="s">
        <v>4994</v>
      </c>
      <c r="Y10" s="260" t="s">
        <v>4995</v>
      </c>
      <c r="Z10" s="260" t="s">
        <v>4996</v>
      </c>
      <c r="AA10" s="242" t="s">
        <v>5110</v>
      </c>
      <c r="AB10" s="60" t="s">
        <v>4997</v>
      </c>
      <c r="AC10" s="260" t="s">
        <v>4998</v>
      </c>
      <c r="AD10" s="260" t="s">
        <v>4843</v>
      </c>
      <c r="AE10" s="260" t="s">
        <v>4844</v>
      </c>
      <c r="AF10" s="260" t="s">
        <v>4841</v>
      </c>
      <c r="AG10" s="260" t="s">
        <v>4842</v>
      </c>
      <c r="AH10" s="268" t="s">
        <v>571</v>
      </c>
      <c r="AI10" s="244" t="s">
        <v>2224</v>
      </c>
      <c r="AJ10" s="58"/>
      <c r="AK10" s="58"/>
      <c r="AL10" s="58"/>
      <c r="AM10" s="58"/>
      <c r="AN10" s="58"/>
    </row>
    <row r="11" spans="1:40">
      <c r="A11" s="105" t="s">
        <v>5909</v>
      </c>
      <c r="B11" s="127" t="str">
        <f>IF(TRIM("BUS_CNODE_JCT__1304") = "", "BUS_CNODE_JCT__1304", "BUS_CNODE_JCT__1304")</f>
        <v>BUS_CNODE_JCT__1304</v>
      </c>
      <c r="C11" s="58" t="str">
        <f>IF(TRIM("BUS_都天元居开闭所（自）_220") = "", "BUS_都天元居开闭所（自）_220", "BUS_都天元居开闭所（自）_220")</f>
        <v>BUS_都天元居开闭所（自）_220</v>
      </c>
      <c r="D11" s="105" t="str">
        <f>IF(TRUE = TRUE, "Yes", "No")</f>
        <v>Yes</v>
      </c>
      <c r="E11" s="105" t="s">
        <v>5202</v>
      </c>
      <c r="F11" s="105" t="s">
        <v>5910</v>
      </c>
      <c r="G11" s="105"/>
      <c r="H11" s="105" t="str">
        <f>IF(0 = 0, "ANSI", "IEC")</f>
        <v>ANSI</v>
      </c>
      <c r="I11" s="105" t="str">
        <f>IF(1 = 0, "No", "Yes")</f>
        <v>Yes</v>
      </c>
      <c r="J11" s="105" t="str">
        <f>IF(0 = 1, "Yes", "No")</f>
        <v>No</v>
      </c>
      <c r="K11" s="105" t="str">
        <f>IF(0 = 0,"none","none")</f>
        <v>none</v>
      </c>
      <c r="L11" s="105" t="str">
        <f>IF(0 = 0,"none","none")</f>
        <v>none</v>
      </c>
      <c r="M11" s="105">
        <f>IF(0 = 0, ROUND(0, 1), "")</f>
        <v>0</v>
      </c>
      <c r="N11" s="105">
        <f>IF(0 = 0,ROUND(1.00999999, 3),"")</f>
        <v>1.01</v>
      </c>
      <c r="O11" s="266" t="str">
        <f>IF(0 = 0,IF(1 = 0, "Total", "Symmetrical"),"")</f>
        <v>Symmetrical</v>
      </c>
      <c r="P11" s="260">
        <f>IF(0 = 0,ROUND(0, 1),"")</f>
        <v>0</v>
      </c>
      <c r="Q11" s="105">
        <f>IF(0 = 0,ROUND(0, 1),"")</f>
        <v>0</v>
      </c>
      <c r="R11" s="105">
        <f>IF(0 = 0,ROUND(0, 1),"")</f>
        <v>0</v>
      </c>
      <c r="S11" s="260">
        <f>IF(0 = 0,ROUND(0, 1),"")</f>
        <v>0</v>
      </c>
      <c r="T11" s="242">
        <f>IF(0 = 0,CHOOSE(1 + 1, 3,5,8,2),"")</f>
        <v>5</v>
      </c>
      <c r="U11" s="267" t="str">
        <f>IF(0 = 0,"3","")</f>
        <v>3</v>
      </c>
      <c r="V11" s="260" t="str">
        <f>IF(0 = 1,ROUND(1250, 1),"")</f>
        <v/>
      </c>
      <c r="W11" s="260" t="str">
        <f>IF(0 = 1,ROUND(12, 3),"")</f>
        <v/>
      </c>
      <c r="X11" s="260" t="str">
        <f>IF(0 = 1,ROUND(100, 1),"")</f>
        <v/>
      </c>
      <c r="Y11" s="260" t="str">
        <f>IF(0 = 1,ROUND(0, 1),"")</f>
        <v/>
      </c>
      <c r="Z11" s="260" t="str">
        <f>IF(0 = 1,ROUND(0, 3),"")</f>
        <v/>
      </c>
      <c r="AA11" s="242" t="str">
        <f>IF(0 = 1,CHOOSE(0 + 1, 1.3,1.5),"")</f>
        <v/>
      </c>
      <c r="AB11" s="60" t="str">
        <f>IF(0 = 1,ROUND(0, 1),"")</f>
        <v/>
      </c>
      <c r="AC11" s="260" t="str">
        <f>IF(0 = 1,ROUND(3, 1),"")</f>
        <v/>
      </c>
      <c r="AD11" s="260"/>
      <c r="AE11" s="260"/>
      <c r="AF11" s="260"/>
      <c r="AG11" s="260"/>
      <c r="AH11" s="268"/>
      <c r="AI11" s="53" t="s">
        <v>5911</v>
      </c>
    </row>
    <row r="12" spans="1:40">
      <c r="A12" s="105" t="s">
        <v>5912</v>
      </c>
      <c r="B12" s="127" t="str">
        <f>IF(TRIM("") = "", "", "")</f>
        <v/>
      </c>
      <c r="C12" s="58" t="str">
        <f>IF(TRIM("BUS_都天元居开闭所（自）_219") = "", "BUS_都天元居开闭所（自）_219", "BUS_都天元居开闭所（自）_219")</f>
        <v>BUS_都天元居开闭所（自）_219</v>
      </c>
      <c r="D12" s="105" t="str">
        <f>IF(TRUE = TRUE, "Yes", "No")</f>
        <v>Yes</v>
      </c>
      <c r="E12" s="105" t="s">
        <v>5202</v>
      </c>
      <c r="F12" s="105" t="s">
        <v>5910</v>
      </c>
      <c r="G12" s="105"/>
      <c r="H12" s="105" t="str">
        <f>IF(0 = 0, "ANSI", "IEC")</f>
        <v>ANSI</v>
      </c>
      <c r="I12" s="105" t="str">
        <f>IF(1 = 0, "No", "Yes")</f>
        <v>Yes</v>
      </c>
      <c r="J12" s="105" t="str">
        <f>IF(0 = 1, "Yes", "No")</f>
        <v>No</v>
      </c>
      <c r="K12" s="105" t="str">
        <f>IF(0 = 0,"none","none")</f>
        <v>none</v>
      </c>
      <c r="L12" s="105" t="str">
        <f>IF(0 = 0,"none","none")</f>
        <v>none</v>
      </c>
      <c r="M12" s="105">
        <f>IF(0 = 0, ROUND(0, 1), "")</f>
        <v>0</v>
      </c>
      <c r="N12" s="105">
        <f>IF(0 = 0,ROUND(1.00999999, 3),"")</f>
        <v>1.01</v>
      </c>
      <c r="O12" s="266" t="str">
        <f>IF(0 = 0,IF(1 = 0, "Total", "Symmetrical"),"")</f>
        <v>Symmetrical</v>
      </c>
      <c r="P12" s="260">
        <f>IF(0 = 0,ROUND(0, 1),"")</f>
        <v>0</v>
      </c>
      <c r="Q12" s="105">
        <f>IF(0 = 0,ROUND(0, 1),"")</f>
        <v>0</v>
      </c>
      <c r="R12" s="105">
        <f>IF(0 = 0,ROUND(0, 1),"")</f>
        <v>0</v>
      </c>
      <c r="S12" s="260">
        <f>IF(0 = 0,ROUND(0, 1),"")</f>
        <v>0</v>
      </c>
      <c r="T12" s="242">
        <f>IF(0 = 0,CHOOSE(1 + 1, 3,5,8,2),"")</f>
        <v>5</v>
      </c>
      <c r="U12" s="267" t="str">
        <f>IF(0 = 0,"3","")</f>
        <v>3</v>
      </c>
      <c r="V12" s="260" t="str">
        <f>IF(0 = 1,ROUND(1250, 1),"")</f>
        <v/>
      </c>
      <c r="W12" s="260" t="str">
        <f>IF(0 = 1,ROUND(12, 3),"")</f>
        <v/>
      </c>
      <c r="X12" s="260" t="str">
        <f>IF(0 = 1,ROUND(100, 1),"")</f>
        <v/>
      </c>
      <c r="Y12" s="260" t="str">
        <f>IF(0 = 1,ROUND(0, 1),"")</f>
        <v/>
      </c>
      <c r="Z12" s="260" t="str">
        <f>IF(0 = 1,ROUND(0, 3),"")</f>
        <v/>
      </c>
      <c r="AA12" s="242" t="str">
        <f>IF(0 = 1,CHOOSE(0 + 1, 1.3,1.5),"")</f>
        <v/>
      </c>
      <c r="AB12" s="60" t="str">
        <f>IF(0 = 1,ROUND(0, 1),"")</f>
        <v/>
      </c>
      <c r="AC12" s="260" t="str">
        <f>IF(0 = 1,ROUND(3, 1),"")</f>
        <v/>
      </c>
      <c r="AD12" s="260"/>
      <c r="AE12" s="260"/>
      <c r="AF12" s="260"/>
      <c r="AG12" s="260"/>
      <c r="AH12" s="268"/>
      <c r="AI12" s="53" t="s">
        <v>5913</v>
      </c>
    </row>
    <row r="13" spans="1:40">
      <c r="A13" s="105" t="s">
        <v>5914</v>
      </c>
      <c r="B13" s="127" t="str">
        <f>IF(TRIM("") = "", "", "")</f>
        <v/>
      </c>
      <c r="C13" s="58" t="str">
        <f>IF(TRIM("BUS_都天元居开闭所（自）_219") = "", "BUS_都天元居开闭所（自）_219", "BUS_都天元居开闭所（自）_219")</f>
        <v>BUS_都天元居开闭所（自）_219</v>
      </c>
      <c r="D13" s="105" t="str">
        <f>IF(TRUE = TRUE, "Yes", "No")</f>
        <v>Yes</v>
      </c>
      <c r="E13" s="105" t="s">
        <v>5202</v>
      </c>
      <c r="F13" s="105" t="s">
        <v>5910</v>
      </c>
      <c r="G13" s="105"/>
      <c r="H13" s="105" t="str">
        <f>IF(0 = 0, "ANSI", "IEC")</f>
        <v>ANSI</v>
      </c>
      <c r="I13" s="105" t="str">
        <f>IF(1 = 0, "No", "Yes")</f>
        <v>Yes</v>
      </c>
      <c r="J13" s="105" t="str">
        <f>IF(0 = 1, "Yes", "No")</f>
        <v>No</v>
      </c>
      <c r="K13" s="105" t="str">
        <f>IF(0 = 0,"none","none")</f>
        <v>none</v>
      </c>
      <c r="L13" s="105" t="str">
        <f>IF(0 = 0,"none","none")</f>
        <v>none</v>
      </c>
      <c r="M13" s="105">
        <f>IF(0 = 0, ROUND(0, 1), "")</f>
        <v>0</v>
      </c>
      <c r="N13" s="105">
        <f>IF(0 = 0,ROUND(1.00999999, 3),"")</f>
        <v>1.01</v>
      </c>
      <c r="O13" s="266" t="str">
        <f>IF(0 = 0,IF(1 = 0, "Total", "Symmetrical"),"")</f>
        <v>Symmetrical</v>
      </c>
      <c r="P13" s="260">
        <f>IF(0 = 0,ROUND(0, 1),"")</f>
        <v>0</v>
      </c>
      <c r="Q13" s="105">
        <f>IF(0 = 0,ROUND(0, 1),"")</f>
        <v>0</v>
      </c>
      <c r="R13" s="105">
        <f>IF(0 = 0,ROUND(0, 1),"")</f>
        <v>0</v>
      </c>
      <c r="S13" s="260">
        <f>IF(0 = 0,ROUND(0, 1),"")</f>
        <v>0</v>
      </c>
      <c r="T13" s="242">
        <f>IF(0 = 0,CHOOSE(1 + 1, 3,5,8,2),"")</f>
        <v>5</v>
      </c>
      <c r="U13" s="267" t="str">
        <f>IF(0 = 0,"3","")</f>
        <v>3</v>
      </c>
      <c r="V13" s="260" t="str">
        <f>IF(0 = 1,ROUND(1250, 1),"")</f>
        <v/>
      </c>
      <c r="W13" s="260" t="str">
        <f>IF(0 = 1,ROUND(12, 3),"")</f>
        <v/>
      </c>
      <c r="X13" s="260" t="str">
        <f>IF(0 = 1,ROUND(100, 1),"")</f>
        <v/>
      </c>
      <c r="Y13" s="260" t="str">
        <f>IF(0 = 1,ROUND(0, 1),"")</f>
        <v/>
      </c>
      <c r="Z13" s="260" t="str">
        <f>IF(0 = 1,ROUND(0, 3),"")</f>
        <v/>
      </c>
      <c r="AA13" s="242" t="str">
        <f>IF(0 = 1,CHOOSE(0 + 1, 1.3,1.5),"")</f>
        <v/>
      </c>
      <c r="AB13" s="60" t="str">
        <f>IF(0 = 1,ROUND(0, 1),"")</f>
        <v/>
      </c>
      <c r="AC13" s="260" t="str">
        <f>IF(0 = 1,ROUND(3, 1),"")</f>
        <v/>
      </c>
      <c r="AD13" s="260"/>
      <c r="AE13" s="260"/>
      <c r="AF13" s="260"/>
      <c r="AG13" s="260"/>
      <c r="AH13" s="268"/>
      <c r="AI13" s="53" t="s">
        <v>5915</v>
      </c>
    </row>
    <row r="14" spans="1:40">
      <c r="A14" s="105" t="s">
        <v>5916</v>
      </c>
      <c r="B14" s="127" t="str">
        <f>IF(TRIM("BUS_CNODE_JCT__1365") = "", "BUS_CNODE_JCT__1365", "BUS_CNODE_JCT__1365")</f>
        <v>BUS_CNODE_JCT__1365</v>
      </c>
      <c r="C14" s="58" t="str">
        <f>IF(TRIM("BUS_都天元居开闭所（自）_220") = "", "BUS_都天元居开闭所（自）_220", "BUS_都天元居开闭所（自）_220")</f>
        <v>BUS_都天元居开闭所（自）_220</v>
      </c>
      <c r="D14" s="105" t="str">
        <f>IF(TRUE = TRUE, "Yes", "No")</f>
        <v>Yes</v>
      </c>
      <c r="E14" s="105" t="s">
        <v>5202</v>
      </c>
      <c r="F14" s="105" t="s">
        <v>5910</v>
      </c>
      <c r="G14" s="105"/>
      <c r="H14" s="105" t="str">
        <f>IF(0 = 0, "ANSI", "IEC")</f>
        <v>ANSI</v>
      </c>
      <c r="I14" s="105" t="str">
        <f>IF(1 = 0, "No", "Yes")</f>
        <v>Yes</v>
      </c>
      <c r="J14" s="105" t="str">
        <f>IF(0 = 1, "Yes", "No")</f>
        <v>No</v>
      </c>
      <c r="K14" s="105" t="str">
        <f>IF(0 = 0,"none","none")</f>
        <v>none</v>
      </c>
      <c r="L14" s="105" t="str">
        <f>IF(0 = 0,"none","none")</f>
        <v>none</v>
      </c>
      <c r="M14" s="105">
        <f>IF(0 = 0, ROUND(0, 1), "")</f>
        <v>0</v>
      </c>
      <c r="N14" s="105">
        <f>IF(0 = 0,ROUND(1.00999999, 3),"")</f>
        <v>1.01</v>
      </c>
      <c r="O14" s="266" t="str">
        <f>IF(0 = 0,IF(1 = 0, "Total", "Symmetrical"),"")</f>
        <v>Symmetrical</v>
      </c>
      <c r="P14" s="260">
        <f>IF(0 = 0,ROUND(0, 1),"")</f>
        <v>0</v>
      </c>
      <c r="Q14" s="105">
        <f>IF(0 = 0,ROUND(0, 1),"")</f>
        <v>0</v>
      </c>
      <c r="R14" s="105">
        <f>IF(0 = 0,ROUND(0, 1),"")</f>
        <v>0</v>
      </c>
      <c r="S14" s="260">
        <f>IF(0 = 0,ROUND(0, 1),"")</f>
        <v>0</v>
      </c>
      <c r="T14" s="242">
        <f>IF(0 = 0,CHOOSE(1 + 1, 3,5,8,2),"")</f>
        <v>5</v>
      </c>
      <c r="U14" s="267" t="str">
        <f>IF(0 = 0,"3","")</f>
        <v>3</v>
      </c>
      <c r="V14" s="260" t="str">
        <f>IF(0 = 1,ROUND(1250, 1),"")</f>
        <v/>
      </c>
      <c r="W14" s="260" t="str">
        <f>IF(0 = 1,ROUND(12, 3),"")</f>
        <v/>
      </c>
      <c r="X14" s="260" t="str">
        <f>IF(0 = 1,ROUND(100, 1),"")</f>
        <v/>
      </c>
      <c r="Y14" s="260" t="str">
        <f>IF(0 = 1,ROUND(0, 1),"")</f>
        <v/>
      </c>
      <c r="Z14" s="260" t="str">
        <f>IF(0 = 1,ROUND(0, 3),"")</f>
        <v/>
      </c>
      <c r="AA14" s="242" t="str">
        <f>IF(0 = 1,CHOOSE(0 + 1, 1.3,1.5),"")</f>
        <v/>
      </c>
      <c r="AB14" s="60" t="str">
        <f>IF(0 = 1,ROUND(0, 1),"")</f>
        <v/>
      </c>
      <c r="AC14" s="260" t="str">
        <f>IF(0 = 1,ROUND(3, 1),"")</f>
        <v/>
      </c>
      <c r="AD14" s="260"/>
      <c r="AE14" s="260"/>
      <c r="AF14" s="260"/>
      <c r="AG14" s="260"/>
      <c r="AH14" s="268"/>
      <c r="AI14" s="53" t="s">
        <v>5917</v>
      </c>
    </row>
    <row r="15" spans="1:40">
      <c r="A15" s="105" t="s">
        <v>5918</v>
      </c>
      <c r="B15" s="127" t="str">
        <f>IF(TRIM("BUS_CNODE_JCT__1305") = "", "BUS_CNODE_JCT__1305", "BUS_CNODE_JCT__1305")</f>
        <v>BUS_CNODE_JCT__1305</v>
      </c>
      <c r="C15" s="58" t="str">
        <f>IF(TRIM("BUS_都天元居开闭所（自）_220") = "", "BUS_都天元居开闭所（自）_220", "BUS_都天元居开闭所（自）_220")</f>
        <v>BUS_都天元居开闭所（自）_220</v>
      </c>
      <c r="D15" s="105" t="str">
        <f>IF(TRUE = TRUE, "Yes", "No")</f>
        <v>Yes</v>
      </c>
      <c r="E15" s="105" t="s">
        <v>5202</v>
      </c>
      <c r="F15" s="105" t="s">
        <v>5910</v>
      </c>
      <c r="G15" s="105"/>
      <c r="H15" s="105" t="str">
        <f>IF(0 = 0, "ANSI", "IEC")</f>
        <v>ANSI</v>
      </c>
      <c r="I15" s="105" t="str">
        <f>IF(1 = 0, "No", "Yes")</f>
        <v>Yes</v>
      </c>
      <c r="J15" s="105" t="str">
        <f>IF(0 = 1, "Yes", "No")</f>
        <v>No</v>
      </c>
      <c r="K15" s="105" t="str">
        <f>IF(0 = 0,"none","none")</f>
        <v>none</v>
      </c>
      <c r="L15" s="105" t="str">
        <f>IF(0 = 0,"none","none")</f>
        <v>none</v>
      </c>
      <c r="M15" s="105">
        <f>IF(0 = 0, ROUND(0, 1), "")</f>
        <v>0</v>
      </c>
      <c r="N15" s="105">
        <f>IF(0 = 0,ROUND(1.00999999, 3),"")</f>
        <v>1.01</v>
      </c>
      <c r="O15" s="266" t="str">
        <f>IF(0 = 0,IF(1 = 0, "Total", "Symmetrical"),"")</f>
        <v>Symmetrical</v>
      </c>
      <c r="P15" s="260">
        <f>IF(0 = 0,ROUND(0, 1),"")</f>
        <v>0</v>
      </c>
      <c r="Q15" s="105">
        <f>IF(0 = 0,ROUND(0, 1),"")</f>
        <v>0</v>
      </c>
      <c r="R15" s="105">
        <f>IF(0 = 0,ROUND(0, 1),"")</f>
        <v>0</v>
      </c>
      <c r="S15" s="260">
        <f>IF(0 = 0,ROUND(0, 1),"")</f>
        <v>0</v>
      </c>
      <c r="T15" s="242">
        <f>IF(0 = 0,CHOOSE(1 + 1, 3,5,8,2),"")</f>
        <v>5</v>
      </c>
      <c r="U15" s="267" t="str">
        <f>IF(0 = 0,"3","")</f>
        <v>3</v>
      </c>
      <c r="V15" s="260" t="str">
        <f>IF(0 = 1,ROUND(1250, 1),"")</f>
        <v/>
      </c>
      <c r="W15" s="260" t="str">
        <f>IF(0 = 1,ROUND(12, 3),"")</f>
        <v/>
      </c>
      <c r="X15" s="260" t="str">
        <f>IF(0 = 1,ROUND(100, 1),"")</f>
        <v/>
      </c>
      <c r="Y15" s="260" t="str">
        <f>IF(0 = 1,ROUND(0, 1),"")</f>
        <v/>
      </c>
      <c r="Z15" s="260" t="str">
        <f>IF(0 = 1,ROUND(0, 3),"")</f>
        <v/>
      </c>
      <c r="AA15" s="242" t="str">
        <f>IF(0 = 1,CHOOSE(0 + 1, 1.3,1.5),"")</f>
        <v/>
      </c>
      <c r="AB15" s="60" t="str">
        <f>IF(0 = 1,ROUND(0, 1),"")</f>
        <v/>
      </c>
      <c r="AC15" s="260" t="str">
        <f>IF(0 = 1,ROUND(3, 1),"")</f>
        <v/>
      </c>
      <c r="AD15" s="260"/>
      <c r="AE15" s="260"/>
      <c r="AF15" s="260"/>
      <c r="AG15" s="260"/>
      <c r="AH15" s="268"/>
      <c r="AI15" s="53" t="s">
        <v>5919</v>
      </c>
    </row>
    <row r="16" spans="1:40">
      <c r="A16" s="105" t="s">
        <v>5920</v>
      </c>
      <c r="B16" s="127" t="str">
        <f>IF(TRIM("BUS_CNODE_JCT__1436") = "", "BUS_CNODE_JCT__1436", "BUS_CNODE_JCT__1436")</f>
        <v>BUS_CNODE_JCT__1436</v>
      </c>
      <c r="C16" s="58" t="str">
        <f>IF(TRIM("BUS_都天元居开闭所（自）_220") = "", "BUS_都天元居开闭所（自）_220", "BUS_都天元居开闭所（自）_220")</f>
        <v>BUS_都天元居开闭所（自）_220</v>
      </c>
      <c r="D16" s="105" t="str">
        <f>IF(TRUE = TRUE, "Yes", "No")</f>
        <v>Yes</v>
      </c>
      <c r="E16" s="105" t="s">
        <v>5202</v>
      </c>
      <c r="F16" s="105" t="s">
        <v>5921</v>
      </c>
      <c r="G16" s="105"/>
      <c r="H16" s="105" t="str">
        <f>IF(0 = 0, "ANSI", "IEC")</f>
        <v>ANSI</v>
      </c>
      <c r="I16" s="105" t="str">
        <f>IF(1 = 0, "No", "Yes")</f>
        <v>Yes</v>
      </c>
      <c r="J16" s="105" t="str">
        <f>IF(0 = 1, "Yes", "No")</f>
        <v>No</v>
      </c>
      <c r="K16" s="105" t="str">
        <f>IF(0 = 0,"none","none")</f>
        <v>none</v>
      </c>
      <c r="L16" s="105" t="str">
        <f>IF(0 = 0,"none","none")</f>
        <v>none</v>
      </c>
      <c r="M16" s="105">
        <f>IF(0 = 0, ROUND(0, 1), "")</f>
        <v>0</v>
      </c>
      <c r="N16" s="105">
        <f>IF(0 = 0,ROUND(1.00999999, 3),"")</f>
        <v>1.01</v>
      </c>
      <c r="O16" s="266" t="str">
        <f>IF(0 = 0,IF(1 = 0, "Total", "Symmetrical"),"")</f>
        <v>Symmetrical</v>
      </c>
      <c r="P16" s="260">
        <f>IF(0 = 0,ROUND(0, 1),"")</f>
        <v>0</v>
      </c>
      <c r="Q16" s="105">
        <f>IF(0 = 0,ROUND(0, 1),"")</f>
        <v>0</v>
      </c>
      <c r="R16" s="105">
        <f>IF(0 = 0,ROUND(0, 1),"")</f>
        <v>0</v>
      </c>
      <c r="S16" s="260">
        <f>IF(0 = 0,ROUND(0, 1),"")</f>
        <v>0</v>
      </c>
      <c r="T16" s="242">
        <f>IF(0 = 0,CHOOSE(1 + 1, 3,5,8,2),"")</f>
        <v>5</v>
      </c>
      <c r="U16" s="267" t="str">
        <f>IF(0 = 0,"3","")</f>
        <v>3</v>
      </c>
      <c r="V16" s="260" t="str">
        <f>IF(0 = 1,ROUND(1250, 1),"")</f>
        <v/>
      </c>
      <c r="W16" s="260" t="str">
        <f>IF(0 = 1,ROUND(12, 3),"")</f>
        <v/>
      </c>
      <c r="X16" s="260" t="str">
        <f>IF(0 = 1,ROUND(100, 1),"")</f>
        <v/>
      </c>
      <c r="Y16" s="260" t="str">
        <f>IF(0 = 1,ROUND(0, 1),"")</f>
        <v/>
      </c>
      <c r="Z16" s="260" t="str">
        <f>IF(0 = 1,ROUND(0, 3),"")</f>
        <v/>
      </c>
      <c r="AA16" s="242" t="str">
        <f>IF(0 = 1,CHOOSE(0 + 1, 1.3,1.5),"")</f>
        <v/>
      </c>
      <c r="AB16" s="60" t="str">
        <f>IF(0 = 1,ROUND(0, 1),"")</f>
        <v/>
      </c>
      <c r="AC16" s="260" t="str">
        <f>IF(0 = 1,ROUND(3, 1),"")</f>
        <v/>
      </c>
      <c r="AD16" s="260"/>
      <c r="AE16" s="260"/>
      <c r="AF16" s="260"/>
      <c r="AG16" s="260"/>
      <c r="AH16" s="268"/>
      <c r="AI16" s="53" t="s">
        <v>5922</v>
      </c>
    </row>
    <row r="17" spans="1:35">
      <c r="A17" s="105" t="s">
        <v>5923</v>
      </c>
      <c r="B17" s="127" t="str">
        <f>IF(TRIM("BUS_CNODE_JCT__1361") = "", "BUS_CNODE_JCT__1361", "BUS_CNODE_JCT__1361")</f>
        <v>BUS_CNODE_JCT__1361</v>
      </c>
      <c r="C17" s="58" t="str">
        <f>IF(TRIM("BUS_都天元居开闭所（自）_220") = "", "BUS_都天元居开闭所（自）_220", "BUS_都天元居开闭所（自）_220")</f>
        <v>BUS_都天元居开闭所（自）_220</v>
      </c>
      <c r="D17" s="105" t="str">
        <f>IF(TRUE = TRUE, "Yes", "No")</f>
        <v>Yes</v>
      </c>
      <c r="E17" s="105" t="s">
        <v>5202</v>
      </c>
      <c r="F17" s="105" t="s">
        <v>5910</v>
      </c>
      <c r="G17" s="105"/>
      <c r="H17" s="105" t="str">
        <f>IF(0 = 0, "ANSI", "IEC")</f>
        <v>ANSI</v>
      </c>
      <c r="I17" s="105" t="str">
        <f>IF(1 = 0, "No", "Yes")</f>
        <v>Yes</v>
      </c>
      <c r="J17" s="105" t="str">
        <f>IF(0 = 1, "Yes", "No")</f>
        <v>No</v>
      </c>
      <c r="K17" s="105" t="str">
        <f>IF(0 = 0,"none","none")</f>
        <v>none</v>
      </c>
      <c r="L17" s="105" t="str">
        <f>IF(0 = 0,"none","none")</f>
        <v>none</v>
      </c>
      <c r="M17" s="105">
        <f>IF(0 = 0, ROUND(0, 1), "")</f>
        <v>0</v>
      </c>
      <c r="N17" s="105">
        <f>IF(0 = 0,ROUND(1.00999999, 3),"")</f>
        <v>1.01</v>
      </c>
      <c r="O17" s="266" t="str">
        <f>IF(0 = 0,IF(1 = 0, "Total", "Symmetrical"),"")</f>
        <v>Symmetrical</v>
      </c>
      <c r="P17" s="260">
        <f>IF(0 = 0,ROUND(0, 1),"")</f>
        <v>0</v>
      </c>
      <c r="Q17" s="105">
        <f>IF(0 = 0,ROUND(0, 1),"")</f>
        <v>0</v>
      </c>
      <c r="R17" s="105">
        <f>IF(0 = 0,ROUND(0, 1),"")</f>
        <v>0</v>
      </c>
      <c r="S17" s="260">
        <f>IF(0 = 0,ROUND(0, 1),"")</f>
        <v>0</v>
      </c>
      <c r="T17" s="242">
        <f>IF(0 = 0,CHOOSE(1 + 1, 3,5,8,2),"")</f>
        <v>5</v>
      </c>
      <c r="U17" s="267" t="str">
        <f>IF(0 = 0,"3","")</f>
        <v>3</v>
      </c>
      <c r="V17" s="260" t="str">
        <f>IF(0 = 1,ROUND(1250, 1),"")</f>
        <v/>
      </c>
      <c r="W17" s="260" t="str">
        <f>IF(0 = 1,ROUND(12, 3),"")</f>
        <v/>
      </c>
      <c r="X17" s="260" t="str">
        <f>IF(0 = 1,ROUND(100, 1),"")</f>
        <v/>
      </c>
      <c r="Y17" s="260" t="str">
        <f>IF(0 = 1,ROUND(0, 1),"")</f>
        <v/>
      </c>
      <c r="Z17" s="260" t="str">
        <f>IF(0 = 1,ROUND(0, 3),"")</f>
        <v/>
      </c>
      <c r="AA17" s="242" t="str">
        <f>IF(0 = 1,CHOOSE(0 + 1, 1.3,1.5),"")</f>
        <v/>
      </c>
      <c r="AB17" s="60" t="str">
        <f>IF(0 = 1,ROUND(0, 1),"")</f>
        <v/>
      </c>
      <c r="AC17" s="260" t="str">
        <f>IF(0 = 1,ROUND(3, 1),"")</f>
        <v/>
      </c>
      <c r="AD17" s="260"/>
      <c r="AE17" s="260"/>
      <c r="AF17" s="260"/>
      <c r="AG17" s="260"/>
      <c r="AH17" s="268"/>
      <c r="AI17" s="53" t="s">
        <v>5924</v>
      </c>
    </row>
    <row r="18" spans="1:35">
      <c r="A18" s="105" t="s">
        <v>5925</v>
      </c>
      <c r="B18" s="127" t="str">
        <f>IF(TRIM("") = "", "", "")</f>
        <v/>
      </c>
      <c r="C18" s="58" t="str">
        <f>IF(TRIM("BUS_都天元居开闭所（自）_219") = "", "BUS_都天元居开闭所（自）_219", "BUS_都天元居开闭所（自）_219")</f>
        <v>BUS_都天元居开闭所（自）_219</v>
      </c>
      <c r="D18" s="105" t="str">
        <f>IF(TRUE = TRUE, "Yes", "No")</f>
        <v>Yes</v>
      </c>
      <c r="E18" s="105" t="s">
        <v>5202</v>
      </c>
      <c r="F18" s="105" t="s">
        <v>5910</v>
      </c>
      <c r="G18" s="105"/>
      <c r="H18" s="105" t="str">
        <f>IF(0 = 0, "ANSI", "IEC")</f>
        <v>ANSI</v>
      </c>
      <c r="I18" s="105" t="str">
        <f>IF(1 = 0, "No", "Yes")</f>
        <v>Yes</v>
      </c>
      <c r="J18" s="105" t="str">
        <f>IF(0 = 1, "Yes", "No")</f>
        <v>No</v>
      </c>
      <c r="K18" s="105" t="str">
        <f>IF(0 = 0,"none","none")</f>
        <v>none</v>
      </c>
      <c r="L18" s="105" t="str">
        <f>IF(0 = 0,"none","none")</f>
        <v>none</v>
      </c>
      <c r="M18" s="105">
        <f>IF(0 = 0, ROUND(0, 1), "")</f>
        <v>0</v>
      </c>
      <c r="N18" s="105">
        <f>IF(0 = 0,ROUND(1.00999999, 3),"")</f>
        <v>1.01</v>
      </c>
      <c r="O18" s="266" t="str">
        <f>IF(0 = 0,IF(1 = 0, "Total", "Symmetrical"),"")</f>
        <v>Symmetrical</v>
      </c>
      <c r="P18" s="260">
        <f>IF(0 = 0,ROUND(0, 1),"")</f>
        <v>0</v>
      </c>
      <c r="Q18" s="105">
        <f>IF(0 = 0,ROUND(0, 1),"")</f>
        <v>0</v>
      </c>
      <c r="R18" s="105">
        <f>IF(0 = 0,ROUND(0, 1),"")</f>
        <v>0</v>
      </c>
      <c r="S18" s="260">
        <f>IF(0 = 0,ROUND(0, 1),"")</f>
        <v>0</v>
      </c>
      <c r="T18" s="242">
        <f>IF(0 = 0,CHOOSE(1 + 1, 3,5,8,2),"")</f>
        <v>5</v>
      </c>
      <c r="U18" s="267" t="str">
        <f>IF(0 = 0,"3","")</f>
        <v>3</v>
      </c>
      <c r="V18" s="260" t="str">
        <f>IF(0 = 1,ROUND(1250, 1),"")</f>
        <v/>
      </c>
      <c r="W18" s="260" t="str">
        <f>IF(0 = 1,ROUND(12, 3),"")</f>
        <v/>
      </c>
      <c r="X18" s="260" t="str">
        <f>IF(0 = 1,ROUND(100, 1),"")</f>
        <v/>
      </c>
      <c r="Y18" s="260" t="str">
        <f>IF(0 = 1,ROUND(0, 1),"")</f>
        <v/>
      </c>
      <c r="Z18" s="260" t="str">
        <f>IF(0 = 1,ROUND(0, 3),"")</f>
        <v/>
      </c>
      <c r="AA18" s="242" t="str">
        <f>IF(0 = 1,CHOOSE(0 + 1, 1.3,1.5),"")</f>
        <v/>
      </c>
      <c r="AB18" s="60" t="str">
        <f>IF(0 = 1,ROUND(0, 1),"")</f>
        <v/>
      </c>
      <c r="AC18" s="260" t="str">
        <f>IF(0 = 1,ROUND(3, 1),"")</f>
        <v/>
      </c>
      <c r="AD18" s="260"/>
      <c r="AE18" s="260"/>
      <c r="AF18" s="260"/>
      <c r="AG18" s="260"/>
      <c r="AH18" s="268"/>
      <c r="AI18" s="53" t="s">
        <v>5926</v>
      </c>
    </row>
    <row r="19" spans="1:35">
      <c r="A19" s="105" t="s">
        <v>5927</v>
      </c>
      <c r="B19" s="127" t="str">
        <f>IF(TRIM("") = "", "", "")</f>
        <v/>
      </c>
      <c r="C19" s="58" t="str">
        <f>IF(TRIM("BUS_都天元居开闭所（自）_219") = "", "BUS_都天元居开闭所（自）_219", "BUS_都天元居开闭所（自）_219")</f>
        <v>BUS_都天元居开闭所（自）_219</v>
      </c>
      <c r="D19" s="105" t="str">
        <f>IF(TRUE = TRUE, "Yes", "No")</f>
        <v>Yes</v>
      </c>
      <c r="E19" s="105" t="s">
        <v>5202</v>
      </c>
      <c r="F19" s="105" t="s">
        <v>5910</v>
      </c>
      <c r="G19" s="105"/>
      <c r="H19" s="105" t="str">
        <f>IF(0 = 0, "ANSI", "IEC")</f>
        <v>ANSI</v>
      </c>
      <c r="I19" s="105" t="str">
        <f>IF(1 = 0, "No", "Yes")</f>
        <v>Yes</v>
      </c>
      <c r="J19" s="105" t="str">
        <f>IF(0 = 1, "Yes", "No")</f>
        <v>No</v>
      </c>
      <c r="K19" s="105" t="str">
        <f>IF(0 = 0,"none","none")</f>
        <v>none</v>
      </c>
      <c r="L19" s="105" t="str">
        <f>IF(0 = 0,"none","none")</f>
        <v>none</v>
      </c>
      <c r="M19" s="105">
        <f>IF(0 = 0, ROUND(0, 1), "")</f>
        <v>0</v>
      </c>
      <c r="N19" s="105">
        <f>IF(0 = 0,ROUND(1.00999999, 3),"")</f>
        <v>1.01</v>
      </c>
      <c r="O19" s="266" t="str">
        <f>IF(0 = 0,IF(1 = 0, "Total", "Symmetrical"),"")</f>
        <v>Symmetrical</v>
      </c>
      <c r="P19" s="260">
        <f>IF(0 = 0,ROUND(0, 1),"")</f>
        <v>0</v>
      </c>
      <c r="Q19" s="105">
        <f>IF(0 = 0,ROUND(0, 1),"")</f>
        <v>0</v>
      </c>
      <c r="R19" s="105">
        <f>IF(0 = 0,ROUND(0, 1),"")</f>
        <v>0</v>
      </c>
      <c r="S19" s="260">
        <f>IF(0 = 0,ROUND(0, 1),"")</f>
        <v>0</v>
      </c>
      <c r="T19" s="242">
        <f>IF(0 = 0,CHOOSE(1 + 1, 3,5,8,2),"")</f>
        <v>5</v>
      </c>
      <c r="U19" s="267" t="str">
        <f>IF(0 = 0,"3","")</f>
        <v>3</v>
      </c>
      <c r="V19" s="260" t="str">
        <f>IF(0 = 1,ROUND(1250, 1),"")</f>
        <v/>
      </c>
      <c r="W19" s="260" t="str">
        <f>IF(0 = 1,ROUND(12, 3),"")</f>
        <v/>
      </c>
      <c r="X19" s="260" t="str">
        <f>IF(0 = 1,ROUND(100, 1),"")</f>
        <v/>
      </c>
      <c r="Y19" s="260" t="str">
        <f>IF(0 = 1,ROUND(0, 1),"")</f>
        <v/>
      </c>
      <c r="Z19" s="260" t="str">
        <f>IF(0 = 1,ROUND(0, 3),"")</f>
        <v/>
      </c>
      <c r="AA19" s="242" t="str">
        <f>IF(0 = 1,CHOOSE(0 + 1, 1.3,1.5),"")</f>
        <v/>
      </c>
      <c r="AB19" s="60" t="str">
        <f>IF(0 = 1,ROUND(0, 1),"")</f>
        <v/>
      </c>
      <c r="AC19" s="260" t="str">
        <f>IF(0 = 1,ROUND(3, 1),"")</f>
        <v/>
      </c>
      <c r="AD19" s="260"/>
      <c r="AE19" s="260"/>
      <c r="AF19" s="260"/>
      <c r="AG19" s="260"/>
      <c r="AH19" s="268"/>
      <c r="AI19" s="53" t="s">
        <v>5928</v>
      </c>
    </row>
    <row r="20" spans="1:35" s="85" customFormat="1">
      <c r="A20" s="105" t="s">
        <v>5929</v>
      </c>
      <c r="B20" s="127" t="str">
        <f>IF(TRIM("BUS_CNODE_JCT__1436") = "", "BUS_CNODE_JCT__1436", "BUS_CNODE_JCT__1436")</f>
        <v>BUS_CNODE_JCT__1436</v>
      </c>
      <c r="C20" s="58" t="str">
        <f>IF(TRIM("BUS_都天元居开闭所（自）_219") = "", "BUS_都天元居开闭所（自）_219", "BUS_都天元居开闭所（自）_219")</f>
        <v>BUS_都天元居开闭所（自）_219</v>
      </c>
      <c r="D20" s="105" t="str">
        <f>IF(TRUE = TRUE, "Yes", "No")</f>
        <v>Yes</v>
      </c>
      <c r="E20" s="105" t="s">
        <v>5202</v>
      </c>
      <c r="F20" s="105" t="s">
        <v>5910</v>
      </c>
      <c r="G20" s="105"/>
      <c r="H20" s="105" t="str">
        <f>IF(0 = 0, "ANSI", "IEC")</f>
        <v>ANSI</v>
      </c>
      <c r="I20" s="105" t="str">
        <f>IF(1 = 0, "No", "Yes")</f>
        <v>Yes</v>
      </c>
      <c r="J20" s="105" t="str">
        <f>IF(0 = 1, "Yes", "No")</f>
        <v>No</v>
      </c>
      <c r="K20" s="105" t="str">
        <f>IF(0 = 0,"none","none")</f>
        <v>none</v>
      </c>
      <c r="L20" s="105" t="str">
        <f>IF(0 = 0,"none","none")</f>
        <v>none</v>
      </c>
      <c r="M20" s="105">
        <f>IF(0 = 0, ROUND(0, 1), "")</f>
        <v>0</v>
      </c>
      <c r="N20" s="105">
        <f>IF(0 = 0,ROUND(1.00999999, 3),"")</f>
        <v>1.01</v>
      </c>
      <c r="O20" s="266" t="str">
        <f>IF(0 = 0,IF(1 = 0, "Total", "Symmetrical"),"")</f>
        <v>Symmetrical</v>
      </c>
      <c r="P20" s="260">
        <f>IF(0 = 0,ROUND(0, 1),"")</f>
        <v>0</v>
      </c>
      <c r="Q20" s="105">
        <f>IF(0 = 0,ROUND(0, 1),"")</f>
        <v>0</v>
      </c>
      <c r="R20" s="105">
        <f>IF(0 = 0,ROUND(0, 1),"")</f>
        <v>0</v>
      </c>
      <c r="S20" s="260">
        <f>IF(0 = 0,ROUND(0, 1),"")</f>
        <v>0</v>
      </c>
      <c r="T20" s="242">
        <f>IF(0 = 0,CHOOSE(1 + 1, 3,5,8,2),"")</f>
        <v>5</v>
      </c>
      <c r="U20" s="267" t="str">
        <f>IF(0 = 0,"3","")</f>
        <v>3</v>
      </c>
      <c r="V20" s="260" t="str">
        <f>IF(0 = 1,ROUND(1250, 1),"")</f>
        <v/>
      </c>
      <c r="W20" s="260" t="str">
        <f>IF(0 = 1,ROUND(12, 3),"")</f>
        <v/>
      </c>
      <c r="X20" s="260" t="str">
        <f>IF(0 = 1,ROUND(100, 1),"")</f>
        <v/>
      </c>
      <c r="Y20" s="260" t="str">
        <f>IF(0 = 1,ROUND(0, 1),"")</f>
        <v/>
      </c>
      <c r="Z20" s="260" t="str">
        <f>IF(0 = 1,ROUND(0, 3),"")</f>
        <v/>
      </c>
      <c r="AA20" s="242" t="str">
        <f>IF(0 = 1,CHOOSE(0 + 1, 1.3,1.5),"")</f>
        <v/>
      </c>
      <c r="AB20" s="60" t="str">
        <f>IF(0 = 1,ROUND(0, 1),"")</f>
        <v/>
      </c>
      <c r="AC20" s="260" t="str">
        <f>IF(0 = 1,ROUND(3, 1),"")</f>
        <v/>
      </c>
      <c r="AD20" s="260"/>
      <c r="AE20" s="260"/>
      <c r="AF20" s="260"/>
      <c r="AG20" s="260"/>
      <c r="AH20" s="268"/>
      <c r="AI20" s="53" t="s">
        <v>5930</v>
      </c>
    </row>
    <row r="21" spans="1:35" s="85" customFormat="1">
      <c r="A21" s="105" t="s">
        <v>5931</v>
      </c>
      <c r="B21" s="127" t="str">
        <f>IF(TRIM("") = "", "", "")</f>
        <v/>
      </c>
      <c r="C21" s="58" t="str">
        <f>IF(TRIM("BUS_都天元居开闭所（自）_219") = "", "BUS_都天元居开闭所（自）_219", "BUS_都天元居开闭所（自）_219")</f>
        <v>BUS_都天元居开闭所（自）_219</v>
      </c>
      <c r="D21" s="105" t="str">
        <f>IF(TRUE = TRUE, "Yes", "No")</f>
        <v>Yes</v>
      </c>
      <c r="E21" s="105" t="s">
        <v>5202</v>
      </c>
      <c r="F21" s="105" t="s">
        <v>5910</v>
      </c>
      <c r="G21" s="105"/>
      <c r="H21" s="105" t="str">
        <f>IF(0 = 0, "ANSI", "IEC")</f>
        <v>ANSI</v>
      </c>
      <c r="I21" s="105" t="str">
        <f>IF(1 = 0, "No", "Yes")</f>
        <v>Yes</v>
      </c>
      <c r="J21" s="105" t="str">
        <f>IF(0 = 1, "Yes", "No")</f>
        <v>No</v>
      </c>
      <c r="K21" s="105" t="str">
        <f>IF(0 = 0,"none","none")</f>
        <v>none</v>
      </c>
      <c r="L21" s="105" t="str">
        <f>IF(0 = 0,"none","none")</f>
        <v>none</v>
      </c>
      <c r="M21" s="105">
        <f>IF(0 = 0, ROUND(0, 1), "")</f>
        <v>0</v>
      </c>
      <c r="N21" s="105">
        <f>IF(0 = 0,ROUND(1.00999999, 3),"")</f>
        <v>1.01</v>
      </c>
      <c r="O21" s="266" t="str">
        <f>IF(0 = 0,IF(1 = 0, "Total", "Symmetrical"),"")</f>
        <v>Symmetrical</v>
      </c>
      <c r="P21" s="260">
        <f>IF(0 = 0,ROUND(0, 1),"")</f>
        <v>0</v>
      </c>
      <c r="Q21" s="105">
        <f>IF(0 = 0,ROUND(0, 1),"")</f>
        <v>0</v>
      </c>
      <c r="R21" s="105">
        <f>IF(0 = 0,ROUND(0, 1),"")</f>
        <v>0</v>
      </c>
      <c r="S21" s="260">
        <f>IF(0 = 0,ROUND(0, 1),"")</f>
        <v>0</v>
      </c>
      <c r="T21" s="242">
        <f>IF(0 = 0,CHOOSE(1 + 1, 3,5,8,2),"")</f>
        <v>5</v>
      </c>
      <c r="U21" s="267" t="str">
        <f>IF(0 = 0,"3","")</f>
        <v>3</v>
      </c>
      <c r="V21" s="260" t="str">
        <f>IF(0 = 1,ROUND(1250, 1),"")</f>
        <v/>
      </c>
      <c r="W21" s="260" t="str">
        <f>IF(0 = 1,ROUND(12, 3),"")</f>
        <v/>
      </c>
      <c r="X21" s="260" t="str">
        <f>IF(0 = 1,ROUND(100, 1),"")</f>
        <v/>
      </c>
      <c r="Y21" s="260" t="str">
        <f>IF(0 = 1,ROUND(0, 1),"")</f>
        <v/>
      </c>
      <c r="Z21" s="260" t="str">
        <f>IF(0 = 1,ROUND(0, 3),"")</f>
        <v/>
      </c>
      <c r="AA21" s="242" t="str">
        <f>IF(0 = 1,CHOOSE(0 + 1, 1.3,1.5),"")</f>
        <v/>
      </c>
      <c r="AB21" s="60" t="str">
        <f>IF(0 = 1,ROUND(0, 1),"")</f>
        <v/>
      </c>
      <c r="AC21" s="260" t="str">
        <f>IF(0 = 1,ROUND(3, 1),"")</f>
        <v/>
      </c>
      <c r="AD21" s="260"/>
      <c r="AE21" s="260"/>
      <c r="AF21" s="260"/>
      <c r="AG21" s="260"/>
      <c r="AH21" s="268"/>
      <c r="AI21" s="53" t="s">
        <v>5932</v>
      </c>
    </row>
    <row r="22" spans="1:35" s="85" customFormat="1">
      <c r="A22" s="105" t="s">
        <v>5933</v>
      </c>
      <c r="B22" s="127" t="str">
        <f>IF(TRIM("") = "", "", "")</f>
        <v/>
      </c>
      <c r="C22" s="58" t="str">
        <f>IF(TRIM("BUS_都天元居开闭所（自）_219") = "", "BUS_都天元居开闭所（自）_219", "BUS_都天元居开闭所（自）_219")</f>
        <v>BUS_都天元居开闭所（自）_219</v>
      </c>
      <c r="D22" s="105" t="str">
        <f>IF(TRUE = TRUE, "Yes", "No")</f>
        <v>Yes</v>
      </c>
      <c r="E22" s="105" t="s">
        <v>5202</v>
      </c>
      <c r="F22" s="105" t="s">
        <v>5910</v>
      </c>
      <c r="G22" s="105"/>
      <c r="H22" s="105" t="str">
        <f>IF(0 = 0, "ANSI", "IEC")</f>
        <v>ANSI</v>
      </c>
      <c r="I22" s="105" t="str">
        <f>IF(1 = 0, "No", "Yes")</f>
        <v>Yes</v>
      </c>
      <c r="J22" s="105" t="str">
        <f>IF(0 = 1, "Yes", "No")</f>
        <v>No</v>
      </c>
      <c r="K22" s="105" t="str">
        <f>IF(0 = 0,"none","none")</f>
        <v>none</v>
      </c>
      <c r="L22" s="105" t="str">
        <f>IF(0 = 0,"none","none")</f>
        <v>none</v>
      </c>
      <c r="M22" s="105">
        <f>IF(0 = 0, ROUND(0, 1), "")</f>
        <v>0</v>
      </c>
      <c r="N22" s="105">
        <f>IF(0 = 0,ROUND(1.00999999, 3),"")</f>
        <v>1.01</v>
      </c>
      <c r="O22" s="266" t="str">
        <f>IF(0 = 0,IF(1 = 0, "Total", "Symmetrical"),"")</f>
        <v>Symmetrical</v>
      </c>
      <c r="P22" s="260">
        <f>IF(0 = 0,ROUND(0, 1),"")</f>
        <v>0</v>
      </c>
      <c r="Q22" s="105">
        <f>IF(0 = 0,ROUND(0, 1),"")</f>
        <v>0</v>
      </c>
      <c r="R22" s="105">
        <f>IF(0 = 0,ROUND(0, 1),"")</f>
        <v>0</v>
      </c>
      <c r="S22" s="260">
        <f>IF(0 = 0,ROUND(0, 1),"")</f>
        <v>0</v>
      </c>
      <c r="T22" s="242">
        <f>IF(0 = 0,CHOOSE(1 + 1, 3,5,8,2),"")</f>
        <v>5</v>
      </c>
      <c r="U22" s="267" t="str">
        <f>IF(0 = 0,"3","")</f>
        <v>3</v>
      </c>
      <c r="V22" s="260" t="str">
        <f>IF(0 = 1,ROUND(1250, 1),"")</f>
        <v/>
      </c>
      <c r="W22" s="260" t="str">
        <f>IF(0 = 1,ROUND(12, 3),"")</f>
        <v/>
      </c>
      <c r="X22" s="260" t="str">
        <f>IF(0 = 1,ROUND(100, 1),"")</f>
        <v/>
      </c>
      <c r="Y22" s="260" t="str">
        <f>IF(0 = 1,ROUND(0, 1),"")</f>
        <v/>
      </c>
      <c r="Z22" s="260" t="str">
        <f>IF(0 = 1,ROUND(0, 3),"")</f>
        <v/>
      </c>
      <c r="AA22" s="242" t="str">
        <f>IF(0 = 1,CHOOSE(0 + 1, 1.3,1.5),"")</f>
        <v/>
      </c>
      <c r="AB22" s="60" t="str">
        <f>IF(0 = 1,ROUND(0, 1),"")</f>
        <v/>
      </c>
      <c r="AC22" s="260" t="str">
        <f>IF(0 = 1,ROUND(3, 1),"")</f>
        <v/>
      </c>
      <c r="AD22" s="260"/>
      <c r="AE22" s="260"/>
      <c r="AF22" s="260"/>
      <c r="AG22" s="260"/>
      <c r="AH22" s="268"/>
      <c r="AI22" s="53" t="s">
        <v>5934</v>
      </c>
    </row>
    <row r="23" spans="1:35">
      <c r="A23" s="105" t="s">
        <v>5935</v>
      </c>
      <c r="B23" s="127" t="str">
        <f>IF(TRIM("BUS_CNODE_JCT__1364") = "", "BUS_CNODE_JCT__1364", "BUS_CNODE_JCT__1364")</f>
        <v>BUS_CNODE_JCT__1364</v>
      </c>
      <c r="C23" s="58" t="str">
        <f>IF(TRIM("BUS_都天元居开闭所（自）_220") = "", "BUS_都天元居开闭所（自）_220", "BUS_都天元居开闭所（自）_220")</f>
        <v>BUS_都天元居开闭所（自）_220</v>
      </c>
      <c r="D23" s="105" t="str">
        <f>IF(TRUE = TRUE, "Yes", "No")</f>
        <v>Yes</v>
      </c>
      <c r="E23" s="105" t="s">
        <v>5202</v>
      </c>
      <c r="F23" s="105" t="s">
        <v>5910</v>
      </c>
      <c r="G23" s="105"/>
      <c r="H23" s="105" t="str">
        <f>IF(0 = 0, "ANSI", "IEC")</f>
        <v>ANSI</v>
      </c>
      <c r="I23" s="105" t="str">
        <f>IF(1 = 0, "No", "Yes")</f>
        <v>Yes</v>
      </c>
      <c r="J23" s="105" t="str">
        <f>IF(0 = 1, "Yes", "No")</f>
        <v>No</v>
      </c>
      <c r="K23" s="105" t="str">
        <f>IF(0 = 0,"none","none")</f>
        <v>none</v>
      </c>
      <c r="L23" s="105" t="str">
        <f>IF(0 = 0,"none","none")</f>
        <v>none</v>
      </c>
      <c r="M23" s="105">
        <f>IF(0 = 0, ROUND(0, 1), "")</f>
        <v>0</v>
      </c>
      <c r="N23" s="105">
        <f>IF(0 = 0,ROUND(1.00999999, 3),"")</f>
        <v>1.01</v>
      </c>
      <c r="O23" s="266" t="str">
        <f>IF(0 = 0,IF(1 = 0, "Total", "Symmetrical"),"")</f>
        <v>Symmetrical</v>
      </c>
      <c r="P23" s="260">
        <f>IF(0 = 0,ROUND(0, 1),"")</f>
        <v>0</v>
      </c>
      <c r="Q23" s="105">
        <f>IF(0 = 0,ROUND(0, 1),"")</f>
        <v>0</v>
      </c>
      <c r="R23" s="105">
        <f>IF(0 = 0,ROUND(0, 1),"")</f>
        <v>0</v>
      </c>
      <c r="S23" s="260">
        <f>IF(0 = 0,ROUND(0, 1),"")</f>
        <v>0</v>
      </c>
      <c r="T23" s="242">
        <f>IF(0 = 0,CHOOSE(1 + 1, 3,5,8,2),"")</f>
        <v>5</v>
      </c>
      <c r="U23" s="267" t="str">
        <f>IF(0 = 0,"3","")</f>
        <v>3</v>
      </c>
      <c r="V23" s="260" t="str">
        <f>IF(0 = 1,ROUND(1250, 1),"")</f>
        <v/>
      </c>
      <c r="W23" s="260" t="str">
        <f>IF(0 = 1,ROUND(12, 3),"")</f>
        <v/>
      </c>
      <c r="X23" s="260" t="str">
        <f>IF(0 = 1,ROUND(100, 1),"")</f>
        <v/>
      </c>
      <c r="Y23" s="260" t="str">
        <f>IF(0 = 1,ROUND(0, 1),"")</f>
        <v/>
      </c>
      <c r="Z23" s="260" t="str">
        <f>IF(0 = 1,ROUND(0, 3),"")</f>
        <v/>
      </c>
      <c r="AA23" s="242" t="str">
        <f>IF(0 = 1,CHOOSE(0 + 1, 1.3,1.5),"")</f>
        <v/>
      </c>
      <c r="AB23" s="60" t="str">
        <f>IF(0 = 1,ROUND(0, 1),"")</f>
        <v/>
      </c>
      <c r="AC23" s="260" t="str">
        <f>IF(0 = 1,ROUND(3, 1),"")</f>
        <v/>
      </c>
      <c r="AD23" s="260"/>
      <c r="AE23" s="260"/>
      <c r="AF23" s="260"/>
      <c r="AG23" s="260"/>
      <c r="AH23" s="268"/>
      <c r="AI23" s="53" t="s">
        <v>5936</v>
      </c>
    </row>
    <row r="24" spans="1:35">
      <c r="A24" s="105" t="s">
        <v>5937</v>
      </c>
      <c r="B24" s="127" t="str">
        <f>IF(TRIM("") = "", "", "")</f>
        <v/>
      </c>
      <c r="C24" s="58" t="str">
        <f>IF(TRIM("BUS_都天元居开闭所（自）_220") = "", "BUS_都天元居开闭所（自）_220", "BUS_都天元居开闭所（自）_220")</f>
        <v>BUS_都天元居开闭所（自）_220</v>
      </c>
      <c r="D24" s="105" t="str">
        <f>IF(TRUE = TRUE, "Yes", "No")</f>
        <v>Yes</v>
      </c>
      <c r="E24" s="105" t="s">
        <v>5202</v>
      </c>
      <c r="F24" s="105" t="s">
        <v>5910</v>
      </c>
      <c r="G24" s="105"/>
      <c r="H24" s="105" t="str">
        <f>IF(0 = 0, "ANSI", "IEC")</f>
        <v>ANSI</v>
      </c>
      <c r="I24" s="105" t="str">
        <f>IF(1 = 0, "No", "Yes")</f>
        <v>Yes</v>
      </c>
      <c r="J24" s="105" t="str">
        <f>IF(0 = 1, "Yes", "No")</f>
        <v>No</v>
      </c>
      <c r="K24" s="105" t="str">
        <f>IF(0 = 0,"none","none")</f>
        <v>none</v>
      </c>
      <c r="L24" s="105" t="str">
        <f>IF(0 = 0,"none","none")</f>
        <v>none</v>
      </c>
      <c r="M24" s="105">
        <f>IF(0 = 0, ROUND(0, 1), "")</f>
        <v>0</v>
      </c>
      <c r="N24" s="105">
        <f>IF(0 = 0,ROUND(1.00999999, 3),"")</f>
        <v>1.01</v>
      </c>
      <c r="O24" s="266" t="str">
        <f>IF(0 = 0,IF(1 = 0, "Total", "Symmetrical"),"")</f>
        <v>Symmetrical</v>
      </c>
      <c r="P24" s="260">
        <f>IF(0 = 0,ROUND(0, 1),"")</f>
        <v>0</v>
      </c>
      <c r="Q24" s="105">
        <f>IF(0 = 0,ROUND(0, 1),"")</f>
        <v>0</v>
      </c>
      <c r="R24" s="105">
        <f>IF(0 = 0,ROUND(0, 1),"")</f>
        <v>0</v>
      </c>
      <c r="S24" s="260">
        <f>IF(0 = 0,ROUND(0, 1),"")</f>
        <v>0</v>
      </c>
      <c r="T24" s="242">
        <f>IF(0 = 0,CHOOSE(1 + 1, 3,5,8,2),"")</f>
        <v>5</v>
      </c>
      <c r="U24" s="267" t="str">
        <f>IF(0 = 0,"3","")</f>
        <v>3</v>
      </c>
      <c r="V24" s="260" t="str">
        <f>IF(0 = 1,ROUND(1250, 1),"")</f>
        <v/>
      </c>
      <c r="W24" s="260" t="str">
        <f>IF(0 = 1,ROUND(12, 3),"")</f>
        <v/>
      </c>
      <c r="X24" s="260" t="str">
        <f>IF(0 = 1,ROUND(100, 1),"")</f>
        <v/>
      </c>
      <c r="Y24" s="260" t="str">
        <f>IF(0 = 1,ROUND(0, 1),"")</f>
        <v/>
      </c>
      <c r="Z24" s="260" t="str">
        <f>IF(0 = 1,ROUND(0, 3),"")</f>
        <v/>
      </c>
      <c r="AA24" s="242" t="str">
        <f>IF(0 = 1,CHOOSE(0 + 1, 1.3,1.5),"")</f>
        <v/>
      </c>
      <c r="AB24" s="60" t="str">
        <f>IF(0 = 1,ROUND(0, 1),"")</f>
        <v/>
      </c>
      <c r="AC24" s="260" t="str">
        <f>IF(0 = 1,ROUND(3, 1),"")</f>
        <v/>
      </c>
      <c r="AD24" s="260"/>
      <c r="AE24" s="260"/>
      <c r="AF24" s="260"/>
      <c r="AG24" s="260"/>
      <c r="AH24" s="268"/>
      <c r="AI24" s="53" t="s">
        <v>5938</v>
      </c>
    </row>
    <row r="25" spans="1:35">
      <c r="A25" s="105" t="s">
        <v>5939</v>
      </c>
      <c r="B25" s="127" t="str">
        <f>IF(TRIM("BUS_CNODE_JCT__1425") = "", "BUS_CNODE_JCT__1425", "BUS_CNODE_JCT__1425")</f>
        <v>BUS_CNODE_JCT__1425</v>
      </c>
      <c r="C25" s="58" t="str">
        <f>IF(TRIM("BUS_号环网柜（自）（气）_205") = "", "BUS_号环网柜（自）（气）_205", "BUS_号环网柜（自）（气）_205")</f>
        <v>BUS_号环网柜（自）（气）_205</v>
      </c>
      <c r="D25" s="105" t="str">
        <f>IF(TRUE = TRUE, "Yes", "No")</f>
        <v>Yes</v>
      </c>
      <c r="E25" s="105" t="s">
        <v>5202</v>
      </c>
      <c r="F25" s="105" t="s">
        <v>5910</v>
      </c>
      <c r="G25" s="105"/>
      <c r="H25" s="105" t="str">
        <f>IF(0 = 0, "ANSI", "IEC")</f>
        <v>ANSI</v>
      </c>
      <c r="I25" s="105" t="str">
        <f>IF(1 = 0, "No", "Yes")</f>
        <v>Yes</v>
      </c>
      <c r="J25" s="105" t="str">
        <f>IF(0 = 1, "Yes", "No")</f>
        <v>No</v>
      </c>
      <c r="K25" s="105" t="str">
        <f>IF(0 = 0,"none","none")</f>
        <v>none</v>
      </c>
      <c r="L25" s="105" t="str">
        <f>IF(0 = 0,"none","none")</f>
        <v>none</v>
      </c>
      <c r="M25" s="105">
        <f>IF(0 = 0, ROUND(0, 1), "")</f>
        <v>0</v>
      </c>
      <c r="N25" s="105">
        <f>IF(0 = 0,ROUND(1.00999999, 3),"")</f>
        <v>1.01</v>
      </c>
      <c r="O25" s="266" t="str">
        <f>IF(0 = 0,IF(1 = 0, "Total", "Symmetrical"),"")</f>
        <v>Symmetrical</v>
      </c>
      <c r="P25" s="260">
        <f>IF(0 = 0,ROUND(0, 1),"")</f>
        <v>0</v>
      </c>
      <c r="Q25" s="105">
        <f>IF(0 = 0,ROUND(0, 1),"")</f>
        <v>0</v>
      </c>
      <c r="R25" s="105">
        <f>IF(0 = 0,ROUND(0, 1),"")</f>
        <v>0</v>
      </c>
      <c r="S25" s="260">
        <f>IF(0 = 0,ROUND(0, 1),"")</f>
        <v>0</v>
      </c>
      <c r="T25" s="242">
        <f>IF(0 = 0,CHOOSE(1 + 1, 3,5,8,2),"")</f>
        <v>5</v>
      </c>
      <c r="U25" s="267" t="str">
        <f>IF(0 = 0,"3","")</f>
        <v>3</v>
      </c>
      <c r="V25" s="260" t="str">
        <f>IF(0 = 1,ROUND(1250, 1),"")</f>
        <v/>
      </c>
      <c r="W25" s="260" t="str">
        <f>IF(0 = 1,ROUND(12, 3),"")</f>
        <v/>
      </c>
      <c r="X25" s="260" t="str">
        <f>IF(0 = 1,ROUND(100, 1),"")</f>
        <v/>
      </c>
      <c r="Y25" s="260" t="str">
        <f>IF(0 = 1,ROUND(0, 1),"")</f>
        <v/>
      </c>
      <c r="Z25" s="260" t="str">
        <f>IF(0 = 1,ROUND(0, 3),"")</f>
        <v/>
      </c>
      <c r="AA25" s="242" t="str">
        <f>IF(0 = 1,CHOOSE(0 + 1, 1.3,1.5),"")</f>
        <v/>
      </c>
      <c r="AB25" s="60" t="str">
        <f>IF(0 = 1,ROUND(0, 1),"")</f>
        <v/>
      </c>
      <c r="AC25" s="260" t="str">
        <f>IF(0 = 1,ROUND(3, 1),"")</f>
        <v/>
      </c>
      <c r="AD25" s="260"/>
      <c r="AE25" s="260"/>
      <c r="AF25" s="260"/>
      <c r="AG25" s="260"/>
      <c r="AH25" s="268"/>
      <c r="AI25" s="53" t="s">
        <v>5940</v>
      </c>
    </row>
    <row r="26" spans="1:35">
      <c r="A26" s="105" t="s">
        <v>5941</v>
      </c>
      <c r="B26" s="127" t="str">
        <f>IF(TRIM("BUS_CNODE_JCT__1339") = "", "BUS_CNODE_JCT__1339", "BUS_CNODE_JCT__1339")</f>
        <v>BUS_CNODE_JCT__1339</v>
      </c>
      <c r="C26" s="58" t="str">
        <f>IF(TRIM("BUS_CNODE_JCT__1432") = "", "BUS_CNODE_JCT__1432", "BUS_CNODE_JCT__1432")</f>
        <v>BUS_CNODE_JCT__1432</v>
      </c>
      <c r="D26" s="105" t="str">
        <f>IF(TRUE = TRUE, "Yes", "No")</f>
        <v>Yes</v>
      </c>
      <c r="E26" s="105" t="s">
        <v>5202</v>
      </c>
      <c r="F26" s="105" t="s">
        <v>5910</v>
      </c>
      <c r="G26" s="105"/>
      <c r="H26" s="105" t="str">
        <f>IF(0 = 0, "ANSI", "IEC")</f>
        <v>ANSI</v>
      </c>
      <c r="I26" s="105" t="str">
        <f>IF(1 = 0, "No", "Yes")</f>
        <v>Yes</v>
      </c>
      <c r="J26" s="105" t="str">
        <f>IF(0 = 1, "Yes", "No")</f>
        <v>No</v>
      </c>
      <c r="K26" s="105" t="str">
        <f>IF(0 = 0,"none","none")</f>
        <v>none</v>
      </c>
      <c r="L26" s="105" t="str">
        <f>IF(0 = 0,"none","none")</f>
        <v>none</v>
      </c>
      <c r="M26" s="105">
        <f>IF(0 = 0, ROUND(0, 1), "")</f>
        <v>0</v>
      </c>
      <c r="N26" s="105">
        <f>IF(0 = 0,ROUND(1.00999999, 3),"")</f>
        <v>1.01</v>
      </c>
      <c r="O26" s="266" t="str">
        <f>IF(0 = 0,IF(1 = 0, "Total", "Symmetrical"),"")</f>
        <v>Symmetrical</v>
      </c>
      <c r="P26" s="260">
        <f>IF(0 = 0,ROUND(0, 1),"")</f>
        <v>0</v>
      </c>
      <c r="Q26" s="105">
        <f>IF(0 = 0,ROUND(0, 1),"")</f>
        <v>0</v>
      </c>
      <c r="R26" s="105">
        <f>IF(0 = 0,ROUND(0, 1),"")</f>
        <v>0</v>
      </c>
      <c r="S26" s="260">
        <f>IF(0 = 0,ROUND(0, 1),"")</f>
        <v>0</v>
      </c>
      <c r="T26" s="242">
        <f>IF(0 = 0,CHOOSE(1 + 1, 3,5,8,2),"")</f>
        <v>5</v>
      </c>
      <c r="U26" s="267" t="str">
        <f>IF(0 = 0,"3","")</f>
        <v>3</v>
      </c>
      <c r="V26" s="260" t="str">
        <f>IF(0 = 1,ROUND(1250, 1),"")</f>
        <v/>
      </c>
      <c r="W26" s="260" t="str">
        <f>IF(0 = 1,ROUND(12, 3),"")</f>
        <v/>
      </c>
      <c r="X26" s="260" t="str">
        <f>IF(0 = 1,ROUND(100, 1),"")</f>
        <v/>
      </c>
      <c r="Y26" s="260" t="str">
        <f>IF(0 = 1,ROUND(0, 1),"")</f>
        <v/>
      </c>
      <c r="Z26" s="260" t="str">
        <f>IF(0 = 1,ROUND(0, 3),"")</f>
        <v/>
      </c>
      <c r="AA26" s="242" t="str">
        <f>IF(0 = 1,CHOOSE(0 + 1, 1.3,1.5),"")</f>
        <v/>
      </c>
      <c r="AB26" s="60" t="str">
        <f>IF(0 = 1,ROUND(0, 1),"")</f>
        <v/>
      </c>
      <c r="AC26" s="260" t="str">
        <f>IF(0 = 1,ROUND(3, 1),"")</f>
        <v/>
      </c>
      <c r="AD26" s="260"/>
      <c r="AE26" s="260"/>
      <c r="AF26" s="260"/>
      <c r="AG26" s="260"/>
      <c r="AH26" s="268"/>
      <c r="AI26" s="53" t="s">
        <v>5942</v>
      </c>
    </row>
    <row r="27" spans="1:35">
      <c r="A27" s="105" t="s">
        <v>5943</v>
      </c>
      <c r="B27" s="127" t="str">
        <f>IF(TRIM("") = "", "", "")</f>
        <v/>
      </c>
      <c r="C27" s="58" t="str">
        <f>IF(TRIM("BUS_CNODE_JCT__1467") = "", "BUS_CNODE_JCT__1467", "BUS_CNODE_JCT__1467")</f>
        <v>BUS_CNODE_JCT__1467</v>
      </c>
      <c r="D27" s="105" t="str">
        <f>IF(TRUE = TRUE, "Yes", "No")</f>
        <v>Yes</v>
      </c>
      <c r="E27" s="105" t="s">
        <v>5202</v>
      </c>
      <c r="F27" s="105" t="s">
        <v>5910</v>
      </c>
      <c r="G27" s="105"/>
      <c r="H27" s="105" t="str">
        <f>IF(0 = 0, "ANSI", "IEC")</f>
        <v>ANSI</v>
      </c>
      <c r="I27" s="105" t="str">
        <f>IF(1 = 0, "No", "Yes")</f>
        <v>Yes</v>
      </c>
      <c r="J27" s="105" t="str">
        <f>IF(0 = 1, "Yes", "No")</f>
        <v>No</v>
      </c>
      <c r="K27" s="105" t="str">
        <f>IF(0 = 0,"none","none")</f>
        <v>none</v>
      </c>
      <c r="L27" s="105" t="str">
        <f>IF(0 = 0,"none","none")</f>
        <v>none</v>
      </c>
      <c r="M27" s="105">
        <f>IF(0 = 0, ROUND(0, 1), "")</f>
        <v>0</v>
      </c>
      <c r="N27" s="105">
        <f>IF(0 = 0,ROUND(1.00999999, 3),"")</f>
        <v>1.01</v>
      </c>
      <c r="O27" s="266" t="str">
        <f>IF(0 = 0,IF(1 = 0, "Total", "Symmetrical"),"")</f>
        <v>Symmetrical</v>
      </c>
      <c r="P27" s="260">
        <f>IF(0 = 0,ROUND(0, 1),"")</f>
        <v>0</v>
      </c>
      <c r="Q27" s="105">
        <f>IF(0 = 0,ROUND(0, 1),"")</f>
        <v>0</v>
      </c>
      <c r="R27" s="105">
        <f>IF(0 = 0,ROUND(0, 1),"")</f>
        <v>0</v>
      </c>
      <c r="S27" s="260">
        <f>IF(0 = 0,ROUND(0, 1),"")</f>
        <v>0</v>
      </c>
      <c r="T27" s="242">
        <f>IF(0 = 0,CHOOSE(1 + 1, 3,5,8,2),"")</f>
        <v>5</v>
      </c>
      <c r="U27" s="267" t="str">
        <f>IF(0 = 0,"3","")</f>
        <v>3</v>
      </c>
      <c r="V27" s="260" t="str">
        <f>IF(0 = 1,ROUND(1250, 1),"")</f>
        <v/>
      </c>
      <c r="W27" s="260" t="str">
        <f>IF(0 = 1,ROUND(12, 3),"")</f>
        <v/>
      </c>
      <c r="X27" s="260" t="str">
        <f>IF(0 = 1,ROUND(100, 1),"")</f>
        <v/>
      </c>
      <c r="Y27" s="260" t="str">
        <f>IF(0 = 1,ROUND(0, 1),"")</f>
        <v/>
      </c>
      <c r="Z27" s="260" t="str">
        <f>IF(0 = 1,ROUND(0, 3),"")</f>
        <v/>
      </c>
      <c r="AA27" s="242" t="str">
        <f>IF(0 = 1,CHOOSE(0 + 1, 1.3,1.5),"")</f>
        <v/>
      </c>
      <c r="AB27" s="60" t="str">
        <f>IF(0 = 1,ROUND(0, 1),"")</f>
        <v/>
      </c>
      <c r="AC27" s="260" t="str">
        <f>IF(0 = 1,ROUND(3, 1),"")</f>
        <v/>
      </c>
      <c r="AD27" s="260"/>
      <c r="AE27" s="260"/>
      <c r="AF27" s="260"/>
      <c r="AG27" s="260"/>
      <c r="AH27" s="268"/>
      <c r="AI27" s="53" t="s">
        <v>5944</v>
      </c>
    </row>
    <row r="28" spans="1:35">
      <c r="A28" s="105" t="s">
        <v>5945</v>
      </c>
      <c r="B28" s="127" t="str">
        <f>IF(TRIM("BUS_CNODE_JCT__1345") = "", "BUS_CNODE_JCT__1345", "BUS_CNODE_JCT__1345")</f>
        <v>BUS_CNODE_JCT__1345</v>
      </c>
      <c r="C28" s="58" t="str">
        <f>IF(TRIM("BUS_CNODE_JCT__1477") = "", "BUS_CNODE_JCT__1477", "BUS_CNODE_JCT__1477")</f>
        <v>BUS_CNODE_JCT__1477</v>
      </c>
      <c r="D28" s="105" t="str">
        <f>IF(TRUE = TRUE, "Yes", "No")</f>
        <v>Yes</v>
      </c>
      <c r="E28" s="105" t="s">
        <v>5202</v>
      </c>
      <c r="F28" s="105" t="s">
        <v>5910</v>
      </c>
      <c r="G28" s="105"/>
      <c r="H28" s="105" t="str">
        <f>IF(0 = 0, "ANSI", "IEC")</f>
        <v>ANSI</v>
      </c>
      <c r="I28" s="105" t="str">
        <f>IF(1 = 0, "No", "Yes")</f>
        <v>Yes</v>
      </c>
      <c r="J28" s="105" t="str">
        <f>IF(0 = 1, "Yes", "No")</f>
        <v>No</v>
      </c>
      <c r="K28" s="105" t="str">
        <f>IF(0 = 0,"none","none")</f>
        <v>none</v>
      </c>
      <c r="L28" s="105" t="str">
        <f>IF(0 = 0,"none","none")</f>
        <v>none</v>
      </c>
      <c r="M28" s="105">
        <f>IF(0 = 0, ROUND(0, 1), "")</f>
        <v>0</v>
      </c>
      <c r="N28" s="105">
        <f>IF(0 = 0,ROUND(1.00999999, 3),"")</f>
        <v>1.01</v>
      </c>
      <c r="O28" s="266" t="str">
        <f>IF(0 = 0,IF(1 = 0, "Total", "Symmetrical"),"")</f>
        <v>Symmetrical</v>
      </c>
      <c r="P28" s="260">
        <f>IF(0 = 0,ROUND(0, 1),"")</f>
        <v>0</v>
      </c>
      <c r="Q28" s="105">
        <f>IF(0 = 0,ROUND(0, 1),"")</f>
        <v>0</v>
      </c>
      <c r="R28" s="105">
        <f>IF(0 = 0,ROUND(0, 1),"")</f>
        <v>0</v>
      </c>
      <c r="S28" s="260">
        <f>IF(0 = 0,ROUND(0, 1),"")</f>
        <v>0</v>
      </c>
      <c r="T28" s="242">
        <f>IF(0 = 0,CHOOSE(1 + 1, 3,5,8,2),"")</f>
        <v>5</v>
      </c>
      <c r="U28" s="267" t="str">
        <f>IF(0 = 0,"3","")</f>
        <v>3</v>
      </c>
      <c r="V28" s="260" t="str">
        <f>IF(0 = 1,ROUND(1250, 1),"")</f>
        <v/>
      </c>
      <c r="W28" s="260" t="str">
        <f>IF(0 = 1,ROUND(12, 3),"")</f>
        <v/>
      </c>
      <c r="X28" s="260" t="str">
        <f>IF(0 = 1,ROUND(100, 1),"")</f>
        <v/>
      </c>
      <c r="Y28" s="260" t="str">
        <f>IF(0 = 1,ROUND(0, 1),"")</f>
        <v/>
      </c>
      <c r="Z28" s="260" t="str">
        <f>IF(0 = 1,ROUND(0, 3),"")</f>
        <v/>
      </c>
      <c r="AA28" s="242" t="str">
        <f>IF(0 = 1,CHOOSE(0 + 1, 1.3,1.5),"")</f>
        <v/>
      </c>
      <c r="AB28" s="60" t="str">
        <f>IF(0 = 1,ROUND(0, 1),"")</f>
        <v/>
      </c>
      <c r="AC28" s="260" t="str">
        <f>IF(0 = 1,ROUND(3, 1),"")</f>
        <v/>
      </c>
      <c r="AD28" s="260"/>
      <c r="AE28" s="260"/>
      <c r="AF28" s="260"/>
      <c r="AG28" s="260"/>
      <c r="AH28" s="268"/>
      <c r="AI28" s="53" t="s">
        <v>5946</v>
      </c>
    </row>
    <row r="29" spans="1:35">
      <c r="A29" s="105" t="s">
        <v>5947</v>
      </c>
      <c r="B29" s="127" t="str">
        <f>IF(TRIM("") = "", "", "")</f>
        <v/>
      </c>
      <c r="C29" s="58" t="str">
        <f>IF(TRIM("BUS_CNODE_JCT__1433") = "", "BUS_CNODE_JCT__1433", "BUS_CNODE_JCT__1433")</f>
        <v>BUS_CNODE_JCT__1433</v>
      </c>
      <c r="D29" s="105" t="str">
        <f>IF(TRUE = TRUE, "Yes", "No")</f>
        <v>Yes</v>
      </c>
      <c r="E29" s="105" t="s">
        <v>5202</v>
      </c>
      <c r="F29" s="105" t="s">
        <v>5910</v>
      </c>
      <c r="G29" s="105"/>
      <c r="H29" s="105" t="str">
        <f>IF(0 = 0, "ANSI", "IEC")</f>
        <v>ANSI</v>
      </c>
      <c r="I29" s="105" t="str">
        <f>IF(1 = 0, "No", "Yes")</f>
        <v>Yes</v>
      </c>
      <c r="J29" s="105" t="str">
        <f>IF(0 = 1, "Yes", "No")</f>
        <v>No</v>
      </c>
      <c r="K29" s="105" t="str">
        <f>IF(0 = 0,"none","none")</f>
        <v>none</v>
      </c>
      <c r="L29" s="105" t="str">
        <f>IF(0 = 0,"none","none")</f>
        <v>none</v>
      </c>
      <c r="M29" s="105">
        <f>IF(0 = 0, ROUND(0, 1), "")</f>
        <v>0</v>
      </c>
      <c r="N29" s="105">
        <f>IF(0 = 0,ROUND(1.00999999, 3),"")</f>
        <v>1.01</v>
      </c>
      <c r="O29" s="266" t="str">
        <f>IF(0 = 0,IF(1 = 0, "Total", "Symmetrical"),"")</f>
        <v>Symmetrical</v>
      </c>
      <c r="P29" s="260">
        <f>IF(0 = 0,ROUND(0, 1),"")</f>
        <v>0</v>
      </c>
      <c r="Q29" s="105">
        <f>IF(0 = 0,ROUND(0, 1),"")</f>
        <v>0</v>
      </c>
      <c r="R29" s="105">
        <f>IF(0 = 0,ROUND(0, 1),"")</f>
        <v>0</v>
      </c>
      <c r="S29" s="260">
        <f>IF(0 = 0,ROUND(0, 1),"")</f>
        <v>0</v>
      </c>
      <c r="T29" s="242">
        <f>IF(0 = 0,CHOOSE(1 + 1, 3,5,8,2),"")</f>
        <v>5</v>
      </c>
      <c r="U29" s="267" t="str">
        <f>IF(0 = 0,"3","")</f>
        <v>3</v>
      </c>
      <c r="V29" s="260" t="str">
        <f>IF(0 = 1,ROUND(1250, 1),"")</f>
        <v/>
      </c>
      <c r="W29" s="260" t="str">
        <f>IF(0 = 1,ROUND(12, 3),"")</f>
        <v/>
      </c>
      <c r="X29" s="260" t="str">
        <f>IF(0 = 1,ROUND(100, 1),"")</f>
        <v/>
      </c>
      <c r="Y29" s="260" t="str">
        <f>IF(0 = 1,ROUND(0, 1),"")</f>
        <v/>
      </c>
      <c r="Z29" s="260" t="str">
        <f>IF(0 = 1,ROUND(0, 3),"")</f>
        <v/>
      </c>
      <c r="AA29" s="242" t="str">
        <f>IF(0 = 1,CHOOSE(0 + 1, 1.3,1.5),"")</f>
        <v/>
      </c>
      <c r="AB29" s="60" t="str">
        <f>IF(0 = 1,ROUND(0, 1),"")</f>
        <v/>
      </c>
      <c r="AC29" s="260" t="str">
        <f>IF(0 = 1,ROUND(3, 1),"")</f>
        <v/>
      </c>
      <c r="AD29" s="260"/>
      <c r="AE29" s="260"/>
      <c r="AF29" s="260"/>
      <c r="AG29" s="260"/>
      <c r="AH29" s="268"/>
      <c r="AI29" s="53" t="s">
        <v>5948</v>
      </c>
    </row>
    <row r="30" spans="1:35">
      <c r="A30" s="105" t="s">
        <v>5949</v>
      </c>
      <c r="B30" s="127" t="str">
        <f>IF(TRIM("") = "", "", "")</f>
        <v/>
      </c>
      <c r="C30" s="58" t="str">
        <f>IF(TRIM("BUS_CNODE_JCT__1471") = "", "BUS_CNODE_JCT__1471", "BUS_CNODE_JCT__1471")</f>
        <v>BUS_CNODE_JCT__1471</v>
      </c>
      <c r="D30" s="105" t="str">
        <f>IF(TRUE = TRUE, "Yes", "No")</f>
        <v>Yes</v>
      </c>
      <c r="E30" s="105" t="s">
        <v>5202</v>
      </c>
      <c r="F30" s="105" t="s">
        <v>5910</v>
      </c>
      <c r="G30" s="105"/>
      <c r="H30" s="105" t="str">
        <f>IF(0 = 0, "ANSI", "IEC")</f>
        <v>ANSI</v>
      </c>
      <c r="I30" s="105" t="str">
        <f>IF(1 = 0, "No", "Yes")</f>
        <v>Yes</v>
      </c>
      <c r="J30" s="105" t="str">
        <f>IF(0 = 1, "Yes", "No")</f>
        <v>No</v>
      </c>
      <c r="K30" s="105" t="str">
        <f>IF(0 = 0,"none","none")</f>
        <v>none</v>
      </c>
      <c r="L30" s="105" t="str">
        <f>IF(0 = 0,"none","none")</f>
        <v>none</v>
      </c>
      <c r="M30" s="105">
        <f>IF(0 = 0, ROUND(0, 1), "")</f>
        <v>0</v>
      </c>
      <c r="N30" s="105">
        <f>IF(0 = 0,ROUND(1.00999999, 3),"")</f>
        <v>1.01</v>
      </c>
      <c r="O30" s="266" t="str">
        <f>IF(0 = 0,IF(1 = 0, "Total", "Symmetrical"),"")</f>
        <v>Symmetrical</v>
      </c>
      <c r="P30" s="260">
        <f>IF(0 = 0,ROUND(0, 1),"")</f>
        <v>0</v>
      </c>
      <c r="Q30" s="105">
        <f>IF(0 = 0,ROUND(0, 1),"")</f>
        <v>0</v>
      </c>
      <c r="R30" s="105">
        <f>IF(0 = 0,ROUND(0, 1),"")</f>
        <v>0</v>
      </c>
      <c r="S30" s="260">
        <f>IF(0 = 0,ROUND(0, 1),"")</f>
        <v>0</v>
      </c>
      <c r="T30" s="242">
        <f>IF(0 = 0,CHOOSE(1 + 1, 3,5,8,2),"")</f>
        <v>5</v>
      </c>
      <c r="U30" s="267" t="str">
        <f>IF(0 = 0,"3","")</f>
        <v>3</v>
      </c>
      <c r="V30" s="260" t="str">
        <f>IF(0 = 1,ROUND(1250, 1),"")</f>
        <v/>
      </c>
      <c r="W30" s="260" t="str">
        <f>IF(0 = 1,ROUND(12, 3),"")</f>
        <v/>
      </c>
      <c r="X30" s="260" t="str">
        <f>IF(0 = 1,ROUND(100, 1),"")</f>
        <v/>
      </c>
      <c r="Y30" s="260" t="str">
        <f>IF(0 = 1,ROUND(0, 1),"")</f>
        <v/>
      </c>
      <c r="Z30" s="260" t="str">
        <f>IF(0 = 1,ROUND(0, 3),"")</f>
        <v/>
      </c>
      <c r="AA30" s="242" t="str">
        <f>IF(0 = 1,CHOOSE(0 + 1, 1.3,1.5),"")</f>
        <v/>
      </c>
      <c r="AB30" s="60" t="str">
        <f>IF(0 = 1,ROUND(0, 1),"")</f>
        <v/>
      </c>
      <c r="AC30" s="260" t="str">
        <f>IF(0 = 1,ROUND(3, 1),"")</f>
        <v/>
      </c>
      <c r="AD30" s="260"/>
      <c r="AE30" s="260"/>
      <c r="AF30" s="260"/>
      <c r="AG30" s="260"/>
      <c r="AH30" s="268"/>
      <c r="AI30" s="53" t="s">
        <v>5950</v>
      </c>
    </row>
    <row r="31" spans="1:35">
      <c r="A31" s="105" t="s">
        <v>5951</v>
      </c>
      <c r="B31" s="127" t="str">
        <f>IF(TRIM("") = "", "", "")</f>
        <v/>
      </c>
      <c r="C31" s="58" t="str">
        <f>IF(TRIM("BUS_CNODE_JCT__1470") = "", "BUS_CNODE_JCT__1470", "BUS_CNODE_JCT__1470")</f>
        <v>BUS_CNODE_JCT__1470</v>
      </c>
      <c r="D31" s="105" t="str">
        <f>IF(TRUE = TRUE, "Yes", "No")</f>
        <v>Yes</v>
      </c>
      <c r="E31" s="105" t="s">
        <v>5202</v>
      </c>
      <c r="F31" s="105" t="s">
        <v>5910</v>
      </c>
      <c r="G31" s="105"/>
      <c r="H31" s="105" t="str">
        <f>IF(0 = 0, "ANSI", "IEC")</f>
        <v>ANSI</v>
      </c>
      <c r="I31" s="105" t="str">
        <f>IF(1 = 0, "No", "Yes")</f>
        <v>Yes</v>
      </c>
      <c r="J31" s="105" t="str">
        <f>IF(0 = 1, "Yes", "No")</f>
        <v>No</v>
      </c>
      <c r="K31" s="105" t="str">
        <f>IF(0 = 0,"none","none")</f>
        <v>none</v>
      </c>
      <c r="L31" s="105" t="str">
        <f>IF(0 = 0,"none","none")</f>
        <v>none</v>
      </c>
      <c r="M31" s="105">
        <f>IF(0 = 0, ROUND(0, 1), "")</f>
        <v>0</v>
      </c>
      <c r="N31" s="105">
        <f>IF(0 = 0,ROUND(1.00999999, 3),"")</f>
        <v>1.01</v>
      </c>
      <c r="O31" s="266" t="str">
        <f>IF(0 = 0,IF(1 = 0, "Total", "Symmetrical"),"")</f>
        <v>Symmetrical</v>
      </c>
      <c r="P31" s="260">
        <f>IF(0 = 0,ROUND(0, 1),"")</f>
        <v>0</v>
      </c>
      <c r="Q31" s="105">
        <f>IF(0 = 0,ROUND(0, 1),"")</f>
        <v>0</v>
      </c>
      <c r="R31" s="105">
        <f>IF(0 = 0,ROUND(0, 1),"")</f>
        <v>0</v>
      </c>
      <c r="S31" s="260">
        <f>IF(0 = 0,ROUND(0, 1),"")</f>
        <v>0</v>
      </c>
      <c r="T31" s="242">
        <f>IF(0 = 0,CHOOSE(1 + 1, 3,5,8,2),"")</f>
        <v>5</v>
      </c>
      <c r="U31" s="267" t="str">
        <f>IF(0 = 0,"3","")</f>
        <v>3</v>
      </c>
      <c r="V31" s="260" t="str">
        <f>IF(0 = 1,ROUND(1250, 1),"")</f>
        <v/>
      </c>
      <c r="W31" s="260" t="str">
        <f>IF(0 = 1,ROUND(12, 3),"")</f>
        <v/>
      </c>
      <c r="X31" s="260" t="str">
        <f>IF(0 = 1,ROUND(100, 1),"")</f>
        <v/>
      </c>
      <c r="Y31" s="260" t="str">
        <f>IF(0 = 1,ROUND(0, 1),"")</f>
        <v/>
      </c>
      <c r="Z31" s="260" t="str">
        <f>IF(0 = 1,ROUND(0, 3),"")</f>
        <v/>
      </c>
      <c r="AA31" s="242" t="str">
        <f>IF(0 = 1,CHOOSE(0 + 1, 1.3,1.5),"")</f>
        <v/>
      </c>
      <c r="AB31" s="60" t="str">
        <f>IF(0 = 1,ROUND(0, 1),"")</f>
        <v/>
      </c>
      <c r="AC31" s="260" t="str">
        <f>IF(0 = 1,ROUND(3, 1),"")</f>
        <v/>
      </c>
      <c r="AD31" s="260"/>
      <c r="AE31" s="260"/>
      <c r="AF31" s="260"/>
      <c r="AG31" s="260"/>
      <c r="AH31" s="268"/>
      <c r="AI31" s="53" t="s">
        <v>5952</v>
      </c>
    </row>
    <row r="32" spans="1:35">
      <c r="A32" s="105" t="s">
        <v>5953</v>
      </c>
      <c r="B32" s="127" t="str">
        <f>IF(TRIM("") = "", "", "")</f>
        <v/>
      </c>
      <c r="C32" s="58" t="str">
        <f>IF(TRIM("BUS_CNODE_JCT__1472") = "", "BUS_CNODE_JCT__1472", "BUS_CNODE_JCT__1472")</f>
        <v>BUS_CNODE_JCT__1472</v>
      </c>
      <c r="D32" s="105" t="str">
        <f>IF(TRUE = TRUE, "Yes", "No")</f>
        <v>Yes</v>
      </c>
      <c r="E32" s="105" t="s">
        <v>5202</v>
      </c>
      <c r="F32" s="105" t="s">
        <v>5910</v>
      </c>
      <c r="G32" s="105"/>
      <c r="H32" s="105" t="str">
        <f>IF(0 = 0, "ANSI", "IEC")</f>
        <v>ANSI</v>
      </c>
      <c r="I32" s="105" t="str">
        <f>IF(1 = 0, "No", "Yes")</f>
        <v>Yes</v>
      </c>
      <c r="J32" s="105" t="str">
        <f>IF(0 = 1, "Yes", "No")</f>
        <v>No</v>
      </c>
      <c r="K32" s="105" t="str">
        <f>IF(0 = 0,"none","none")</f>
        <v>none</v>
      </c>
      <c r="L32" s="105" t="str">
        <f>IF(0 = 0,"none","none")</f>
        <v>none</v>
      </c>
      <c r="M32" s="105">
        <f>IF(0 = 0, ROUND(0, 1), "")</f>
        <v>0</v>
      </c>
      <c r="N32" s="105">
        <f>IF(0 = 0,ROUND(1.00999999, 3),"")</f>
        <v>1.01</v>
      </c>
      <c r="O32" s="266" t="str">
        <f>IF(0 = 0,IF(1 = 0, "Total", "Symmetrical"),"")</f>
        <v>Symmetrical</v>
      </c>
      <c r="P32" s="260">
        <f>IF(0 = 0,ROUND(0, 1),"")</f>
        <v>0</v>
      </c>
      <c r="Q32" s="105">
        <f>IF(0 = 0,ROUND(0, 1),"")</f>
        <v>0</v>
      </c>
      <c r="R32" s="105">
        <f>IF(0 = 0,ROUND(0, 1),"")</f>
        <v>0</v>
      </c>
      <c r="S32" s="260">
        <f>IF(0 = 0,ROUND(0, 1),"")</f>
        <v>0</v>
      </c>
      <c r="T32" s="242">
        <f>IF(0 = 0,CHOOSE(1 + 1, 3,5,8,2),"")</f>
        <v>5</v>
      </c>
      <c r="U32" s="267" t="str">
        <f>IF(0 = 0,"3","")</f>
        <v>3</v>
      </c>
      <c r="V32" s="260" t="str">
        <f>IF(0 = 1,ROUND(1250, 1),"")</f>
        <v/>
      </c>
      <c r="W32" s="260" t="str">
        <f>IF(0 = 1,ROUND(12, 3),"")</f>
        <v/>
      </c>
      <c r="X32" s="260" t="str">
        <f>IF(0 = 1,ROUND(100, 1),"")</f>
        <v/>
      </c>
      <c r="Y32" s="260" t="str">
        <f>IF(0 = 1,ROUND(0, 1),"")</f>
        <v/>
      </c>
      <c r="Z32" s="260" t="str">
        <f>IF(0 = 1,ROUND(0, 3),"")</f>
        <v/>
      </c>
      <c r="AA32" s="242" t="str">
        <f>IF(0 = 1,CHOOSE(0 + 1, 1.3,1.5),"")</f>
        <v/>
      </c>
      <c r="AB32" s="60" t="str">
        <f>IF(0 = 1,ROUND(0, 1),"")</f>
        <v/>
      </c>
      <c r="AC32" s="260" t="str">
        <f>IF(0 = 1,ROUND(3, 1),"")</f>
        <v/>
      </c>
      <c r="AD32" s="260"/>
      <c r="AE32" s="260"/>
      <c r="AF32" s="260"/>
      <c r="AG32" s="260"/>
      <c r="AH32" s="268"/>
      <c r="AI32" s="53" t="s">
        <v>5954</v>
      </c>
    </row>
    <row r="33" spans="1:35">
      <c r="A33" s="105" t="s">
        <v>5955</v>
      </c>
      <c r="B33" s="127" t="str">
        <f>IF(TRIM("BUS_CNODE_JCT__1362") = "", "BUS_CNODE_JCT__1362", "BUS_CNODE_JCT__1362")</f>
        <v>BUS_CNODE_JCT__1362</v>
      </c>
      <c r="C33" s="58" t="str">
        <f>IF(TRIM("BUS_都天元居开闭所（自）_220") = "", "BUS_都天元居开闭所（自）_220", "BUS_都天元居开闭所（自）_220")</f>
        <v>BUS_都天元居开闭所（自）_220</v>
      </c>
      <c r="D33" s="105" t="str">
        <f>IF(TRUE = TRUE, "Yes", "No")</f>
        <v>Yes</v>
      </c>
      <c r="E33" s="105" t="s">
        <v>5202</v>
      </c>
      <c r="F33" s="105" t="s">
        <v>5910</v>
      </c>
      <c r="G33" s="105"/>
      <c r="H33" s="105" t="str">
        <f>IF(0 = 0, "ANSI", "IEC")</f>
        <v>ANSI</v>
      </c>
      <c r="I33" s="105" t="str">
        <f>IF(1 = 0, "No", "Yes")</f>
        <v>Yes</v>
      </c>
      <c r="J33" s="105" t="str">
        <f>IF(0 = 1, "Yes", "No")</f>
        <v>No</v>
      </c>
      <c r="K33" s="105" t="str">
        <f>IF(0 = 0,"none","none")</f>
        <v>none</v>
      </c>
      <c r="L33" s="105" t="str">
        <f>IF(0 = 0,"none","none")</f>
        <v>none</v>
      </c>
      <c r="M33" s="105">
        <f>IF(0 = 0, ROUND(0, 1), "")</f>
        <v>0</v>
      </c>
      <c r="N33" s="105">
        <f>IF(0 = 0,ROUND(1.00999999, 3),"")</f>
        <v>1.01</v>
      </c>
      <c r="O33" s="266" t="str">
        <f>IF(0 = 0,IF(1 = 0, "Total", "Symmetrical"),"")</f>
        <v>Symmetrical</v>
      </c>
      <c r="P33" s="260">
        <f>IF(0 = 0,ROUND(0, 1),"")</f>
        <v>0</v>
      </c>
      <c r="Q33" s="105">
        <f>IF(0 = 0,ROUND(0, 1),"")</f>
        <v>0</v>
      </c>
      <c r="R33" s="105">
        <f>IF(0 = 0,ROUND(0, 1),"")</f>
        <v>0</v>
      </c>
      <c r="S33" s="260">
        <f>IF(0 = 0,ROUND(0, 1),"")</f>
        <v>0</v>
      </c>
      <c r="T33" s="242">
        <f>IF(0 = 0,CHOOSE(1 + 1, 3,5,8,2),"")</f>
        <v>5</v>
      </c>
      <c r="U33" s="267" t="str">
        <f>IF(0 = 0,"3","")</f>
        <v>3</v>
      </c>
      <c r="V33" s="260" t="str">
        <f>IF(0 = 1,ROUND(1250, 1),"")</f>
        <v/>
      </c>
      <c r="W33" s="260" t="str">
        <f>IF(0 = 1,ROUND(12, 3),"")</f>
        <v/>
      </c>
      <c r="X33" s="260" t="str">
        <f>IF(0 = 1,ROUND(100, 1),"")</f>
        <v/>
      </c>
      <c r="Y33" s="260" t="str">
        <f>IF(0 = 1,ROUND(0, 1),"")</f>
        <v/>
      </c>
      <c r="Z33" s="260" t="str">
        <f>IF(0 = 1,ROUND(0, 3),"")</f>
        <v/>
      </c>
      <c r="AA33" s="242" t="str">
        <f>IF(0 = 1,CHOOSE(0 + 1, 1.3,1.5),"")</f>
        <v/>
      </c>
      <c r="AB33" s="60" t="str">
        <f>IF(0 = 1,ROUND(0, 1),"")</f>
        <v/>
      </c>
      <c r="AC33" s="260" t="str">
        <f>IF(0 = 1,ROUND(3, 1),"")</f>
        <v/>
      </c>
      <c r="AD33" s="260"/>
      <c r="AE33" s="260"/>
      <c r="AF33" s="260"/>
      <c r="AG33" s="260"/>
      <c r="AH33" s="268"/>
      <c r="AI33" s="53" t="s">
        <v>5956</v>
      </c>
    </row>
    <row r="34" spans="1:35">
      <c r="A34" s="105" t="s">
        <v>5957</v>
      </c>
      <c r="B34" s="127" t="str">
        <f>IF(TRIM("") = "", "", "")</f>
        <v/>
      </c>
      <c r="C34" s="58" t="str">
        <f>IF(TRIM("BUS_都天元居开闭所（自）_219") = "", "BUS_都天元居开闭所（自）_219", "BUS_都天元居开闭所（自）_219")</f>
        <v>BUS_都天元居开闭所（自）_219</v>
      </c>
      <c r="D34" s="105" t="str">
        <f>IF(TRUE = TRUE, "Yes", "No")</f>
        <v>Yes</v>
      </c>
      <c r="E34" s="105" t="s">
        <v>5202</v>
      </c>
      <c r="F34" s="105" t="s">
        <v>5910</v>
      </c>
      <c r="G34" s="105"/>
      <c r="H34" s="105" t="str">
        <f>IF(0 = 0, "ANSI", "IEC")</f>
        <v>ANSI</v>
      </c>
      <c r="I34" s="105" t="str">
        <f>IF(1 = 0, "No", "Yes")</f>
        <v>Yes</v>
      </c>
      <c r="J34" s="105" t="str">
        <f>IF(0 = 1, "Yes", "No")</f>
        <v>No</v>
      </c>
      <c r="K34" s="105" t="str">
        <f>IF(0 = 0,"none","none")</f>
        <v>none</v>
      </c>
      <c r="L34" s="105" t="str">
        <f>IF(0 = 0,"none","none")</f>
        <v>none</v>
      </c>
      <c r="M34" s="105">
        <f>IF(0 = 0, ROUND(0, 1), "")</f>
        <v>0</v>
      </c>
      <c r="N34" s="105">
        <f>IF(0 = 0,ROUND(1.00999999, 3),"")</f>
        <v>1.01</v>
      </c>
      <c r="O34" s="266" t="str">
        <f>IF(0 = 0,IF(1 = 0, "Total", "Symmetrical"),"")</f>
        <v>Symmetrical</v>
      </c>
      <c r="P34" s="260">
        <f>IF(0 = 0,ROUND(0, 1),"")</f>
        <v>0</v>
      </c>
      <c r="Q34" s="105">
        <f>IF(0 = 0,ROUND(0, 1),"")</f>
        <v>0</v>
      </c>
      <c r="R34" s="105">
        <f>IF(0 = 0,ROUND(0, 1),"")</f>
        <v>0</v>
      </c>
      <c r="S34" s="260">
        <f>IF(0 = 0,ROUND(0, 1),"")</f>
        <v>0</v>
      </c>
      <c r="T34" s="242">
        <f>IF(0 = 0,CHOOSE(1 + 1, 3,5,8,2),"")</f>
        <v>5</v>
      </c>
      <c r="U34" s="267" t="str">
        <f>IF(0 = 0,"3","")</f>
        <v>3</v>
      </c>
      <c r="V34" s="260" t="str">
        <f>IF(0 = 1,ROUND(1250, 1),"")</f>
        <v/>
      </c>
      <c r="W34" s="260" t="str">
        <f>IF(0 = 1,ROUND(12, 3),"")</f>
        <v/>
      </c>
      <c r="X34" s="260" t="str">
        <f>IF(0 = 1,ROUND(100, 1),"")</f>
        <v/>
      </c>
      <c r="Y34" s="260" t="str">
        <f>IF(0 = 1,ROUND(0, 1),"")</f>
        <v/>
      </c>
      <c r="Z34" s="260" t="str">
        <f>IF(0 = 1,ROUND(0, 3),"")</f>
        <v/>
      </c>
      <c r="AA34" s="242" t="str">
        <f>IF(0 = 1,CHOOSE(0 + 1, 1.3,1.5),"")</f>
        <v/>
      </c>
      <c r="AB34" s="60" t="str">
        <f>IF(0 = 1,ROUND(0, 1),"")</f>
        <v/>
      </c>
      <c r="AC34" s="260" t="str">
        <f>IF(0 = 1,ROUND(3, 1),"")</f>
        <v/>
      </c>
      <c r="AD34" s="260"/>
      <c r="AE34" s="260"/>
      <c r="AF34" s="260"/>
      <c r="AG34" s="260"/>
      <c r="AH34" s="268"/>
      <c r="AI34" s="53" t="s">
        <v>5958</v>
      </c>
    </row>
    <row r="35" spans="1:35">
      <c r="A35" s="105" t="s">
        <v>5959</v>
      </c>
      <c r="B35" s="127" t="str">
        <f>IF(TRIM("BUS_CNODE_JCT__1424") = "", "BUS_CNODE_JCT__1424", "BUS_CNODE_JCT__1424")</f>
        <v>BUS_CNODE_JCT__1424</v>
      </c>
      <c r="C35" s="58" t="str">
        <f>IF(TRIM("BUS_号环网柜（自）（气）_205") = "", "BUS_号环网柜（自）（气）_205", "BUS_号环网柜（自）（气）_205")</f>
        <v>BUS_号环网柜（自）（气）_205</v>
      </c>
      <c r="D35" s="105" t="str">
        <f>IF(TRUE = TRUE, "Yes", "No")</f>
        <v>Yes</v>
      </c>
      <c r="E35" s="105" t="s">
        <v>5202</v>
      </c>
      <c r="F35" s="105" t="s">
        <v>5910</v>
      </c>
      <c r="G35" s="105"/>
      <c r="H35" s="105" t="str">
        <f>IF(0 = 0, "ANSI", "IEC")</f>
        <v>ANSI</v>
      </c>
      <c r="I35" s="105" t="str">
        <f>IF(1 = 0, "No", "Yes")</f>
        <v>Yes</v>
      </c>
      <c r="J35" s="105" t="str">
        <f>IF(0 = 1, "Yes", "No")</f>
        <v>No</v>
      </c>
      <c r="K35" s="105" t="str">
        <f>IF(0 = 0,"none","none")</f>
        <v>none</v>
      </c>
      <c r="L35" s="105" t="str">
        <f>IF(0 = 0,"none","none")</f>
        <v>none</v>
      </c>
      <c r="M35" s="105">
        <f>IF(0 = 0, ROUND(0, 1), "")</f>
        <v>0</v>
      </c>
      <c r="N35" s="105">
        <f>IF(0 = 0,ROUND(1.00999999, 3),"")</f>
        <v>1.01</v>
      </c>
      <c r="O35" s="266" t="str">
        <f>IF(0 = 0,IF(1 = 0, "Total", "Symmetrical"),"")</f>
        <v>Symmetrical</v>
      </c>
      <c r="P35" s="260">
        <f>IF(0 = 0,ROUND(0, 1),"")</f>
        <v>0</v>
      </c>
      <c r="Q35" s="105">
        <f>IF(0 = 0,ROUND(0, 1),"")</f>
        <v>0</v>
      </c>
      <c r="R35" s="105">
        <f>IF(0 = 0,ROUND(0, 1),"")</f>
        <v>0</v>
      </c>
      <c r="S35" s="260">
        <f>IF(0 = 0,ROUND(0, 1),"")</f>
        <v>0</v>
      </c>
      <c r="T35" s="242">
        <f>IF(0 = 0,CHOOSE(1 + 1, 3,5,8,2),"")</f>
        <v>5</v>
      </c>
      <c r="U35" s="267" t="str">
        <f>IF(0 = 0,"3","")</f>
        <v>3</v>
      </c>
      <c r="V35" s="260" t="str">
        <f>IF(0 = 1,ROUND(1250, 1),"")</f>
        <v/>
      </c>
      <c r="W35" s="260" t="str">
        <f>IF(0 = 1,ROUND(12, 3),"")</f>
        <v/>
      </c>
      <c r="X35" s="260" t="str">
        <f>IF(0 = 1,ROUND(100, 1),"")</f>
        <v/>
      </c>
      <c r="Y35" s="260" t="str">
        <f>IF(0 = 1,ROUND(0, 1),"")</f>
        <v/>
      </c>
      <c r="Z35" s="260" t="str">
        <f>IF(0 = 1,ROUND(0, 3),"")</f>
        <v/>
      </c>
      <c r="AA35" s="242" t="str">
        <f>IF(0 = 1,CHOOSE(0 + 1, 1.3,1.5),"")</f>
        <v/>
      </c>
      <c r="AB35" s="60" t="str">
        <f>IF(0 = 1,ROUND(0, 1),"")</f>
        <v/>
      </c>
      <c r="AC35" s="260" t="str">
        <f>IF(0 = 1,ROUND(3, 1),"")</f>
        <v/>
      </c>
      <c r="AD35" s="260"/>
      <c r="AE35" s="260"/>
      <c r="AF35" s="260"/>
      <c r="AG35" s="260"/>
      <c r="AH35" s="268"/>
      <c r="AI35" s="53" t="s">
        <v>5960</v>
      </c>
    </row>
    <row r="36" spans="1:35">
      <c r="A36" s="105" t="s">
        <v>5961</v>
      </c>
      <c r="B36" s="127" t="str">
        <f>IF(TRIM("") = "", "", "")</f>
        <v/>
      </c>
      <c r="C36" s="58" t="str">
        <f>IF(TRIM("BUS_CNODE_JCT__1434") = "", "BUS_CNODE_JCT__1434", "BUS_CNODE_JCT__1434")</f>
        <v>BUS_CNODE_JCT__1434</v>
      </c>
      <c r="D36" s="105" t="str">
        <f>IF(TRUE = TRUE, "Yes", "No")</f>
        <v>Yes</v>
      </c>
      <c r="E36" s="105" t="s">
        <v>5202</v>
      </c>
      <c r="F36" s="105" t="s">
        <v>5910</v>
      </c>
      <c r="G36" s="105"/>
      <c r="H36" s="105" t="str">
        <f>IF(0 = 0, "ANSI", "IEC")</f>
        <v>ANSI</v>
      </c>
      <c r="I36" s="105" t="str">
        <f>IF(1 = 0, "No", "Yes")</f>
        <v>Yes</v>
      </c>
      <c r="J36" s="105" t="str">
        <f>IF(0 = 1, "Yes", "No")</f>
        <v>No</v>
      </c>
      <c r="K36" s="105" t="str">
        <f>IF(0 = 0,"none","none")</f>
        <v>none</v>
      </c>
      <c r="L36" s="105" t="str">
        <f>IF(0 = 0,"none","none")</f>
        <v>none</v>
      </c>
      <c r="M36" s="105">
        <f>IF(0 = 0, ROUND(0, 1), "")</f>
        <v>0</v>
      </c>
      <c r="N36" s="105">
        <f>IF(0 = 0,ROUND(1.00999999, 3),"")</f>
        <v>1.01</v>
      </c>
      <c r="O36" s="266" t="str">
        <f>IF(0 = 0,IF(1 = 0, "Total", "Symmetrical"),"")</f>
        <v>Symmetrical</v>
      </c>
      <c r="P36" s="260">
        <f>IF(0 = 0,ROUND(0, 1),"")</f>
        <v>0</v>
      </c>
      <c r="Q36" s="105">
        <f>IF(0 = 0,ROUND(0, 1),"")</f>
        <v>0</v>
      </c>
      <c r="R36" s="105">
        <f>IF(0 = 0,ROUND(0, 1),"")</f>
        <v>0</v>
      </c>
      <c r="S36" s="260">
        <f>IF(0 = 0,ROUND(0, 1),"")</f>
        <v>0</v>
      </c>
      <c r="T36" s="242">
        <f>IF(0 = 0,CHOOSE(1 + 1, 3,5,8,2),"")</f>
        <v>5</v>
      </c>
      <c r="U36" s="267" t="str">
        <f>IF(0 = 0,"3","")</f>
        <v>3</v>
      </c>
      <c r="V36" s="260" t="str">
        <f>IF(0 = 1,ROUND(1250, 1),"")</f>
        <v/>
      </c>
      <c r="W36" s="260" t="str">
        <f>IF(0 = 1,ROUND(12, 3),"")</f>
        <v/>
      </c>
      <c r="X36" s="260" t="str">
        <f>IF(0 = 1,ROUND(100, 1),"")</f>
        <v/>
      </c>
      <c r="Y36" s="260" t="str">
        <f>IF(0 = 1,ROUND(0, 1),"")</f>
        <v/>
      </c>
      <c r="Z36" s="260" t="str">
        <f>IF(0 = 1,ROUND(0, 3),"")</f>
        <v/>
      </c>
      <c r="AA36" s="242" t="str">
        <f>IF(0 = 1,CHOOSE(0 + 1, 1.3,1.5),"")</f>
        <v/>
      </c>
      <c r="AB36" s="60" t="str">
        <f>IF(0 = 1,ROUND(0, 1),"")</f>
        <v/>
      </c>
      <c r="AC36" s="260" t="str">
        <f>IF(0 = 1,ROUND(3, 1),"")</f>
        <v/>
      </c>
      <c r="AD36" s="260"/>
      <c r="AE36" s="260"/>
      <c r="AF36" s="260"/>
      <c r="AG36" s="260"/>
      <c r="AH36" s="268"/>
      <c r="AI36" s="53" t="s">
        <v>5962</v>
      </c>
    </row>
    <row r="37" spans="1:35">
      <c r="A37" s="105" t="s">
        <v>5963</v>
      </c>
      <c r="B37" s="127" t="str">
        <f>IF(TRIM("") = "", "", "")</f>
        <v/>
      </c>
      <c r="C37" s="58" t="str">
        <f>IF(TRIM("BUS_CNODE_JCT__1468") = "", "BUS_CNODE_JCT__1468", "BUS_CNODE_JCT__1468")</f>
        <v>BUS_CNODE_JCT__1468</v>
      </c>
      <c r="D37" s="105" t="str">
        <f>IF(TRUE = TRUE, "Yes", "No")</f>
        <v>Yes</v>
      </c>
      <c r="E37" s="105" t="s">
        <v>5202</v>
      </c>
      <c r="F37" s="105" t="s">
        <v>5910</v>
      </c>
      <c r="G37" s="105"/>
      <c r="H37" s="105" t="str">
        <f>IF(0 = 0, "ANSI", "IEC")</f>
        <v>ANSI</v>
      </c>
      <c r="I37" s="105" t="str">
        <f>IF(1 = 0, "No", "Yes")</f>
        <v>Yes</v>
      </c>
      <c r="J37" s="105" t="str">
        <f>IF(0 = 1, "Yes", "No")</f>
        <v>No</v>
      </c>
      <c r="K37" s="105" t="str">
        <f>IF(0 = 0,"none","none")</f>
        <v>none</v>
      </c>
      <c r="L37" s="105" t="str">
        <f>IF(0 = 0,"none","none")</f>
        <v>none</v>
      </c>
      <c r="M37" s="105">
        <f>IF(0 = 0, ROUND(0, 1), "")</f>
        <v>0</v>
      </c>
      <c r="N37" s="105">
        <f>IF(0 = 0,ROUND(1.00999999, 3),"")</f>
        <v>1.01</v>
      </c>
      <c r="O37" s="266" t="str">
        <f>IF(0 = 0,IF(1 = 0, "Total", "Symmetrical"),"")</f>
        <v>Symmetrical</v>
      </c>
      <c r="P37" s="260">
        <f>IF(0 = 0,ROUND(0, 1),"")</f>
        <v>0</v>
      </c>
      <c r="Q37" s="105">
        <f>IF(0 = 0,ROUND(0, 1),"")</f>
        <v>0</v>
      </c>
      <c r="R37" s="105">
        <f>IF(0 = 0,ROUND(0, 1),"")</f>
        <v>0</v>
      </c>
      <c r="S37" s="260">
        <f>IF(0 = 0,ROUND(0, 1),"")</f>
        <v>0</v>
      </c>
      <c r="T37" s="242">
        <f>IF(0 = 0,CHOOSE(1 + 1, 3,5,8,2),"")</f>
        <v>5</v>
      </c>
      <c r="U37" s="267" t="str">
        <f>IF(0 = 0,"3","")</f>
        <v>3</v>
      </c>
      <c r="V37" s="260" t="str">
        <f>IF(0 = 1,ROUND(1250, 1),"")</f>
        <v/>
      </c>
      <c r="W37" s="260" t="str">
        <f>IF(0 = 1,ROUND(12, 3),"")</f>
        <v/>
      </c>
      <c r="X37" s="260" t="str">
        <f>IF(0 = 1,ROUND(100, 1),"")</f>
        <v/>
      </c>
      <c r="Y37" s="260" t="str">
        <f>IF(0 = 1,ROUND(0, 1),"")</f>
        <v/>
      </c>
      <c r="Z37" s="260" t="str">
        <f>IF(0 = 1,ROUND(0, 3),"")</f>
        <v/>
      </c>
      <c r="AA37" s="242" t="str">
        <f>IF(0 = 1,CHOOSE(0 + 1, 1.3,1.5),"")</f>
        <v/>
      </c>
      <c r="AB37" s="60" t="str">
        <f>IF(0 = 1,ROUND(0, 1),"")</f>
        <v/>
      </c>
      <c r="AC37" s="260" t="str">
        <f>IF(0 = 1,ROUND(3, 1),"")</f>
        <v/>
      </c>
      <c r="AD37" s="260"/>
      <c r="AE37" s="260"/>
      <c r="AF37" s="260"/>
      <c r="AG37" s="260"/>
      <c r="AH37" s="268"/>
      <c r="AI37" s="53" t="s">
        <v>5964</v>
      </c>
    </row>
    <row r="38" spans="1:35">
      <c r="A38" s="105" t="s">
        <v>5965</v>
      </c>
      <c r="B38" s="127" t="str">
        <f>IF(TRIM("BUS_CNODE_JCT__1343") = "", "BUS_CNODE_JCT__1343", "BUS_CNODE_JCT__1343")</f>
        <v>BUS_CNODE_JCT__1343</v>
      </c>
      <c r="C38" s="58" t="str">
        <f>IF(TRIM("BUS_CNODE_JCT__1478") = "", "BUS_CNODE_JCT__1478", "BUS_CNODE_JCT__1478")</f>
        <v>BUS_CNODE_JCT__1478</v>
      </c>
      <c r="D38" s="105" t="str">
        <f>IF(TRUE = TRUE, "Yes", "No")</f>
        <v>Yes</v>
      </c>
      <c r="E38" s="105" t="s">
        <v>5202</v>
      </c>
      <c r="F38" s="105" t="s">
        <v>5910</v>
      </c>
      <c r="G38" s="105"/>
      <c r="H38" s="105" t="str">
        <f>IF(0 = 0, "ANSI", "IEC")</f>
        <v>ANSI</v>
      </c>
      <c r="I38" s="105" t="str">
        <f>IF(1 = 0, "No", "Yes")</f>
        <v>Yes</v>
      </c>
      <c r="J38" s="105" t="str">
        <f>IF(0 = 1, "Yes", "No")</f>
        <v>No</v>
      </c>
      <c r="K38" s="105" t="str">
        <f>IF(0 = 0,"none","none")</f>
        <v>none</v>
      </c>
      <c r="L38" s="105" t="str">
        <f>IF(0 = 0,"none","none")</f>
        <v>none</v>
      </c>
      <c r="M38" s="105">
        <f>IF(0 = 0, ROUND(0, 1), "")</f>
        <v>0</v>
      </c>
      <c r="N38" s="105">
        <f>IF(0 = 0,ROUND(1.00999999, 3),"")</f>
        <v>1.01</v>
      </c>
      <c r="O38" s="266" t="str">
        <f>IF(0 = 0,IF(1 = 0, "Total", "Symmetrical"),"")</f>
        <v>Symmetrical</v>
      </c>
      <c r="P38" s="260">
        <f>IF(0 = 0,ROUND(0, 1),"")</f>
        <v>0</v>
      </c>
      <c r="Q38" s="105">
        <f>IF(0 = 0,ROUND(0, 1),"")</f>
        <v>0</v>
      </c>
      <c r="R38" s="105">
        <f>IF(0 = 0,ROUND(0, 1),"")</f>
        <v>0</v>
      </c>
      <c r="S38" s="260">
        <f>IF(0 = 0,ROUND(0, 1),"")</f>
        <v>0</v>
      </c>
      <c r="T38" s="242">
        <f>IF(0 = 0,CHOOSE(1 + 1, 3,5,8,2),"")</f>
        <v>5</v>
      </c>
      <c r="U38" s="267" t="str">
        <f>IF(0 = 0,"3","")</f>
        <v>3</v>
      </c>
      <c r="V38" s="260" t="str">
        <f>IF(0 = 1,ROUND(1250, 1),"")</f>
        <v/>
      </c>
      <c r="W38" s="260" t="str">
        <f>IF(0 = 1,ROUND(12, 3),"")</f>
        <v/>
      </c>
      <c r="X38" s="260" t="str">
        <f>IF(0 = 1,ROUND(100, 1),"")</f>
        <v/>
      </c>
      <c r="Y38" s="260" t="str">
        <f>IF(0 = 1,ROUND(0, 1),"")</f>
        <v/>
      </c>
      <c r="Z38" s="260" t="str">
        <f>IF(0 = 1,ROUND(0, 3),"")</f>
        <v/>
      </c>
      <c r="AA38" s="242" t="str">
        <f>IF(0 = 1,CHOOSE(0 + 1, 1.3,1.5),"")</f>
        <v/>
      </c>
      <c r="AB38" s="60" t="str">
        <f>IF(0 = 1,ROUND(0, 1),"")</f>
        <v/>
      </c>
      <c r="AC38" s="260" t="str">
        <f>IF(0 = 1,ROUND(3, 1),"")</f>
        <v/>
      </c>
      <c r="AD38" s="260"/>
      <c r="AE38" s="260"/>
      <c r="AF38" s="260"/>
      <c r="AG38" s="260"/>
      <c r="AH38" s="268"/>
      <c r="AI38" s="53" t="s">
        <v>5966</v>
      </c>
    </row>
    <row r="39" spans="1:35">
      <c r="A39" s="105" t="s">
        <v>5967</v>
      </c>
      <c r="B39" s="127" t="str">
        <f>IF(TRIM("BUS_CNODE_JCT__1426") = "", "BUS_CNODE_JCT__1426", "BUS_CNODE_JCT__1426")</f>
        <v>BUS_CNODE_JCT__1426</v>
      </c>
      <c r="C39" s="58" t="str">
        <f>IF(TRIM("BUS_号环网柜（自）（气）_205") = "", "BUS_号环网柜（自）（气）_205", "BUS_号环网柜（自）（气）_205")</f>
        <v>BUS_号环网柜（自）（气）_205</v>
      </c>
      <c r="D39" s="105" t="str">
        <f>IF(TRUE = TRUE, "Yes", "No")</f>
        <v>Yes</v>
      </c>
      <c r="E39" s="105" t="s">
        <v>5202</v>
      </c>
      <c r="F39" s="105" t="s">
        <v>5910</v>
      </c>
      <c r="G39" s="105"/>
      <c r="H39" s="105" t="str">
        <f>IF(0 = 0, "ANSI", "IEC")</f>
        <v>ANSI</v>
      </c>
      <c r="I39" s="105" t="str">
        <f>IF(1 = 0, "No", "Yes")</f>
        <v>Yes</v>
      </c>
      <c r="J39" s="105" t="str">
        <f>IF(0 = 1, "Yes", "No")</f>
        <v>No</v>
      </c>
      <c r="K39" s="105" t="str">
        <f>IF(0 = 0,"none","none")</f>
        <v>none</v>
      </c>
      <c r="L39" s="105" t="str">
        <f>IF(0 = 0,"none","none")</f>
        <v>none</v>
      </c>
      <c r="M39" s="105">
        <f>IF(0 = 0, ROUND(0, 1), "")</f>
        <v>0</v>
      </c>
      <c r="N39" s="105">
        <f>IF(0 = 0,ROUND(1.00999999, 3),"")</f>
        <v>1.01</v>
      </c>
      <c r="O39" s="266" t="str">
        <f>IF(0 = 0,IF(1 = 0, "Total", "Symmetrical"),"")</f>
        <v>Symmetrical</v>
      </c>
      <c r="P39" s="260">
        <f>IF(0 = 0,ROUND(0, 1),"")</f>
        <v>0</v>
      </c>
      <c r="Q39" s="105">
        <f>IF(0 = 0,ROUND(0, 1),"")</f>
        <v>0</v>
      </c>
      <c r="R39" s="105">
        <f>IF(0 = 0,ROUND(0, 1),"")</f>
        <v>0</v>
      </c>
      <c r="S39" s="260">
        <f>IF(0 = 0,ROUND(0, 1),"")</f>
        <v>0</v>
      </c>
      <c r="T39" s="242">
        <f>IF(0 = 0,CHOOSE(1 + 1, 3,5,8,2),"")</f>
        <v>5</v>
      </c>
      <c r="U39" s="267" t="str">
        <f>IF(0 = 0,"3","")</f>
        <v>3</v>
      </c>
      <c r="V39" s="260" t="str">
        <f>IF(0 = 1,ROUND(1250, 1),"")</f>
        <v/>
      </c>
      <c r="W39" s="260" t="str">
        <f>IF(0 = 1,ROUND(12, 3),"")</f>
        <v/>
      </c>
      <c r="X39" s="260" t="str">
        <f>IF(0 = 1,ROUND(100, 1),"")</f>
        <v/>
      </c>
      <c r="Y39" s="260" t="str">
        <f>IF(0 = 1,ROUND(0, 1),"")</f>
        <v/>
      </c>
      <c r="Z39" s="260" t="str">
        <f>IF(0 = 1,ROUND(0, 3),"")</f>
        <v/>
      </c>
      <c r="AA39" s="242" t="str">
        <f>IF(0 = 1,CHOOSE(0 + 1, 1.3,1.5),"")</f>
        <v/>
      </c>
      <c r="AB39" s="60" t="str">
        <f>IF(0 = 1,ROUND(0, 1),"")</f>
        <v/>
      </c>
      <c r="AC39" s="260" t="str">
        <f>IF(0 = 1,ROUND(3, 1),"")</f>
        <v/>
      </c>
      <c r="AD39" s="260"/>
      <c r="AE39" s="260"/>
      <c r="AF39" s="260"/>
      <c r="AG39" s="260"/>
      <c r="AH39" s="268"/>
      <c r="AI39" s="53" t="s">
        <v>5968</v>
      </c>
    </row>
    <row r="40" spans="1:35">
      <c r="A40" s="105" t="s">
        <v>5969</v>
      </c>
      <c r="B40" s="127" t="str">
        <f>IF(TRIM("BUS_CNODE_JCT__1340") = "", "BUS_CNODE_JCT__1340", "BUS_CNODE_JCT__1340")</f>
        <v>BUS_CNODE_JCT__1340</v>
      </c>
      <c r="C40" s="58" t="str">
        <f>IF(TRIM("BUS_CNODE_JCT__1431") = "", "BUS_CNODE_JCT__1431", "BUS_CNODE_JCT__1431")</f>
        <v>BUS_CNODE_JCT__1431</v>
      </c>
      <c r="D40" s="105" t="str">
        <f>IF(TRUE = TRUE, "Yes", "No")</f>
        <v>Yes</v>
      </c>
      <c r="E40" s="105" t="s">
        <v>5202</v>
      </c>
      <c r="F40" s="105" t="s">
        <v>5910</v>
      </c>
      <c r="G40" s="105"/>
      <c r="H40" s="105" t="str">
        <f>IF(0 = 0, "ANSI", "IEC")</f>
        <v>ANSI</v>
      </c>
      <c r="I40" s="105" t="str">
        <f>IF(1 = 0, "No", "Yes")</f>
        <v>Yes</v>
      </c>
      <c r="J40" s="105" t="str">
        <f>IF(0 = 1, "Yes", "No")</f>
        <v>No</v>
      </c>
      <c r="K40" s="105" t="str">
        <f>IF(0 = 0,"none","none")</f>
        <v>none</v>
      </c>
      <c r="L40" s="105" t="str">
        <f>IF(0 = 0,"none","none")</f>
        <v>none</v>
      </c>
      <c r="M40" s="105">
        <f>IF(0 = 0, ROUND(0, 1), "")</f>
        <v>0</v>
      </c>
      <c r="N40" s="105">
        <f>IF(0 = 0,ROUND(1.00999999, 3),"")</f>
        <v>1.01</v>
      </c>
      <c r="O40" s="266" t="str">
        <f>IF(0 = 0,IF(1 = 0, "Total", "Symmetrical"),"")</f>
        <v>Symmetrical</v>
      </c>
      <c r="P40" s="260">
        <f>IF(0 = 0,ROUND(0, 1),"")</f>
        <v>0</v>
      </c>
      <c r="Q40" s="105">
        <f>IF(0 = 0,ROUND(0, 1),"")</f>
        <v>0</v>
      </c>
      <c r="R40" s="105">
        <f>IF(0 = 0,ROUND(0, 1),"")</f>
        <v>0</v>
      </c>
      <c r="S40" s="260">
        <f>IF(0 = 0,ROUND(0, 1),"")</f>
        <v>0</v>
      </c>
      <c r="T40" s="242">
        <f>IF(0 = 0,CHOOSE(1 + 1, 3,5,8,2),"")</f>
        <v>5</v>
      </c>
      <c r="U40" s="267" t="str">
        <f>IF(0 = 0,"3","")</f>
        <v>3</v>
      </c>
      <c r="V40" s="260" t="str">
        <f>IF(0 = 1,ROUND(1250, 1),"")</f>
        <v/>
      </c>
      <c r="W40" s="260" t="str">
        <f>IF(0 = 1,ROUND(12, 3),"")</f>
        <v/>
      </c>
      <c r="X40" s="260" t="str">
        <f>IF(0 = 1,ROUND(100, 1),"")</f>
        <v/>
      </c>
      <c r="Y40" s="260" t="str">
        <f>IF(0 = 1,ROUND(0, 1),"")</f>
        <v/>
      </c>
      <c r="Z40" s="260" t="str">
        <f>IF(0 = 1,ROUND(0, 3),"")</f>
        <v/>
      </c>
      <c r="AA40" s="242" t="str">
        <f>IF(0 = 1,CHOOSE(0 + 1, 1.3,1.5),"")</f>
        <v/>
      </c>
      <c r="AB40" s="60" t="str">
        <f>IF(0 = 1,ROUND(0, 1),"")</f>
        <v/>
      </c>
      <c r="AC40" s="260" t="str">
        <f>IF(0 = 1,ROUND(3, 1),"")</f>
        <v/>
      </c>
      <c r="AD40" s="260"/>
      <c r="AE40" s="260"/>
      <c r="AF40" s="260"/>
      <c r="AG40" s="260"/>
      <c r="AH40" s="268"/>
      <c r="AI40" s="53" t="s">
        <v>5970</v>
      </c>
    </row>
    <row r="41" spans="1:35">
      <c r="A41" s="105" t="s">
        <v>5971</v>
      </c>
      <c r="B41" s="127" t="str">
        <f>IF(TRIM("BUS_CNODE_JCT__1367") = "", "BUS_CNODE_JCT__1367", "BUS_CNODE_JCT__1367")</f>
        <v>BUS_CNODE_JCT__1367</v>
      </c>
      <c r="C41" s="58" t="str">
        <f>IF(TRIM("BUS_CNODE_JCT__1469") = "", "BUS_CNODE_JCT__1469", "BUS_CNODE_JCT__1469")</f>
        <v>BUS_CNODE_JCT__1469</v>
      </c>
      <c r="D41" s="105" t="str">
        <f>IF(TRUE = TRUE, "Yes", "No")</f>
        <v>Yes</v>
      </c>
      <c r="E41" s="105" t="s">
        <v>5202</v>
      </c>
      <c r="F41" s="105" t="s">
        <v>5910</v>
      </c>
      <c r="G41" s="105"/>
      <c r="H41" s="105" t="str">
        <f>IF(0 = 0, "ANSI", "IEC")</f>
        <v>ANSI</v>
      </c>
      <c r="I41" s="105" t="str">
        <f>IF(1 = 0, "No", "Yes")</f>
        <v>Yes</v>
      </c>
      <c r="J41" s="105" t="str">
        <f>IF(0 = 1, "Yes", "No")</f>
        <v>No</v>
      </c>
      <c r="K41" s="105" t="str">
        <f>IF(0 = 0,"none","none")</f>
        <v>none</v>
      </c>
      <c r="L41" s="105" t="str">
        <f>IF(0 = 0,"none","none")</f>
        <v>none</v>
      </c>
      <c r="M41" s="105">
        <f>IF(0 = 0, ROUND(0, 1), "")</f>
        <v>0</v>
      </c>
      <c r="N41" s="105">
        <f>IF(0 = 0,ROUND(1.00999999, 3),"")</f>
        <v>1.01</v>
      </c>
      <c r="O41" s="266" t="str">
        <f>IF(0 = 0,IF(1 = 0, "Total", "Symmetrical"),"")</f>
        <v>Symmetrical</v>
      </c>
      <c r="P41" s="260">
        <f>IF(0 = 0,ROUND(0, 1),"")</f>
        <v>0</v>
      </c>
      <c r="Q41" s="105">
        <f>IF(0 = 0,ROUND(0, 1),"")</f>
        <v>0</v>
      </c>
      <c r="R41" s="105">
        <f>IF(0 = 0,ROUND(0, 1),"")</f>
        <v>0</v>
      </c>
      <c r="S41" s="260">
        <f>IF(0 = 0,ROUND(0, 1),"")</f>
        <v>0</v>
      </c>
      <c r="T41" s="242">
        <f>IF(0 = 0,CHOOSE(1 + 1, 3,5,8,2),"")</f>
        <v>5</v>
      </c>
      <c r="U41" s="267" t="str">
        <f>IF(0 = 0,"3","")</f>
        <v>3</v>
      </c>
      <c r="V41" s="260" t="str">
        <f>IF(0 = 1,ROUND(1250, 1),"")</f>
        <v/>
      </c>
      <c r="W41" s="260" t="str">
        <f>IF(0 = 1,ROUND(12, 3),"")</f>
        <v/>
      </c>
      <c r="X41" s="260" t="str">
        <f>IF(0 = 1,ROUND(100, 1),"")</f>
        <v/>
      </c>
      <c r="Y41" s="260" t="str">
        <f>IF(0 = 1,ROUND(0, 1),"")</f>
        <v/>
      </c>
      <c r="Z41" s="260" t="str">
        <f>IF(0 = 1,ROUND(0, 3),"")</f>
        <v/>
      </c>
      <c r="AA41" s="242" t="str">
        <f>IF(0 = 1,CHOOSE(0 + 1, 1.3,1.5),"")</f>
        <v/>
      </c>
      <c r="AB41" s="60" t="str">
        <f>IF(0 = 1,ROUND(0, 1),"")</f>
        <v/>
      </c>
      <c r="AC41" s="260" t="str">
        <f>IF(0 = 1,ROUND(3, 1),"")</f>
        <v/>
      </c>
      <c r="AD41" s="260"/>
      <c r="AE41" s="260"/>
      <c r="AF41" s="260"/>
      <c r="AG41" s="260"/>
      <c r="AH41" s="268"/>
      <c r="AI41" s="53" t="s">
        <v>5972</v>
      </c>
    </row>
    <row r="42" spans="1:35">
      <c r="A42" s="105" t="s">
        <v>5973</v>
      </c>
      <c r="B42" s="127" t="str">
        <f>IF(TRIM("BUS_CNODE_JCT__1341") = "", "BUS_CNODE_JCT__1341", "BUS_CNODE_JCT__1341")</f>
        <v>BUS_CNODE_JCT__1341</v>
      </c>
      <c r="C42" s="58" t="str">
        <f>IF(TRIM("BUS_CNODE_JCT__1475") = "", "BUS_CNODE_JCT__1475", "BUS_CNODE_JCT__1475")</f>
        <v>BUS_CNODE_JCT__1475</v>
      </c>
      <c r="D42" s="105" t="str">
        <f>IF(TRUE = TRUE, "Yes", "No")</f>
        <v>Yes</v>
      </c>
      <c r="E42" s="105" t="s">
        <v>5202</v>
      </c>
      <c r="F42" s="105" t="s">
        <v>5910</v>
      </c>
      <c r="G42" s="105"/>
      <c r="H42" s="105" t="str">
        <f>IF(0 = 0, "ANSI", "IEC")</f>
        <v>ANSI</v>
      </c>
      <c r="I42" s="105" t="str">
        <f>IF(1 = 0, "No", "Yes")</f>
        <v>Yes</v>
      </c>
      <c r="J42" s="105" t="str">
        <f>IF(0 = 1, "Yes", "No")</f>
        <v>No</v>
      </c>
      <c r="K42" s="105" t="str">
        <f>IF(0 = 0,"none","none")</f>
        <v>none</v>
      </c>
      <c r="L42" s="105" t="str">
        <f>IF(0 = 0,"none","none")</f>
        <v>none</v>
      </c>
      <c r="M42" s="105">
        <f>IF(0 = 0, ROUND(0, 1), "")</f>
        <v>0</v>
      </c>
      <c r="N42" s="105">
        <f>IF(0 = 0,ROUND(1.00999999, 3),"")</f>
        <v>1.01</v>
      </c>
      <c r="O42" s="266" t="str">
        <f>IF(0 = 0,IF(1 = 0, "Total", "Symmetrical"),"")</f>
        <v>Symmetrical</v>
      </c>
      <c r="P42" s="260">
        <f>IF(0 = 0,ROUND(0, 1),"")</f>
        <v>0</v>
      </c>
      <c r="Q42" s="105">
        <f>IF(0 = 0,ROUND(0, 1),"")</f>
        <v>0</v>
      </c>
      <c r="R42" s="105">
        <f>IF(0 = 0,ROUND(0, 1),"")</f>
        <v>0</v>
      </c>
      <c r="S42" s="260">
        <f>IF(0 = 0,ROUND(0, 1),"")</f>
        <v>0</v>
      </c>
      <c r="T42" s="242">
        <f>IF(0 = 0,CHOOSE(1 + 1, 3,5,8,2),"")</f>
        <v>5</v>
      </c>
      <c r="U42" s="267" t="str">
        <f>IF(0 = 0,"3","")</f>
        <v>3</v>
      </c>
      <c r="V42" s="260" t="str">
        <f>IF(0 = 1,ROUND(1250, 1),"")</f>
        <v/>
      </c>
      <c r="W42" s="260" t="str">
        <f>IF(0 = 1,ROUND(12, 3),"")</f>
        <v/>
      </c>
      <c r="X42" s="260" t="str">
        <f>IF(0 = 1,ROUND(100, 1),"")</f>
        <v/>
      </c>
      <c r="Y42" s="260" t="str">
        <f>IF(0 = 1,ROUND(0, 1),"")</f>
        <v/>
      </c>
      <c r="Z42" s="260" t="str">
        <f>IF(0 = 1,ROUND(0, 3),"")</f>
        <v/>
      </c>
      <c r="AA42" s="242" t="str">
        <f>IF(0 = 1,CHOOSE(0 + 1, 1.3,1.5),"")</f>
        <v/>
      </c>
      <c r="AB42" s="60" t="str">
        <f>IF(0 = 1,ROUND(0, 1),"")</f>
        <v/>
      </c>
      <c r="AC42" s="260" t="str">
        <f>IF(0 = 1,ROUND(3, 1),"")</f>
        <v/>
      </c>
      <c r="AD42" s="260"/>
      <c r="AE42" s="260"/>
      <c r="AF42" s="260"/>
      <c r="AG42" s="260"/>
      <c r="AH42" s="268"/>
      <c r="AI42" s="53" t="s">
        <v>5974</v>
      </c>
    </row>
    <row r="43" spans="1:35">
      <c r="A43" s="105" t="s">
        <v>5975</v>
      </c>
      <c r="B43" s="127" t="str">
        <f>IF(TRIM("BUS_CNODE_JCT__1427") = "", "BUS_CNODE_JCT__1427", "BUS_CNODE_JCT__1427")</f>
        <v>BUS_CNODE_JCT__1427</v>
      </c>
      <c r="C43" s="58" t="str">
        <f>IF(TRIM("BUS_号环网柜（自）（气）_205") = "", "BUS_号环网柜（自）（气）_205", "BUS_号环网柜（自）（气）_205")</f>
        <v>BUS_号环网柜（自）（气）_205</v>
      </c>
      <c r="D43" s="105" t="str">
        <f>IF(TRUE = TRUE, "Yes", "No")</f>
        <v>Yes</v>
      </c>
      <c r="E43" s="105" t="s">
        <v>5202</v>
      </c>
      <c r="F43" s="105" t="s">
        <v>5910</v>
      </c>
      <c r="G43" s="105"/>
      <c r="H43" s="105" t="str">
        <f>IF(0 = 0, "ANSI", "IEC")</f>
        <v>ANSI</v>
      </c>
      <c r="I43" s="105" t="str">
        <f>IF(1 = 0, "No", "Yes")</f>
        <v>Yes</v>
      </c>
      <c r="J43" s="105" t="str">
        <f>IF(0 = 1, "Yes", "No")</f>
        <v>No</v>
      </c>
      <c r="K43" s="105" t="str">
        <f>IF(0 = 0,"none","none")</f>
        <v>none</v>
      </c>
      <c r="L43" s="105" t="str">
        <f>IF(0 = 0,"none","none")</f>
        <v>none</v>
      </c>
      <c r="M43" s="105">
        <f>IF(0 = 0, ROUND(0, 1), "")</f>
        <v>0</v>
      </c>
      <c r="N43" s="105">
        <f>IF(0 = 0,ROUND(1.00999999, 3),"")</f>
        <v>1.01</v>
      </c>
      <c r="O43" s="266" t="str">
        <f>IF(0 = 0,IF(1 = 0, "Total", "Symmetrical"),"")</f>
        <v>Symmetrical</v>
      </c>
      <c r="P43" s="260">
        <f>IF(0 = 0,ROUND(0, 1),"")</f>
        <v>0</v>
      </c>
      <c r="Q43" s="105">
        <f>IF(0 = 0,ROUND(0, 1),"")</f>
        <v>0</v>
      </c>
      <c r="R43" s="105">
        <f>IF(0 = 0,ROUND(0, 1),"")</f>
        <v>0</v>
      </c>
      <c r="S43" s="260">
        <f>IF(0 = 0,ROUND(0, 1),"")</f>
        <v>0</v>
      </c>
      <c r="T43" s="242">
        <f>IF(0 = 0,CHOOSE(1 + 1, 3,5,8,2),"")</f>
        <v>5</v>
      </c>
      <c r="U43" s="267" t="str">
        <f>IF(0 = 0,"3","")</f>
        <v>3</v>
      </c>
      <c r="V43" s="260" t="str">
        <f>IF(0 = 1,ROUND(1250, 1),"")</f>
        <v/>
      </c>
      <c r="W43" s="260" t="str">
        <f>IF(0 = 1,ROUND(12, 3),"")</f>
        <v/>
      </c>
      <c r="X43" s="260" t="str">
        <f>IF(0 = 1,ROUND(100, 1),"")</f>
        <v/>
      </c>
      <c r="Y43" s="260" t="str">
        <f>IF(0 = 1,ROUND(0, 1),"")</f>
        <v/>
      </c>
      <c r="Z43" s="260" t="str">
        <f>IF(0 = 1,ROUND(0, 3),"")</f>
        <v/>
      </c>
      <c r="AA43" s="242" t="str">
        <f>IF(0 = 1,CHOOSE(0 + 1, 1.3,1.5),"")</f>
        <v/>
      </c>
      <c r="AB43" s="60" t="str">
        <f>IF(0 = 1,ROUND(0, 1),"")</f>
        <v/>
      </c>
      <c r="AC43" s="260" t="str">
        <f>IF(0 = 1,ROUND(3, 1),"")</f>
        <v/>
      </c>
      <c r="AD43" s="260"/>
      <c r="AE43" s="260"/>
      <c r="AF43" s="260"/>
      <c r="AG43" s="260"/>
      <c r="AH43" s="268"/>
      <c r="AI43" s="53" t="s">
        <v>5976</v>
      </c>
    </row>
    <row r="44" spans="1:35">
      <c r="A44" s="105" t="s">
        <v>5977</v>
      </c>
      <c r="B44" s="127" t="str">
        <f>IF(TRIM("") = "", "", "")</f>
        <v/>
      </c>
      <c r="C44" s="58" t="str">
        <f>IF(TRIM("BUS_CNODE_JCT__1476") = "", "BUS_CNODE_JCT__1476", "BUS_CNODE_JCT__1476")</f>
        <v>BUS_CNODE_JCT__1476</v>
      </c>
      <c r="D44" s="105" t="str">
        <f>IF(TRUE = TRUE, "Yes", "No")</f>
        <v>Yes</v>
      </c>
      <c r="E44" s="105" t="s">
        <v>5202</v>
      </c>
      <c r="F44" s="105" t="s">
        <v>5910</v>
      </c>
      <c r="G44" s="105"/>
      <c r="H44" s="105" t="str">
        <f>IF(0 = 0, "ANSI", "IEC")</f>
        <v>ANSI</v>
      </c>
      <c r="I44" s="105" t="str">
        <f>IF(1 = 0, "No", "Yes")</f>
        <v>Yes</v>
      </c>
      <c r="J44" s="105" t="str">
        <f>IF(0 = 1, "Yes", "No")</f>
        <v>No</v>
      </c>
      <c r="K44" s="105" t="str">
        <f>IF(0 = 0,"none","none")</f>
        <v>none</v>
      </c>
      <c r="L44" s="105" t="str">
        <f>IF(0 = 0,"none","none")</f>
        <v>none</v>
      </c>
      <c r="M44" s="105">
        <f>IF(0 = 0, ROUND(0, 1), "")</f>
        <v>0</v>
      </c>
      <c r="N44" s="105">
        <f>IF(0 = 0,ROUND(1.00999999, 3),"")</f>
        <v>1.01</v>
      </c>
      <c r="O44" s="266" t="str">
        <f>IF(0 = 0,IF(1 = 0, "Total", "Symmetrical"),"")</f>
        <v>Symmetrical</v>
      </c>
      <c r="P44" s="260">
        <f>IF(0 = 0,ROUND(0, 1),"")</f>
        <v>0</v>
      </c>
      <c r="Q44" s="105">
        <f>IF(0 = 0,ROUND(0, 1),"")</f>
        <v>0</v>
      </c>
      <c r="R44" s="105">
        <f>IF(0 = 0,ROUND(0, 1),"")</f>
        <v>0</v>
      </c>
      <c r="S44" s="260">
        <f>IF(0 = 0,ROUND(0, 1),"")</f>
        <v>0</v>
      </c>
      <c r="T44" s="242">
        <f>IF(0 = 0,CHOOSE(1 + 1, 3,5,8,2),"")</f>
        <v>5</v>
      </c>
      <c r="U44" s="267" t="str">
        <f>IF(0 = 0,"3","")</f>
        <v>3</v>
      </c>
      <c r="V44" s="260" t="str">
        <f>IF(0 = 1,ROUND(1250, 1),"")</f>
        <v/>
      </c>
      <c r="W44" s="260" t="str">
        <f>IF(0 = 1,ROUND(12, 3),"")</f>
        <v/>
      </c>
      <c r="X44" s="260" t="str">
        <f>IF(0 = 1,ROUND(100, 1),"")</f>
        <v/>
      </c>
      <c r="Y44" s="260" t="str">
        <f>IF(0 = 1,ROUND(0, 1),"")</f>
        <v/>
      </c>
      <c r="Z44" s="260" t="str">
        <f>IF(0 = 1,ROUND(0, 3),"")</f>
        <v/>
      </c>
      <c r="AA44" s="242" t="str">
        <f>IF(0 = 1,CHOOSE(0 + 1, 1.3,1.5),"")</f>
        <v/>
      </c>
      <c r="AB44" s="60" t="str">
        <f>IF(0 = 1,ROUND(0, 1),"")</f>
        <v/>
      </c>
      <c r="AC44" s="260" t="str">
        <f>IF(0 = 1,ROUND(3, 1),"")</f>
        <v/>
      </c>
      <c r="AD44" s="260"/>
      <c r="AE44" s="260"/>
      <c r="AF44" s="260"/>
      <c r="AG44" s="260"/>
      <c r="AH44" s="268"/>
      <c r="AI44" s="53" t="s">
        <v>5978</v>
      </c>
    </row>
    <row r="45" spans="1:35">
      <c r="A45" s="105" t="s">
        <v>5979</v>
      </c>
      <c r="B45" s="127" t="str">
        <f>IF(TRIM("BUS_CNODE_JCT__1428") = "", "BUS_CNODE_JCT__1428", "BUS_CNODE_JCT__1428")</f>
        <v>BUS_CNODE_JCT__1428</v>
      </c>
      <c r="C45" s="58" t="str">
        <f>IF(TRIM("BUS_号环网柜（自）（气）_205") = "", "BUS_号环网柜（自）（气）_205", "BUS_号环网柜（自）（气）_205")</f>
        <v>BUS_号环网柜（自）（气）_205</v>
      </c>
      <c r="D45" s="105" t="str">
        <f>IF(TRUE = TRUE, "Yes", "No")</f>
        <v>Yes</v>
      </c>
      <c r="E45" s="105" t="s">
        <v>5202</v>
      </c>
      <c r="F45" s="105" t="s">
        <v>5910</v>
      </c>
      <c r="G45" s="105"/>
      <c r="H45" s="105" t="str">
        <f>IF(0 = 0, "ANSI", "IEC")</f>
        <v>ANSI</v>
      </c>
      <c r="I45" s="105" t="str">
        <f>IF(1 = 0, "No", "Yes")</f>
        <v>Yes</v>
      </c>
      <c r="J45" s="105" t="str">
        <f>IF(0 = 1, "Yes", "No")</f>
        <v>No</v>
      </c>
      <c r="K45" s="105" t="str">
        <f>IF(0 = 0,"none","none")</f>
        <v>none</v>
      </c>
      <c r="L45" s="105" t="str">
        <f>IF(0 = 0,"none","none")</f>
        <v>none</v>
      </c>
      <c r="M45" s="105">
        <f>IF(0 = 0, ROUND(0, 1), "")</f>
        <v>0</v>
      </c>
      <c r="N45" s="105">
        <f>IF(0 = 0,ROUND(1.00999999, 3),"")</f>
        <v>1.01</v>
      </c>
      <c r="O45" s="266" t="str">
        <f>IF(0 = 0,IF(1 = 0, "Total", "Symmetrical"),"")</f>
        <v>Symmetrical</v>
      </c>
      <c r="P45" s="260">
        <f>IF(0 = 0,ROUND(0, 1),"")</f>
        <v>0</v>
      </c>
      <c r="Q45" s="105">
        <f>IF(0 = 0,ROUND(0, 1),"")</f>
        <v>0</v>
      </c>
      <c r="R45" s="105">
        <f>IF(0 = 0,ROUND(0, 1),"")</f>
        <v>0</v>
      </c>
      <c r="S45" s="260">
        <f>IF(0 = 0,ROUND(0, 1),"")</f>
        <v>0</v>
      </c>
      <c r="T45" s="242">
        <f>IF(0 = 0,CHOOSE(1 + 1, 3,5,8,2),"")</f>
        <v>5</v>
      </c>
      <c r="U45" s="267" t="str">
        <f>IF(0 = 0,"3","")</f>
        <v>3</v>
      </c>
      <c r="V45" s="260" t="str">
        <f>IF(0 = 1,ROUND(1250, 1),"")</f>
        <v/>
      </c>
      <c r="W45" s="260" t="str">
        <f>IF(0 = 1,ROUND(12, 3),"")</f>
        <v/>
      </c>
      <c r="X45" s="260" t="str">
        <f>IF(0 = 1,ROUND(100, 1),"")</f>
        <v/>
      </c>
      <c r="Y45" s="260" t="str">
        <f>IF(0 = 1,ROUND(0, 1),"")</f>
        <v/>
      </c>
      <c r="Z45" s="260" t="str">
        <f>IF(0 = 1,ROUND(0, 3),"")</f>
        <v/>
      </c>
      <c r="AA45" s="242" t="str">
        <f>IF(0 = 1,CHOOSE(0 + 1, 1.3,1.5),"")</f>
        <v/>
      </c>
      <c r="AB45" s="60" t="str">
        <f>IF(0 = 1,ROUND(0, 1),"")</f>
        <v/>
      </c>
      <c r="AC45" s="260" t="str">
        <f>IF(0 = 1,ROUND(3, 1),"")</f>
        <v/>
      </c>
      <c r="AD45" s="260"/>
      <c r="AE45" s="260"/>
      <c r="AF45" s="260"/>
      <c r="AG45" s="260"/>
      <c r="AH45" s="268"/>
      <c r="AI45" s="53" t="s">
        <v>5980</v>
      </c>
    </row>
    <row r="46" spans="1:35">
      <c r="A46" s="105" t="s">
        <v>5981</v>
      </c>
      <c r="B46" s="127" t="str">
        <f>IF(TRIM("BUS_CNODE_JCT__1354") = "", "BUS_CNODE_JCT__1354", "BUS_CNODE_JCT__1354")</f>
        <v>BUS_CNODE_JCT__1354</v>
      </c>
      <c r="C46" s="58" t="str">
        <f>IF(TRIM("BUS_CNODE_JCT__1479") = "", "BUS_CNODE_JCT__1479", "BUS_CNODE_JCT__1479")</f>
        <v>BUS_CNODE_JCT__1479</v>
      </c>
      <c r="D46" s="105" t="str">
        <f>IF(TRUE = TRUE, "Yes", "No")</f>
        <v>Yes</v>
      </c>
      <c r="E46" s="105" t="s">
        <v>5202</v>
      </c>
      <c r="F46" s="105" t="s">
        <v>5910</v>
      </c>
      <c r="G46" s="105"/>
      <c r="H46" s="105" t="str">
        <f>IF(0 = 0, "ANSI", "IEC")</f>
        <v>ANSI</v>
      </c>
      <c r="I46" s="105" t="str">
        <f>IF(1 = 0, "No", "Yes")</f>
        <v>Yes</v>
      </c>
      <c r="J46" s="105" t="str">
        <f>IF(0 = 1, "Yes", "No")</f>
        <v>No</v>
      </c>
      <c r="K46" s="105" t="str">
        <f>IF(0 = 0,"none","none")</f>
        <v>none</v>
      </c>
      <c r="L46" s="105" t="str">
        <f>IF(0 = 0,"none","none")</f>
        <v>none</v>
      </c>
      <c r="M46" s="105">
        <f>IF(0 = 0, ROUND(0, 1), "")</f>
        <v>0</v>
      </c>
      <c r="N46" s="105">
        <f>IF(0 = 0,ROUND(1.00999999, 3),"")</f>
        <v>1.01</v>
      </c>
      <c r="O46" s="266" t="str">
        <f>IF(0 = 0,IF(1 = 0, "Total", "Symmetrical"),"")</f>
        <v>Symmetrical</v>
      </c>
      <c r="P46" s="260">
        <f>IF(0 = 0,ROUND(0, 1),"")</f>
        <v>0</v>
      </c>
      <c r="Q46" s="105">
        <f>IF(0 = 0,ROUND(0, 1),"")</f>
        <v>0</v>
      </c>
      <c r="R46" s="105">
        <f>IF(0 = 0,ROUND(0, 1),"")</f>
        <v>0</v>
      </c>
      <c r="S46" s="260">
        <f>IF(0 = 0,ROUND(0, 1),"")</f>
        <v>0</v>
      </c>
      <c r="T46" s="242">
        <f>IF(0 = 0,CHOOSE(1 + 1, 3,5,8,2),"")</f>
        <v>5</v>
      </c>
      <c r="U46" s="267" t="str">
        <f>IF(0 = 0,"3","")</f>
        <v>3</v>
      </c>
      <c r="V46" s="260" t="str">
        <f>IF(0 = 1,ROUND(1250, 1),"")</f>
        <v/>
      </c>
      <c r="W46" s="260" t="str">
        <f>IF(0 = 1,ROUND(12, 3),"")</f>
        <v/>
      </c>
      <c r="X46" s="260" t="str">
        <f>IF(0 = 1,ROUND(100, 1),"")</f>
        <v/>
      </c>
      <c r="Y46" s="260" t="str">
        <f>IF(0 = 1,ROUND(0, 1),"")</f>
        <v/>
      </c>
      <c r="Z46" s="260" t="str">
        <f>IF(0 = 1,ROUND(0, 3),"")</f>
        <v/>
      </c>
      <c r="AA46" s="242" t="str">
        <f>IF(0 = 1,CHOOSE(0 + 1, 1.3,1.5),"")</f>
        <v/>
      </c>
      <c r="AB46" s="60" t="str">
        <f>IF(0 = 1,ROUND(0, 1),"")</f>
        <v/>
      </c>
      <c r="AC46" s="260" t="str">
        <f>IF(0 = 1,ROUND(3, 1),"")</f>
        <v/>
      </c>
      <c r="AD46" s="260"/>
      <c r="AE46" s="260"/>
      <c r="AF46" s="260"/>
      <c r="AG46" s="260"/>
      <c r="AH46" s="268"/>
      <c r="AI46" s="53" t="s">
        <v>5982</v>
      </c>
    </row>
    <row r="47" spans="1:35">
      <c r="A47" s="105" t="s">
        <v>5983</v>
      </c>
      <c r="B47" s="127" t="str">
        <f>IF(TRIM("BUS_CNODE_JCT__1429") = "", "BUS_CNODE_JCT__1429", "BUS_CNODE_JCT__1429")</f>
        <v>BUS_CNODE_JCT__1429</v>
      </c>
      <c r="C47" s="58" t="str">
        <f>IF(TRIM("BUS_号环网柜（自）（气）_205") = "", "BUS_号环网柜（自）（气）_205", "BUS_号环网柜（自）（气）_205")</f>
        <v>BUS_号环网柜（自）（气）_205</v>
      </c>
      <c r="D47" s="105" t="str">
        <f>IF(TRUE = TRUE, "Yes", "No")</f>
        <v>Yes</v>
      </c>
      <c r="E47" s="105" t="s">
        <v>5202</v>
      </c>
      <c r="F47" s="105" t="s">
        <v>5910</v>
      </c>
      <c r="G47" s="105"/>
      <c r="H47" s="105" t="str">
        <f>IF(0 = 0, "ANSI", "IEC")</f>
        <v>ANSI</v>
      </c>
      <c r="I47" s="105" t="str">
        <f>IF(1 = 0, "No", "Yes")</f>
        <v>Yes</v>
      </c>
      <c r="J47" s="105" t="str">
        <f>IF(0 = 1, "Yes", "No")</f>
        <v>No</v>
      </c>
      <c r="K47" s="105" t="str">
        <f>IF(0 = 0,"none","none")</f>
        <v>none</v>
      </c>
      <c r="L47" s="105" t="str">
        <f>IF(0 = 0,"none","none")</f>
        <v>none</v>
      </c>
      <c r="M47" s="105">
        <f>IF(0 = 0, ROUND(0, 1), "")</f>
        <v>0</v>
      </c>
      <c r="N47" s="105">
        <f>IF(0 = 0,ROUND(1.00999999, 3),"")</f>
        <v>1.01</v>
      </c>
      <c r="O47" s="266" t="str">
        <f>IF(0 = 0,IF(1 = 0, "Total", "Symmetrical"),"")</f>
        <v>Symmetrical</v>
      </c>
      <c r="P47" s="260">
        <f>IF(0 = 0,ROUND(0, 1),"")</f>
        <v>0</v>
      </c>
      <c r="Q47" s="105">
        <f>IF(0 = 0,ROUND(0, 1),"")</f>
        <v>0</v>
      </c>
      <c r="R47" s="105">
        <f>IF(0 = 0,ROUND(0, 1),"")</f>
        <v>0</v>
      </c>
      <c r="S47" s="260">
        <f>IF(0 = 0,ROUND(0, 1),"")</f>
        <v>0</v>
      </c>
      <c r="T47" s="242">
        <f>IF(0 = 0,CHOOSE(1 + 1, 3,5,8,2),"")</f>
        <v>5</v>
      </c>
      <c r="U47" s="267" t="str">
        <f>IF(0 = 0,"3","")</f>
        <v>3</v>
      </c>
      <c r="V47" s="260" t="str">
        <f>IF(0 = 1,ROUND(1250, 1),"")</f>
        <v/>
      </c>
      <c r="W47" s="260" t="str">
        <f>IF(0 = 1,ROUND(12, 3),"")</f>
        <v/>
      </c>
      <c r="X47" s="260" t="str">
        <f>IF(0 = 1,ROUND(100, 1),"")</f>
        <v/>
      </c>
      <c r="Y47" s="260" t="str">
        <f>IF(0 = 1,ROUND(0, 1),"")</f>
        <v/>
      </c>
      <c r="Z47" s="260" t="str">
        <f>IF(0 = 1,ROUND(0, 3),"")</f>
        <v/>
      </c>
      <c r="AA47" s="242" t="str">
        <f>IF(0 = 1,CHOOSE(0 + 1, 1.3,1.5),"")</f>
        <v/>
      </c>
      <c r="AB47" s="60" t="str">
        <f>IF(0 = 1,ROUND(0, 1),"")</f>
        <v/>
      </c>
      <c r="AC47" s="260" t="str">
        <f>IF(0 = 1,ROUND(3, 1),"")</f>
        <v/>
      </c>
      <c r="AD47" s="260"/>
      <c r="AE47" s="260"/>
      <c r="AF47" s="260"/>
      <c r="AG47" s="260"/>
      <c r="AH47" s="268"/>
      <c r="AI47" s="53" t="s">
        <v>5984</v>
      </c>
    </row>
    <row r="48" spans="1:35">
      <c r="A48" s="105" t="s">
        <v>5985</v>
      </c>
      <c r="B48" s="127" t="str">
        <f>IF(TRIM("BUS_CNODE_JCT__1373") = "", "BUS_CNODE_JCT__1373", "BUS_CNODE_JCT__1373")</f>
        <v>BUS_CNODE_JCT__1373</v>
      </c>
      <c r="C48" s="58" t="str">
        <f>IF(TRIM("BUS_CNODE_JCT__1480") = "", "BUS_CNODE_JCT__1480", "BUS_CNODE_JCT__1480")</f>
        <v>BUS_CNODE_JCT__1480</v>
      </c>
      <c r="D48" s="105" t="str">
        <f>IF(TRUE = TRUE, "Yes", "No")</f>
        <v>Yes</v>
      </c>
      <c r="E48" s="105" t="s">
        <v>5202</v>
      </c>
      <c r="F48" s="105" t="s">
        <v>5910</v>
      </c>
      <c r="G48" s="105"/>
      <c r="H48" s="105" t="str">
        <f>IF(0 = 0, "ANSI", "IEC")</f>
        <v>ANSI</v>
      </c>
      <c r="I48" s="105" t="str">
        <f>IF(1 = 0, "No", "Yes")</f>
        <v>Yes</v>
      </c>
      <c r="J48" s="105" t="str">
        <f>IF(0 = 1, "Yes", "No")</f>
        <v>No</v>
      </c>
      <c r="K48" s="105" t="str">
        <f>IF(0 = 0,"none","none")</f>
        <v>none</v>
      </c>
      <c r="L48" s="105" t="str">
        <f>IF(0 = 0,"none","none")</f>
        <v>none</v>
      </c>
      <c r="M48" s="105">
        <f>IF(0 = 0, ROUND(0, 1), "")</f>
        <v>0</v>
      </c>
      <c r="N48" s="105">
        <f>IF(0 = 0,ROUND(1.00999999, 3),"")</f>
        <v>1.01</v>
      </c>
      <c r="O48" s="266" t="str">
        <f>IF(0 = 0,IF(1 = 0, "Total", "Symmetrical"),"")</f>
        <v>Symmetrical</v>
      </c>
      <c r="P48" s="260">
        <f>IF(0 = 0,ROUND(0, 1),"")</f>
        <v>0</v>
      </c>
      <c r="Q48" s="105">
        <f>IF(0 = 0,ROUND(0, 1),"")</f>
        <v>0</v>
      </c>
      <c r="R48" s="105">
        <f>IF(0 = 0,ROUND(0, 1),"")</f>
        <v>0</v>
      </c>
      <c r="S48" s="260">
        <f>IF(0 = 0,ROUND(0, 1),"")</f>
        <v>0</v>
      </c>
      <c r="T48" s="242">
        <f>IF(0 = 0,CHOOSE(1 + 1, 3,5,8,2),"")</f>
        <v>5</v>
      </c>
      <c r="U48" s="267" t="str">
        <f>IF(0 = 0,"3","")</f>
        <v>3</v>
      </c>
      <c r="V48" s="260" t="str">
        <f>IF(0 = 1,ROUND(1250, 1),"")</f>
        <v/>
      </c>
      <c r="W48" s="260" t="str">
        <f>IF(0 = 1,ROUND(12, 3),"")</f>
        <v/>
      </c>
      <c r="X48" s="260" t="str">
        <f>IF(0 = 1,ROUND(100, 1),"")</f>
        <v/>
      </c>
      <c r="Y48" s="260" t="str">
        <f>IF(0 = 1,ROUND(0, 1),"")</f>
        <v/>
      </c>
      <c r="Z48" s="260" t="str">
        <f>IF(0 = 1,ROUND(0, 3),"")</f>
        <v/>
      </c>
      <c r="AA48" s="242" t="str">
        <f>IF(0 = 1,CHOOSE(0 + 1, 1.3,1.5),"")</f>
        <v/>
      </c>
      <c r="AB48" s="60" t="str">
        <f>IF(0 = 1,ROUND(0, 1),"")</f>
        <v/>
      </c>
      <c r="AC48" s="260" t="str">
        <f>IF(0 = 1,ROUND(3, 1),"")</f>
        <v/>
      </c>
      <c r="AD48" s="260"/>
      <c r="AE48" s="260"/>
      <c r="AF48" s="260"/>
      <c r="AG48" s="260"/>
      <c r="AH48" s="268"/>
      <c r="AI48" s="53" t="s">
        <v>5986</v>
      </c>
    </row>
    <row r="49" spans="1:35">
      <c r="A49" s="105" t="s">
        <v>5987</v>
      </c>
      <c r="B49" s="127" t="str">
        <f>IF(TRIM("BUS_CNODE_JCT__1430") = "", "BUS_CNODE_JCT__1430", "BUS_CNODE_JCT__1430")</f>
        <v>BUS_CNODE_JCT__1430</v>
      </c>
      <c r="C49" s="58" t="str">
        <f>IF(TRIM("BUS_号环网柜（自）（气）_205") = "", "BUS_号环网柜（自）（气）_205", "BUS_号环网柜（自）（气）_205")</f>
        <v>BUS_号环网柜（自）（气）_205</v>
      </c>
      <c r="D49" s="105" t="str">
        <f>IF(TRUE = TRUE, "Yes", "No")</f>
        <v>Yes</v>
      </c>
      <c r="E49" s="105" t="s">
        <v>5202</v>
      </c>
      <c r="F49" s="105" t="s">
        <v>5910</v>
      </c>
      <c r="G49" s="105"/>
      <c r="H49" s="105" t="str">
        <f>IF(0 = 0, "ANSI", "IEC")</f>
        <v>ANSI</v>
      </c>
      <c r="I49" s="105" t="str">
        <f>IF(1 = 0, "No", "Yes")</f>
        <v>Yes</v>
      </c>
      <c r="J49" s="105" t="str">
        <f>IF(0 = 1, "Yes", "No")</f>
        <v>No</v>
      </c>
      <c r="K49" s="105" t="str">
        <f>IF(0 = 0,"none","none")</f>
        <v>none</v>
      </c>
      <c r="L49" s="105" t="str">
        <f>IF(0 = 0,"none","none")</f>
        <v>none</v>
      </c>
      <c r="M49" s="105">
        <f>IF(0 = 0, ROUND(0, 1), "")</f>
        <v>0</v>
      </c>
      <c r="N49" s="105">
        <f>IF(0 = 0,ROUND(1.00999999, 3),"")</f>
        <v>1.01</v>
      </c>
      <c r="O49" s="266" t="str">
        <f>IF(0 = 0,IF(1 = 0, "Total", "Symmetrical"),"")</f>
        <v>Symmetrical</v>
      </c>
      <c r="P49" s="260">
        <f>IF(0 = 0,ROUND(0, 1),"")</f>
        <v>0</v>
      </c>
      <c r="Q49" s="105">
        <f>IF(0 = 0,ROUND(0, 1),"")</f>
        <v>0</v>
      </c>
      <c r="R49" s="105">
        <f>IF(0 = 0,ROUND(0, 1),"")</f>
        <v>0</v>
      </c>
      <c r="S49" s="260">
        <f>IF(0 = 0,ROUND(0, 1),"")</f>
        <v>0</v>
      </c>
      <c r="T49" s="242">
        <f>IF(0 = 0,CHOOSE(1 + 1, 3,5,8,2),"")</f>
        <v>5</v>
      </c>
      <c r="U49" s="267" t="str">
        <f>IF(0 = 0,"3","")</f>
        <v>3</v>
      </c>
      <c r="V49" s="260" t="str">
        <f>IF(0 = 1,ROUND(1250, 1),"")</f>
        <v/>
      </c>
      <c r="W49" s="260" t="str">
        <f>IF(0 = 1,ROUND(12, 3),"")</f>
        <v/>
      </c>
      <c r="X49" s="260" t="str">
        <f>IF(0 = 1,ROUND(100, 1),"")</f>
        <v/>
      </c>
      <c r="Y49" s="260" t="str">
        <f>IF(0 = 1,ROUND(0, 1),"")</f>
        <v/>
      </c>
      <c r="Z49" s="260" t="str">
        <f>IF(0 = 1,ROUND(0, 3),"")</f>
        <v/>
      </c>
      <c r="AA49" s="242" t="str">
        <f>IF(0 = 1,CHOOSE(0 + 1, 1.3,1.5),"")</f>
        <v/>
      </c>
      <c r="AB49" s="60" t="str">
        <f>IF(0 = 1,ROUND(0, 1),"")</f>
        <v/>
      </c>
      <c r="AC49" s="260" t="str">
        <f>IF(0 = 1,ROUND(3, 1),"")</f>
        <v/>
      </c>
      <c r="AD49" s="260"/>
      <c r="AE49" s="260"/>
      <c r="AF49" s="260"/>
      <c r="AG49" s="260"/>
      <c r="AH49" s="268"/>
      <c r="AI49" s="53" t="s">
        <v>5988</v>
      </c>
    </row>
    <row r="50" spans="1:35">
      <c r="A50" s="105" t="s">
        <v>5989</v>
      </c>
      <c r="B50" s="127" t="str">
        <f>IF(TRIM("BUS_CNODE_JCT__1435") = "", "BUS_CNODE_JCT__1435", "BUS_CNODE_JCT__1435")</f>
        <v>BUS_CNODE_JCT__1435</v>
      </c>
      <c r="C50" s="58" t="str">
        <f>IF(TRIM("BUS_涛线4号环网柜（自）_213") = "", "BUS_涛线4号环网柜（自）_213", "BUS_涛线4号环网柜（自）_213")</f>
        <v>BUS_涛线4号环网柜（自）_213</v>
      </c>
      <c r="D50" s="105" t="str">
        <f>IF(TRUE = TRUE, "Yes", "No")</f>
        <v>Yes</v>
      </c>
      <c r="E50" s="105" t="s">
        <v>5202</v>
      </c>
      <c r="F50" s="105" t="s">
        <v>5910</v>
      </c>
      <c r="G50" s="105"/>
      <c r="H50" s="105" t="str">
        <f>IF(0 = 0, "ANSI", "IEC")</f>
        <v>ANSI</v>
      </c>
      <c r="I50" s="105" t="str">
        <f>IF(1 = 0, "No", "Yes")</f>
        <v>Yes</v>
      </c>
      <c r="J50" s="105" t="str">
        <f>IF(0 = 1, "Yes", "No")</f>
        <v>No</v>
      </c>
      <c r="K50" s="105" t="str">
        <f>IF(0 = 0,"none","none")</f>
        <v>none</v>
      </c>
      <c r="L50" s="105" t="str">
        <f>IF(0 = 0,"none","none")</f>
        <v>none</v>
      </c>
      <c r="M50" s="105">
        <f>IF(0 = 0, ROUND(0, 1), "")</f>
        <v>0</v>
      </c>
      <c r="N50" s="105">
        <f>IF(0 = 0,ROUND(1.00999999, 3),"")</f>
        <v>1.01</v>
      </c>
      <c r="O50" s="266" t="str">
        <f>IF(0 = 0,IF(1 = 0, "Total", "Symmetrical"),"")</f>
        <v>Symmetrical</v>
      </c>
      <c r="P50" s="260">
        <f>IF(0 = 0,ROUND(0, 1),"")</f>
        <v>0</v>
      </c>
      <c r="Q50" s="105">
        <f>IF(0 = 0,ROUND(0, 1),"")</f>
        <v>0</v>
      </c>
      <c r="R50" s="105">
        <f>IF(0 = 0,ROUND(0, 1),"")</f>
        <v>0</v>
      </c>
      <c r="S50" s="260">
        <f>IF(0 = 0,ROUND(0, 1),"")</f>
        <v>0</v>
      </c>
      <c r="T50" s="242">
        <f>IF(0 = 0,CHOOSE(1 + 1, 3,5,8,2),"")</f>
        <v>5</v>
      </c>
      <c r="U50" s="267" t="str">
        <f>IF(0 = 0,"3","")</f>
        <v>3</v>
      </c>
      <c r="V50" s="260" t="str">
        <f>IF(0 = 1,ROUND(1250, 1),"")</f>
        <v/>
      </c>
      <c r="W50" s="260" t="str">
        <f>IF(0 = 1,ROUND(12, 3),"")</f>
        <v/>
      </c>
      <c r="X50" s="260" t="str">
        <f>IF(0 = 1,ROUND(100, 1),"")</f>
        <v/>
      </c>
      <c r="Y50" s="260" t="str">
        <f>IF(0 = 1,ROUND(0, 1),"")</f>
        <v/>
      </c>
      <c r="Z50" s="260" t="str">
        <f>IF(0 = 1,ROUND(0, 3),"")</f>
        <v/>
      </c>
      <c r="AA50" s="242" t="str">
        <f>IF(0 = 1,CHOOSE(0 + 1, 1.3,1.5),"")</f>
        <v/>
      </c>
      <c r="AB50" s="60" t="str">
        <f>IF(0 = 1,ROUND(0, 1),"")</f>
        <v/>
      </c>
      <c r="AC50" s="260" t="str">
        <f>IF(0 = 1,ROUND(3, 1),"")</f>
        <v/>
      </c>
      <c r="AD50" s="260"/>
      <c r="AE50" s="260"/>
      <c r="AF50" s="260"/>
      <c r="AG50" s="260"/>
      <c r="AH50" s="268"/>
      <c r="AI50" s="53" t="s">
        <v>5990</v>
      </c>
    </row>
    <row r="51" spans="1:35">
      <c r="A51" s="105" t="s">
        <v>5991</v>
      </c>
      <c r="B51" s="127" t="str">
        <f>IF(TRIM("BUS_CNODE_JCT__1466") = "", "BUS_CNODE_JCT__1466", "BUS_CNODE_JCT__1466")</f>
        <v>BUS_CNODE_JCT__1466</v>
      </c>
      <c r="C51" s="58" t="str">
        <f>IF(TRIM("BUS_号线2号环网柜（自）_241") = "", "BUS_号线2号环网柜（自）_241", "BUS_号线2号环网柜（自）_241")</f>
        <v>BUS_号线2号环网柜（自）_241</v>
      </c>
      <c r="D51" s="105" t="str">
        <f>IF(TRUE = TRUE, "Yes", "No")</f>
        <v>Yes</v>
      </c>
      <c r="E51" s="105" t="s">
        <v>5202</v>
      </c>
      <c r="F51" s="105" t="s">
        <v>5910</v>
      </c>
      <c r="G51" s="105"/>
      <c r="H51" s="105" t="str">
        <f>IF(0 = 0, "ANSI", "IEC")</f>
        <v>ANSI</v>
      </c>
      <c r="I51" s="105" t="str">
        <f>IF(1 = 0, "No", "Yes")</f>
        <v>Yes</v>
      </c>
      <c r="J51" s="105" t="str">
        <f>IF(0 = 1, "Yes", "No")</f>
        <v>No</v>
      </c>
      <c r="K51" s="105" t="str">
        <f>IF(0 = 0,"none","none")</f>
        <v>none</v>
      </c>
      <c r="L51" s="105" t="str">
        <f>IF(0 = 0,"none","none")</f>
        <v>none</v>
      </c>
      <c r="M51" s="105">
        <f>IF(0 = 0, ROUND(0, 1), "")</f>
        <v>0</v>
      </c>
      <c r="N51" s="105">
        <f>IF(0 = 0,ROUND(1.00999999, 3),"")</f>
        <v>1.01</v>
      </c>
      <c r="O51" s="266" t="str">
        <f>IF(0 = 0,IF(1 = 0, "Total", "Symmetrical"),"")</f>
        <v>Symmetrical</v>
      </c>
      <c r="P51" s="260">
        <f>IF(0 = 0,ROUND(0, 1),"")</f>
        <v>0</v>
      </c>
      <c r="Q51" s="105">
        <f>IF(0 = 0,ROUND(0, 1),"")</f>
        <v>0</v>
      </c>
      <c r="R51" s="105">
        <f>IF(0 = 0,ROUND(0, 1),"")</f>
        <v>0</v>
      </c>
      <c r="S51" s="260">
        <f>IF(0 = 0,ROUND(0, 1),"")</f>
        <v>0</v>
      </c>
      <c r="T51" s="242">
        <f>IF(0 = 0,CHOOSE(1 + 1, 3,5,8,2),"")</f>
        <v>5</v>
      </c>
      <c r="U51" s="267" t="str">
        <f>IF(0 = 0,"3","")</f>
        <v>3</v>
      </c>
      <c r="V51" s="260" t="str">
        <f>IF(0 = 1,ROUND(1250, 1),"")</f>
        <v/>
      </c>
      <c r="W51" s="260" t="str">
        <f>IF(0 = 1,ROUND(12, 3),"")</f>
        <v/>
      </c>
      <c r="X51" s="260" t="str">
        <f>IF(0 = 1,ROUND(100, 1),"")</f>
        <v/>
      </c>
      <c r="Y51" s="260" t="str">
        <f>IF(0 = 1,ROUND(0, 1),"")</f>
        <v/>
      </c>
      <c r="Z51" s="260" t="str">
        <f>IF(0 = 1,ROUND(0, 3),"")</f>
        <v/>
      </c>
      <c r="AA51" s="242" t="str">
        <f>IF(0 = 1,CHOOSE(0 + 1, 1.3,1.5),"")</f>
        <v/>
      </c>
      <c r="AB51" s="60" t="str">
        <f>IF(0 = 1,ROUND(0, 1),"")</f>
        <v/>
      </c>
      <c r="AC51" s="260" t="str">
        <f>IF(0 = 1,ROUND(3, 1),"")</f>
        <v/>
      </c>
      <c r="AD51" s="260"/>
      <c r="AE51" s="260"/>
      <c r="AF51" s="260"/>
      <c r="AG51" s="260"/>
      <c r="AH51" s="268"/>
      <c r="AI51" s="53" t="s">
        <v>5992</v>
      </c>
    </row>
    <row r="52" spans="1:35">
      <c r="A52" s="105" t="s">
        <v>5993</v>
      </c>
      <c r="B52" s="127" t="str">
        <f>IF(TRIM("BUS_CNODE_JCT__1474") = "", "BUS_CNODE_JCT__1474", "BUS_CNODE_JCT__1474")</f>
        <v>BUS_CNODE_JCT__1474</v>
      </c>
      <c r="C52" s="58" t="str">
        <f>IF(TRIM("BUS_涛线3号环网柜（自）_242") = "", "BUS_涛线3号环网柜（自）_242", "BUS_涛线3号环网柜（自）_242")</f>
        <v>BUS_涛线3号环网柜（自）_242</v>
      </c>
      <c r="D52" s="105" t="str">
        <f>IF(TRUE = TRUE, "Yes", "No")</f>
        <v>Yes</v>
      </c>
      <c r="E52" s="105" t="s">
        <v>5202</v>
      </c>
      <c r="F52" s="105" t="s">
        <v>5910</v>
      </c>
      <c r="G52" s="105"/>
      <c r="H52" s="105" t="str">
        <f>IF(0 = 0, "ANSI", "IEC")</f>
        <v>ANSI</v>
      </c>
      <c r="I52" s="105" t="str">
        <f>IF(1 = 0, "No", "Yes")</f>
        <v>Yes</v>
      </c>
      <c r="J52" s="105" t="str">
        <f>IF(0 = 1, "Yes", "No")</f>
        <v>No</v>
      </c>
      <c r="K52" s="105" t="str">
        <f>IF(0 = 0,"none","none")</f>
        <v>none</v>
      </c>
      <c r="L52" s="105" t="str">
        <f>IF(0 = 0,"none","none")</f>
        <v>none</v>
      </c>
      <c r="M52" s="105">
        <f>IF(0 = 0, ROUND(0, 1), "")</f>
        <v>0</v>
      </c>
      <c r="N52" s="105">
        <f>IF(0 = 0,ROUND(1.00999999, 3),"")</f>
        <v>1.01</v>
      </c>
      <c r="O52" s="266" t="str">
        <f>IF(0 = 0,IF(1 = 0, "Total", "Symmetrical"),"")</f>
        <v>Symmetrical</v>
      </c>
      <c r="P52" s="260">
        <f>IF(0 = 0,ROUND(0, 1),"")</f>
        <v>0</v>
      </c>
      <c r="Q52" s="105">
        <f>IF(0 = 0,ROUND(0, 1),"")</f>
        <v>0</v>
      </c>
      <c r="R52" s="105">
        <f>IF(0 = 0,ROUND(0, 1),"")</f>
        <v>0</v>
      </c>
      <c r="S52" s="260">
        <f>IF(0 = 0,ROUND(0, 1),"")</f>
        <v>0</v>
      </c>
      <c r="T52" s="242">
        <f>IF(0 = 0,CHOOSE(1 + 1, 3,5,8,2),"")</f>
        <v>5</v>
      </c>
      <c r="U52" s="267" t="str">
        <f>IF(0 = 0,"3","")</f>
        <v>3</v>
      </c>
      <c r="V52" s="260" t="str">
        <f>IF(0 = 1,ROUND(1250, 1),"")</f>
        <v/>
      </c>
      <c r="W52" s="260" t="str">
        <f>IF(0 = 1,ROUND(12, 3),"")</f>
        <v/>
      </c>
      <c r="X52" s="260" t="str">
        <f>IF(0 = 1,ROUND(100, 1),"")</f>
        <v/>
      </c>
      <c r="Y52" s="260" t="str">
        <f>IF(0 = 1,ROUND(0, 1),"")</f>
        <v/>
      </c>
      <c r="Z52" s="260" t="str">
        <f>IF(0 = 1,ROUND(0, 3),"")</f>
        <v/>
      </c>
      <c r="AA52" s="242" t="str">
        <f>IF(0 = 1,CHOOSE(0 + 1, 1.3,1.5),"")</f>
        <v/>
      </c>
      <c r="AB52" s="60" t="str">
        <f>IF(0 = 1,ROUND(0, 1),"")</f>
        <v/>
      </c>
      <c r="AC52" s="260" t="str">
        <f>IF(0 = 1,ROUND(3, 1),"")</f>
        <v/>
      </c>
      <c r="AD52" s="260"/>
      <c r="AE52" s="260"/>
      <c r="AF52" s="260"/>
      <c r="AG52" s="260"/>
      <c r="AH52" s="268"/>
      <c r="AI52" s="53" t="s">
        <v>5994</v>
      </c>
    </row>
    <row r="53" spans="1:35">
      <c r="A53" s="105" t="s">
        <v>5995</v>
      </c>
      <c r="B53" s="127" t="str">
        <f>IF(TRIM("BUS_CNODE_JCT__1384") = "", "BUS_CNODE_JCT__1384", "BUS_CNODE_JCT__1384")</f>
        <v>BUS_CNODE_JCT__1384</v>
      </c>
      <c r="C53" s="58" t="str">
        <f>IF(TRIM("BUS_CNODE_JCT__1363") = "", "BUS_CNODE_JCT__1363", "BUS_CNODE_JCT__1363")</f>
        <v>BUS_CNODE_JCT__1363</v>
      </c>
      <c r="D53" s="105" t="str">
        <f>IF(TRUE = TRUE, "Yes", "No")</f>
        <v>Yes</v>
      </c>
      <c r="E53" s="105" t="s">
        <v>5202</v>
      </c>
      <c r="F53" s="105" t="s">
        <v>5910</v>
      </c>
      <c r="G53" s="105"/>
      <c r="H53" s="105" t="str">
        <f>IF(0 = 0, "ANSI", "IEC")</f>
        <v>ANSI</v>
      </c>
      <c r="I53" s="105" t="str">
        <f>IF(1 = 0, "No", "Yes")</f>
        <v>Yes</v>
      </c>
      <c r="J53" s="105" t="str">
        <f>IF(0 = 1, "Yes", "No")</f>
        <v>No</v>
      </c>
      <c r="K53" s="105" t="str">
        <f>IF(0 = 0,"none","none")</f>
        <v>none</v>
      </c>
      <c r="L53" s="105" t="str">
        <f>IF(0 = 0,"none","none")</f>
        <v>none</v>
      </c>
      <c r="M53" s="105">
        <f>IF(0 = 0, ROUND(0, 1), "")</f>
        <v>0</v>
      </c>
      <c r="N53" s="105">
        <f>IF(0 = 0,ROUND(1.00999999, 3),"")</f>
        <v>1.01</v>
      </c>
      <c r="O53" s="266" t="str">
        <f>IF(0 = 0,IF(1 = 0, "Total", "Symmetrical"),"")</f>
        <v>Symmetrical</v>
      </c>
      <c r="P53" s="260">
        <f>IF(0 = 0,ROUND(0, 1),"")</f>
        <v>0</v>
      </c>
      <c r="Q53" s="105">
        <f>IF(0 = 0,ROUND(0, 1),"")</f>
        <v>0</v>
      </c>
      <c r="R53" s="105">
        <f>IF(0 = 0,ROUND(0, 1),"")</f>
        <v>0</v>
      </c>
      <c r="S53" s="260">
        <f>IF(0 = 0,ROUND(0, 1),"")</f>
        <v>0</v>
      </c>
      <c r="T53" s="242">
        <f>IF(0 = 0,CHOOSE(1 + 1, 3,5,8,2),"")</f>
        <v>5</v>
      </c>
      <c r="U53" s="267" t="str">
        <f>IF(0 = 0,"3","")</f>
        <v>3</v>
      </c>
      <c r="V53" s="260" t="str">
        <f>IF(0 = 1,ROUND(1250, 1),"")</f>
        <v/>
      </c>
      <c r="W53" s="260" t="str">
        <f>IF(0 = 1,ROUND(12, 3),"")</f>
        <v/>
      </c>
      <c r="X53" s="260" t="str">
        <f>IF(0 = 1,ROUND(100, 1),"")</f>
        <v/>
      </c>
      <c r="Y53" s="260" t="str">
        <f>IF(0 = 1,ROUND(0, 1),"")</f>
        <v/>
      </c>
      <c r="Z53" s="260" t="str">
        <f>IF(0 = 1,ROUND(0, 3),"")</f>
        <v/>
      </c>
      <c r="AA53" s="242" t="str">
        <f>IF(0 = 1,CHOOSE(0 + 1, 1.3,1.5),"")</f>
        <v/>
      </c>
      <c r="AB53" s="60" t="str">
        <f>IF(0 = 1,ROUND(0, 1),"")</f>
        <v/>
      </c>
      <c r="AC53" s="260" t="str">
        <f>IF(0 = 1,ROUND(3, 1),"")</f>
        <v/>
      </c>
      <c r="AD53" s="260"/>
      <c r="AE53" s="260"/>
      <c r="AF53" s="260"/>
      <c r="AG53" s="260"/>
      <c r="AH53" s="268"/>
      <c r="AI53" s="53" t="s">
        <v>5996</v>
      </c>
    </row>
    <row r="54" spans="1:35">
      <c r="A54" s="105" t="s">
        <v>5997</v>
      </c>
      <c r="B54" s="127" t="str">
        <f>IF(TRIM("BUS_亚都天元居#3箱变_229") = "", "BUS_亚都天元居#3箱变_229", "BUS_亚都天元居#3箱变_229")</f>
        <v>BUS_亚都天元居#3箱变_229</v>
      </c>
      <c r="C54" s="58" t="str">
        <f>IF(TRIM("BUS_CNODE_JCT__1448") = "", "BUS_CNODE_JCT__1448", "BUS_CNODE_JCT__1448")</f>
        <v>BUS_CNODE_JCT__1448</v>
      </c>
      <c r="D54" s="105" t="str">
        <f>IF(TRUE = TRUE, "Yes", "No")</f>
        <v>Yes</v>
      </c>
      <c r="E54" s="105" t="s">
        <v>5202</v>
      </c>
      <c r="F54" s="105" t="s">
        <v>5910</v>
      </c>
      <c r="G54" s="105"/>
      <c r="H54" s="105" t="str">
        <f>IF(0 = 0, "ANSI", "IEC")</f>
        <v>ANSI</v>
      </c>
      <c r="I54" s="105" t="str">
        <f>IF(1 = 0, "No", "Yes")</f>
        <v>Yes</v>
      </c>
      <c r="J54" s="105" t="str">
        <f>IF(0 = 1, "Yes", "No")</f>
        <v>No</v>
      </c>
      <c r="K54" s="105" t="str">
        <f>IF(0 = 0,"none","none")</f>
        <v>none</v>
      </c>
      <c r="L54" s="105" t="str">
        <f>IF(0 = 0,"none","none")</f>
        <v>none</v>
      </c>
      <c r="M54" s="105">
        <f>IF(0 = 0, ROUND(0, 1), "")</f>
        <v>0</v>
      </c>
      <c r="N54" s="105">
        <f>IF(0 = 0,ROUND(1.00999999, 3),"")</f>
        <v>1.01</v>
      </c>
      <c r="O54" s="266" t="str">
        <f>IF(0 = 0,IF(1 = 0, "Total", "Symmetrical"),"")</f>
        <v>Symmetrical</v>
      </c>
      <c r="P54" s="260">
        <f>IF(0 = 0,ROUND(0, 1),"")</f>
        <v>0</v>
      </c>
      <c r="Q54" s="105">
        <f>IF(0 = 0,ROUND(0, 1),"")</f>
        <v>0</v>
      </c>
      <c r="R54" s="105">
        <f>IF(0 = 0,ROUND(0, 1),"")</f>
        <v>0</v>
      </c>
      <c r="S54" s="260">
        <f>IF(0 = 0,ROUND(0, 1),"")</f>
        <v>0</v>
      </c>
      <c r="T54" s="242">
        <f>IF(0 = 0,CHOOSE(1 + 1, 3,5,8,2),"")</f>
        <v>5</v>
      </c>
      <c r="U54" s="267" t="str">
        <f>IF(0 = 0,"3","")</f>
        <v>3</v>
      </c>
      <c r="V54" s="260" t="str">
        <f>IF(0 = 1,ROUND(1250, 1),"")</f>
        <v/>
      </c>
      <c r="W54" s="260" t="str">
        <f>IF(0 = 1,ROUND(12, 3),"")</f>
        <v/>
      </c>
      <c r="X54" s="260" t="str">
        <f>IF(0 = 1,ROUND(100, 1),"")</f>
        <v/>
      </c>
      <c r="Y54" s="260" t="str">
        <f>IF(0 = 1,ROUND(0, 1),"")</f>
        <v/>
      </c>
      <c r="Z54" s="260" t="str">
        <f>IF(0 = 1,ROUND(0, 3),"")</f>
        <v/>
      </c>
      <c r="AA54" s="242" t="str">
        <f>IF(0 = 1,CHOOSE(0 + 1, 1.3,1.5),"")</f>
        <v/>
      </c>
      <c r="AB54" s="60" t="str">
        <f>IF(0 = 1,ROUND(0, 1),"")</f>
        <v/>
      </c>
      <c r="AC54" s="260" t="str">
        <f>IF(0 = 1,ROUND(3, 1),"")</f>
        <v/>
      </c>
      <c r="AD54" s="260"/>
      <c r="AE54" s="260"/>
      <c r="AF54" s="260"/>
      <c r="AG54" s="260"/>
      <c r="AH54" s="268"/>
      <c r="AI54" s="53" t="s">
        <v>5998</v>
      </c>
    </row>
    <row r="55" spans="1:35">
      <c r="A55" s="105" t="s">
        <v>5999</v>
      </c>
      <c r="B55" s="127" t="str">
        <f>IF(TRIM("BUS_line1_228") = "", "BUS_line1_228", "BUS_line1_228")</f>
        <v>BUS_line1_228</v>
      </c>
      <c r="C55" s="58" t="str">
        <f>IF(TRIM("BUS_CNODE_JCT__1447") = "", "BUS_CNODE_JCT__1447", "BUS_CNODE_JCT__1447")</f>
        <v>BUS_CNODE_JCT__1447</v>
      </c>
      <c r="D55" s="105" t="str">
        <f>IF(TRUE = TRUE, "Yes", "No")</f>
        <v>Yes</v>
      </c>
      <c r="E55" s="105" t="s">
        <v>5202</v>
      </c>
      <c r="F55" s="105" t="s">
        <v>5910</v>
      </c>
      <c r="G55" s="105"/>
      <c r="H55" s="105" t="str">
        <f>IF(0 = 0, "ANSI", "IEC")</f>
        <v>ANSI</v>
      </c>
      <c r="I55" s="105" t="str">
        <f>IF(1 = 0, "No", "Yes")</f>
        <v>Yes</v>
      </c>
      <c r="J55" s="105" t="str">
        <f>IF(0 = 1, "Yes", "No")</f>
        <v>No</v>
      </c>
      <c r="K55" s="105" t="str">
        <f>IF(0 = 0,"none","none")</f>
        <v>none</v>
      </c>
      <c r="L55" s="105" t="str">
        <f>IF(0 = 0,"none","none")</f>
        <v>none</v>
      </c>
      <c r="M55" s="105">
        <f>IF(0 = 0, ROUND(0, 1), "")</f>
        <v>0</v>
      </c>
      <c r="N55" s="105">
        <f>IF(0 = 0,ROUND(1.00999999, 3),"")</f>
        <v>1.01</v>
      </c>
      <c r="O55" s="266" t="str">
        <f>IF(0 = 0,IF(1 = 0, "Total", "Symmetrical"),"")</f>
        <v>Symmetrical</v>
      </c>
      <c r="P55" s="260">
        <f>IF(0 = 0,ROUND(0, 1),"")</f>
        <v>0</v>
      </c>
      <c r="Q55" s="105">
        <f>IF(0 = 0,ROUND(0, 1),"")</f>
        <v>0</v>
      </c>
      <c r="R55" s="105">
        <f>IF(0 = 0,ROUND(0, 1),"")</f>
        <v>0</v>
      </c>
      <c r="S55" s="260">
        <f>IF(0 = 0,ROUND(0, 1),"")</f>
        <v>0</v>
      </c>
      <c r="T55" s="242">
        <f>IF(0 = 0,CHOOSE(1 + 1, 3,5,8,2),"")</f>
        <v>5</v>
      </c>
      <c r="U55" s="267" t="str">
        <f>IF(0 = 0,"3","")</f>
        <v>3</v>
      </c>
      <c r="V55" s="260" t="str">
        <f>IF(0 = 1,ROUND(1250, 1),"")</f>
        <v/>
      </c>
      <c r="W55" s="260" t="str">
        <f>IF(0 = 1,ROUND(12, 3),"")</f>
        <v/>
      </c>
      <c r="X55" s="260" t="str">
        <f>IF(0 = 1,ROUND(100, 1),"")</f>
        <v/>
      </c>
      <c r="Y55" s="260" t="str">
        <f>IF(0 = 1,ROUND(0, 1),"")</f>
        <v/>
      </c>
      <c r="Z55" s="260" t="str">
        <f>IF(0 = 1,ROUND(0, 3),"")</f>
        <v/>
      </c>
      <c r="AA55" s="242" t="str">
        <f>IF(0 = 1,CHOOSE(0 + 1, 1.3,1.5),"")</f>
        <v/>
      </c>
      <c r="AB55" s="60" t="str">
        <f>IF(0 = 1,ROUND(0, 1),"")</f>
        <v/>
      </c>
      <c r="AC55" s="260" t="str">
        <f>IF(0 = 1,ROUND(3, 1),"")</f>
        <v/>
      </c>
      <c r="AD55" s="260"/>
      <c r="AE55" s="260"/>
      <c r="AF55" s="260"/>
      <c r="AG55" s="260"/>
      <c r="AH55" s="268"/>
      <c r="AI55" s="53" t="s">
        <v>6000</v>
      </c>
    </row>
    <row r="56" spans="1:35">
      <c r="A56" s="105" t="s">
        <v>6001</v>
      </c>
      <c r="B56" s="127" t="str">
        <f>IF(TRIM("BUS_花苑#8变高压母线2_234") = "", "BUS_花苑#8变高压母线2_234", "BUS_花苑#8变高压母线2_234")</f>
        <v>BUS_花苑#8变高压母线2_234</v>
      </c>
      <c r="C56" s="58" t="str">
        <f>IF(TRIM("BUS_CNODE_JCT__1453") = "", "BUS_CNODE_JCT__1453", "BUS_CNODE_JCT__1453")</f>
        <v>BUS_CNODE_JCT__1453</v>
      </c>
      <c r="D56" s="105" t="str">
        <f>IF(TRUE = TRUE, "Yes", "No")</f>
        <v>Yes</v>
      </c>
      <c r="E56" s="105" t="s">
        <v>5202</v>
      </c>
      <c r="F56" s="105" t="s">
        <v>5910</v>
      </c>
      <c r="G56" s="105"/>
      <c r="H56" s="105" t="str">
        <f>IF(0 = 0, "ANSI", "IEC")</f>
        <v>ANSI</v>
      </c>
      <c r="I56" s="105" t="str">
        <f>IF(1 = 0, "No", "Yes")</f>
        <v>Yes</v>
      </c>
      <c r="J56" s="105" t="str">
        <f>IF(0 = 1, "Yes", "No")</f>
        <v>No</v>
      </c>
      <c r="K56" s="105" t="str">
        <f>IF(0 = 0,"none","none")</f>
        <v>none</v>
      </c>
      <c r="L56" s="105" t="str">
        <f>IF(0 = 0,"none","none")</f>
        <v>none</v>
      </c>
      <c r="M56" s="105">
        <f>IF(0 = 0, ROUND(0, 1), "")</f>
        <v>0</v>
      </c>
      <c r="N56" s="105">
        <f>IF(0 = 0,ROUND(1.00999999, 3),"")</f>
        <v>1.01</v>
      </c>
      <c r="O56" s="266" t="str">
        <f>IF(0 = 0,IF(1 = 0, "Total", "Symmetrical"),"")</f>
        <v>Symmetrical</v>
      </c>
      <c r="P56" s="260">
        <f>IF(0 = 0,ROUND(0, 1),"")</f>
        <v>0</v>
      </c>
      <c r="Q56" s="105">
        <f>IF(0 = 0,ROUND(0, 1),"")</f>
        <v>0</v>
      </c>
      <c r="R56" s="105">
        <f>IF(0 = 0,ROUND(0, 1),"")</f>
        <v>0</v>
      </c>
      <c r="S56" s="260">
        <f>IF(0 = 0,ROUND(0, 1),"")</f>
        <v>0</v>
      </c>
      <c r="T56" s="242">
        <f>IF(0 = 0,CHOOSE(1 + 1, 3,5,8,2),"")</f>
        <v>5</v>
      </c>
      <c r="U56" s="267" t="str">
        <f>IF(0 = 0,"3","")</f>
        <v>3</v>
      </c>
      <c r="V56" s="260" t="str">
        <f>IF(0 = 1,ROUND(1250, 1),"")</f>
        <v/>
      </c>
      <c r="W56" s="260" t="str">
        <f>IF(0 = 1,ROUND(12, 3),"")</f>
        <v/>
      </c>
      <c r="X56" s="260" t="str">
        <f>IF(0 = 1,ROUND(630, 1),"")</f>
        <v/>
      </c>
      <c r="Y56" s="260" t="str">
        <f>IF(0 = 1,ROUND(0, 1),"")</f>
        <v/>
      </c>
      <c r="Z56" s="260" t="str">
        <f>IF(0 = 1,ROUND(0, 3),"")</f>
        <v/>
      </c>
      <c r="AA56" s="242" t="str">
        <f>IF(0 = 1,CHOOSE(0 + 1, 1.3,1.5),"")</f>
        <v/>
      </c>
      <c r="AB56" s="60" t="str">
        <f>IF(0 = 1,ROUND(0, 1),"")</f>
        <v/>
      </c>
      <c r="AC56" s="260" t="str">
        <f>IF(0 = 1,ROUND(3, 1),"")</f>
        <v/>
      </c>
      <c r="AD56" s="260"/>
      <c r="AE56" s="260"/>
      <c r="AF56" s="260"/>
      <c r="AG56" s="260"/>
      <c r="AH56" s="268"/>
      <c r="AI56" s="53" t="s">
        <v>6002</v>
      </c>
    </row>
    <row r="57" spans="1:35">
      <c r="A57" s="105" t="s">
        <v>6003</v>
      </c>
      <c r="B57" s="127" t="str">
        <f>IF(TRIM("") = "", "", "")</f>
        <v/>
      </c>
      <c r="C57" s="58" t="str">
        <f>IF(TRIM("BUS_CNODE_JCT__1418") = "", "BUS_CNODE_JCT__1418", "BUS_CNODE_JCT__1418")</f>
        <v>BUS_CNODE_JCT__1418</v>
      </c>
      <c r="D57" s="105" t="str">
        <f>IF(TRUE = TRUE, "Yes", "No")</f>
        <v>Yes</v>
      </c>
      <c r="E57" s="105" t="s">
        <v>5202</v>
      </c>
      <c r="F57" s="105" t="s">
        <v>5921</v>
      </c>
      <c r="G57" s="105"/>
      <c r="H57" s="105" t="str">
        <f>IF(0 = 0, "ANSI", "IEC")</f>
        <v>ANSI</v>
      </c>
      <c r="I57" s="105" t="str">
        <f>IF(1 = 0, "No", "Yes")</f>
        <v>Yes</v>
      </c>
      <c r="J57" s="105" t="str">
        <f>IF(0 = 1, "Yes", "No")</f>
        <v>No</v>
      </c>
      <c r="K57" s="105" t="str">
        <f>IF(0 = 0,"none","none")</f>
        <v>none</v>
      </c>
      <c r="L57" s="105" t="str">
        <f>IF(0 = 0,"none","none")</f>
        <v>none</v>
      </c>
      <c r="M57" s="105">
        <f>IF(0 = 0, ROUND(0, 1), "")</f>
        <v>0</v>
      </c>
      <c r="N57" s="105">
        <f>IF(0 = 0,ROUND(1.00999999, 3),"")</f>
        <v>1.01</v>
      </c>
      <c r="O57" s="266" t="str">
        <f>IF(0 = 0,IF(1 = 0, "Total", "Symmetrical"),"")</f>
        <v>Symmetrical</v>
      </c>
      <c r="P57" s="260">
        <f>IF(0 = 0,ROUND(0, 1),"")</f>
        <v>0</v>
      </c>
      <c r="Q57" s="105">
        <f>IF(0 = 0,ROUND(0, 1),"")</f>
        <v>0</v>
      </c>
      <c r="R57" s="105">
        <f>IF(0 = 0,ROUND(0, 1),"")</f>
        <v>0</v>
      </c>
      <c r="S57" s="260">
        <f>IF(0 = 0,ROUND(0, 1),"")</f>
        <v>0</v>
      </c>
      <c r="T57" s="242">
        <f>IF(0 = 0,CHOOSE(1 + 1, 3,5,8,2),"")</f>
        <v>5</v>
      </c>
      <c r="U57" s="267" t="str">
        <f>IF(0 = 0,"3","")</f>
        <v>3</v>
      </c>
      <c r="V57" s="260" t="str">
        <f>IF(0 = 1,ROUND(1250, 1),"")</f>
        <v/>
      </c>
      <c r="W57" s="260" t="str">
        <f>IF(0 = 1,ROUND(12, 3),"")</f>
        <v/>
      </c>
      <c r="X57" s="260" t="str">
        <f>IF(0 = 1,ROUND(100, 1),"")</f>
        <v/>
      </c>
      <c r="Y57" s="260" t="str">
        <f>IF(0 = 1,ROUND(0, 1),"")</f>
        <v/>
      </c>
      <c r="Z57" s="260" t="str">
        <f>IF(0 = 1,ROUND(0, 3),"")</f>
        <v/>
      </c>
      <c r="AA57" s="242" t="str">
        <f>IF(0 = 1,CHOOSE(0 + 1, 1.3,1.5),"")</f>
        <v/>
      </c>
      <c r="AB57" s="60" t="str">
        <f>IF(0 = 1,ROUND(0, 1),"")</f>
        <v/>
      </c>
      <c r="AC57" s="260" t="str">
        <f>IF(0 = 1,ROUND(3, 1),"")</f>
        <v/>
      </c>
      <c r="AD57" s="260"/>
      <c r="AE57" s="260"/>
      <c r="AF57" s="260"/>
      <c r="AG57" s="260"/>
      <c r="AH57" s="268"/>
      <c r="AI57" s="53" t="s">
        <v>6004</v>
      </c>
    </row>
    <row r="58" spans="1:35">
      <c r="A58" s="105" t="s">
        <v>6005</v>
      </c>
      <c r="B58" s="127" t="str">
        <f>IF(TRIM("") = "", "", "")</f>
        <v/>
      </c>
      <c r="C58" s="58" t="str">
        <f>IF(TRIM("BUS_线太平花苑#5环网柜_201") = "", "BUS_线太平花苑#5环网柜_201", "BUS_线太平花苑#5环网柜_201")</f>
        <v>BUS_线太平花苑#5环网柜_201</v>
      </c>
      <c r="D58" s="105" t="str">
        <f>IF(TRUE = TRUE, "Yes", "No")</f>
        <v>Yes</v>
      </c>
      <c r="E58" s="105" t="s">
        <v>5202</v>
      </c>
      <c r="F58" s="105" t="s">
        <v>5910</v>
      </c>
      <c r="G58" s="105"/>
      <c r="H58" s="105" t="str">
        <f>IF(0 = 0, "ANSI", "IEC")</f>
        <v>ANSI</v>
      </c>
      <c r="I58" s="105" t="str">
        <f>IF(1 = 0, "No", "Yes")</f>
        <v>Yes</v>
      </c>
      <c r="J58" s="105" t="str">
        <f>IF(0 = 1, "Yes", "No")</f>
        <v>No</v>
      </c>
      <c r="K58" s="105" t="str">
        <f>IF(0 = 0,"none","none")</f>
        <v>none</v>
      </c>
      <c r="L58" s="105" t="str">
        <f>IF(0 = 0,"none","none")</f>
        <v>none</v>
      </c>
      <c r="M58" s="105">
        <f>IF(0 = 0, ROUND(0, 1), "")</f>
        <v>0</v>
      </c>
      <c r="N58" s="105">
        <f>IF(0 = 0,ROUND(1.00999999, 3),"")</f>
        <v>1.01</v>
      </c>
      <c r="O58" s="266" t="str">
        <f>IF(0 = 0,IF(1 = 0, "Total", "Symmetrical"),"")</f>
        <v>Symmetrical</v>
      </c>
      <c r="P58" s="260">
        <f>IF(0 = 0,ROUND(0, 1),"")</f>
        <v>0</v>
      </c>
      <c r="Q58" s="105">
        <f>IF(0 = 0,ROUND(0, 1),"")</f>
        <v>0</v>
      </c>
      <c r="R58" s="105">
        <f>IF(0 = 0,ROUND(0, 1),"")</f>
        <v>0</v>
      </c>
      <c r="S58" s="260">
        <f>IF(0 = 0,ROUND(0, 1),"")</f>
        <v>0</v>
      </c>
      <c r="T58" s="242">
        <f>IF(0 = 0,CHOOSE(1 + 1, 3,5,8,2),"")</f>
        <v>5</v>
      </c>
      <c r="U58" s="267" t="str">
        <f>IF(0 = 0,"3","")</f>
        <v>3</v>
      </c>
      <c r="V58" s="260" t="str">
        <f>IF(0 = 1,ROUND(1250, 1),"")</f>
        <v/>
      </c>
      <c r="W58" s="260" t="str">
        <f>IF(0 = 1,ROUND(12, 3),"")</f>
        <v/>
      </c>
      <c r="X58" s="260" t="str">
        <f>IF(0 = 1,ROUND(100, 1),"")</f>
        <v/>
      </c>
      <c r="Y58" s="260" t="str">
        <f>IF(0 = 1,ROUND(0, 1),"")</f>
        <v/>
      </c>
      <c r="Z58" s="260" t="str">
        <f>IF(0 = 1,ROUND(0, 3),"")</f>
        <v/>
      </c>
      <c r="AA58" s="242" t="str">
        <f>IF(0 = 1,CHOOSE(0 + 1, 1.3,1.5),"")</f>
        <v/>
      </c>
      <c r="AB58" s="60" t="str">
        <f>IF(0 = 1,ROUND(0, 1),"")</f>
        <v/>
      </c>
      <c r="AC58" s="260" t="str">
        <f>IF(0 = 1,ROUND(3, 1),"")</f>
        <v/>
      </c>
      <c r="AD58" s="260"/>
      <c r="AE58" s="260"/>
      <c r="AF58" s="260"/>
      <c r="AG58" s="260"/>
      <c r="AH58" s="268"/>
      <c r="AI58" s="53" t="s">
        <v>6006</v>
      </c>
    </row>
    <row r="59" spans="1:35">
      <c r="A59" s="105" t="s">
        <v>6007</v>
      </c>
      <c r="B59" s="127" t="str">
        <f>IF(TRIM("") = "", "", "")</f>
        <v/>
      </c>
      <c r="C59" s="58" t="str">
        <f>IF(TRIM("BUS_西花园线13号环网柜_206") = "", "BUS_西花园线13号环网柜_206", "BUS_西花园线13号环网柜_206")</f>
        <v>BUS_西花园线13号环网柜_206</v>
      </c>
      <c r="D59" s="105" t="str">
        <f>IF(TRUE = TRUE, "Yes", "No")</f>
        <v>Yes</v>
      </c>
      <c r="E59" s="105" t="s">
        <v>5202</v>
      </c>
      <c r="F59" s="105" t="s">
        <v>5910</v>
      </c>
      <c r="G59" s="105"/>
      <c r="H59" s="105" t="str">
        <f>IF(0 = 0, "ANSI", "IEC")</f>
        <v>ANSI</v>
      </c>
      <c r="I59" s="105" t="str">
        <f>IF(1 = 0, "No", "Yes")</f>
        <v>Yes</v>
      </c>
      <c r="J59" s="105" t="str">
        <f>IF(0 = 1, "Yes", "No")</f>
        <v>No</v>
      </c>
      <c r="K59" s="105" t="str">
        <f>IF(0 = 0,"none","none")</f>
        <v>none</v>
      </c>
      <c r="L59" s="105" t="str">
        <f>IF(0 = 0,"none","none")</f>
        <v>none</v>
      </c>
      <c r="M59" s="105">
        <f>IF(0 = 0, ROUND(0, 1), "")</f>
        <v>0</v>
      </c>
      <c r="N59" s="105">
        <f>IF(0 = 0,ROUND(1.00999999, 3),"")</f>
        <v>1.01</v>
      </c>
      <c r="O59" s="266" t="str">
        <f>IF(0 = 0,IF(1 = 0, "Total", "Symmetrical"),"")</f>
        <v>Symmetrical</v>
      </c>
      <c r="P59" s="260">
        <f>IF(0 = 0,ROUND(0, 1),"")</f>
        <v>0</v>
      </c>
      <c r="Q59" s="105">
        <f>IF(0 = 0,ROUND(0, 1),"")</f>
        <v>0</v>
      </c>
      <c r="R59" s="105">
        <f>IF(0 = 0,ROUND(0, 1),"")</f>
        <v>0</v>
      </c>
      <c r="S59" s="260">
        <f>IF(0 = 0,ROUND(0, 1),"")</f>
        <v>0</v>
      </c>
      <c r="T59" s="242">
        <f>IF(0 = 0,CHOOSE(1 + 1, 3,5,8,2),"")</f>
        <v>5</v>
      </c>
      <c r="U59" s="267" t="str">
        <f>IF(0 = 0,"3","")</f>
        <v>3</v>
      </c>
      <c r="V59" s="260" t="str">
        <f>IF(0 = 1,ROUND(1250, 1),"")</f>
        <v/>
      </c>
      <c r="W59" s="260" t="str">
        <f>IF(0 = 1,ROUND(12, 3),"")</f>
        <v/>
      </c>
      <c r="X59" s="260" t="str">
        <f>IF(0 = 1,ROUND(100, 1),"")</f>
        <v/>
      </c>
      <c r="Y59" s="260" t="str">
        <f>IF(0 = 1,ROUND(0, 1),"")</f>
        <v/>
      </c>
      <c r="Z59" s="260" t="str">
        <f>IF(0 = 1,ROUND(0, 3),"")</f>
        <v/>
      </c>
      <c r="AA59" s="242" t="str">
        <f>IF(0 = 1,CHOOSE(0 + 1, 1.3,1.5),"")</f>
        <v/>
      </c>
      <c r="AB59" s="60" t="str">
        <f>IF(0 = 1,ROUND(0, 1),"")</f>
        <v/>
      </c>
      <c r="AC59" s="260" t="str">
        <f>IF(0 = 1,ROUND(3, 1),"")</f>
        <v/>
      </c>
      <c r="AD59" s="260"/>
      <c r="AE59" s="260"/>
      <c r="AF59" s="260"/>
      <c r="AG59" s="260"/>
      <c r="AH59" s="268"/>
      <c r="AI59" s="53" t="s">
        <v>6008</v>
      </c>
    </row>
    <row r="60" spans="1:35">
      <c r="A60" s="105" t="s">
        <v>6009</v>
      </c>
      <c r="B60" s="127" t="str">
        <f>IF(TRIM("") = "", "", "")</f>
        <v/>
      </c>
      <c r="C60" s="58" t="str">
        <f>IF(TRIM("BUS_爱涛线太平南区环网柜_208") = "", "BUS_爱涛线太平南区环网柜_208", "BUS_爱涛线太平南区环网柜_208")</f>
        <v>BUS_爱涛线太平南区环网柜_208</v>
      </c>
      <c r="D60" s="105" t="str">
        <f>IF(TRUE = TRUE, "Yes", "No")</f>
        <v>Yes</v>
      </c>
      <c r="E60" s="105" t="s">
        <v>5202</v>
      </c>
      <c r="F60" s="105" t="s">
        <v>5910</v>
      </c>
      <c r="G60" s="105"/>
      <c r="H60" s="105" t="str">
        <f>IF(0 = 0, "ANSI", "IEC")</f>
        <v>ANSI</v>
      </c>
      <c r="I60" s="105" t="str">
        <f>IF(1 = 0, "No", "Yes")</f>
        <v>Yes</v>
      </c>
      <c r="J60" s="105" t="str">
        <f>IF(0 = 1, "Yes", "No")</f>
        <v>No</v>
      </c>
      <c r="K60" s="105" t="str">
        <f>IF(0 = 0,"none","none")</f>
        <v>none</v>
      </c>
      <c r="L60" s="105" t="str">
        <f>IF(0 = 0,"none","none")</f>
        <v>none</v>
      </c>
      <c r="M60" s="105">
        <f>IF(0 = 0, ROUND(0, 1), "")</f>
        <v>0</v>
      </c>
      <c r="N60" s="105">
        <f>IF(0 = 0,ROUND(1.00999999, 3),"")</f>
        <v>1.01</v>
      </c>
      <c r="O60" s="266" t="str">
        <f>IF(0 = 0,IF(1 = 0, "Total", "Symmetrical"),"")</f>
        <v>Symmetrical</v>
      </c>
      <c r="P60" s="260">
        <f>IF(0 = 0,ROUND(0, 1),"")</f>
        <v>0</v>
      </c>
      <c r="Q60" s="105">
        <f>IF(0 = 0,ROUND(0, 1),"")</f>
        <v>0</v>
      </c>
      <c r="R60" s="105">
        <f>IF(0 = 0,ROUND(0, 1),"")</f>
        <v>0</v>
      </c>
      <c r="S60" s="260">
        <f>IF(0 = 0,ROUND(0, 1),"")</f>
        <v>0</v>
      </c>
      <c r="T60" s="242">
        <f>IF(0 = 0,CHOOSE(1 + 1, 3,5,8,2),"")</f>
        <v>5</v>
      </c>
      <c r="U60" s="267" t="str">
        <f>IF(0 = 0,"3","")</f>
        <v>3</v>
      </c>
      <c r="V60" s="260" t="str">
        <f>IF(0 = 1,ROUND(1250, 1),"")</f>
        <v/>
      </c>
      <c r="W60" s="260" t="str">
        <f>IF(0 = 1,ROUND(12, 3),"")</f>
        <v/>
      </c>
      <c r="X60" s="260" t="str">
        <f>IF(0 = 1,ROUND(100, 1),"")</f>
        <v/>
      </c>
      <c r="Y60" s="260" t="str">
        <f>IF(0 = 1,ROUND(0, 1),"")</f>
        <v/>
      </c>
      <c r="Z60" s="260" t="str">
        <f>IF(0 = 1,ROUND(0, 3),"")</f>
        <v/>
      </c>
      <c r="AA60" s="242" t="str">
        <f>IF(0 = 1,CHOOSE(0 + 1, 1.3,1.5),"")</f>
        <v/>
      </c>
      <c r="AB60" s="60" t="str">
        <f>IF(0 = 1,ROUND(0, 1),"")</f>
        <v/>
      </c>
      <c r="AC60" s="260" t="str">
        <f>IF(0 = 1,ROUND(3, 1),"")</f>
        <v/>
      </c>
      <c r="AD60" s="260"/>
      <c r="AE60" s="260"/>
      <c r="AF60" s="260"/>
      <c r="AG60" s="260"/>
      <c r="AH60" s="268"/>
      <c r="AI60" s="53" t="s">
        <v>6010</v>
      </c>
    </row>
    <row r="61" spans="1:35">
      <c r="A61" s="105" t="s">
        <v>6011</v>
      </c>
      <c r="B61" s="127" t="str">
        <f>IF(TRIM("") = "", "", "")</f>
        <v/>
      </c>
      <c r="C61" s="58" t="str">
        <f>IF(TRIM("BUS_涛线颐秀居#1环网柜_210") = "", "BUS_涛线颐秀居#1环网柜_210", "BUS_涛线颐秀居#1环网柜_210")</f>
        <v>BUS_涛线颐秀居#1环网柜_210</v>
      </c>
      <c r="D61" s="105" t="str">
        <f>IF(TRUE = TRUE, "Yes", "No")</f>
        <v>Yes</v>
      </c>
      <c r="E61" s="105" t="s">
        <v>5202</v>
      </c>
      <c r="F61" s="105" t="s">
        <v>5910</v>
      </c>
      <c r="G61" s="105"/>
      <c r="H61" s="105" t="str">
        <f>IF(0 = 0, "ANSI", "IEC")</f>
        <v>ANSI</v>
      </c>
      <c r="I61" s="105" t="str">
        <f>IF(1 = 0, "No", "Yes")</f>
        <v>Yes</v>
      </c>
      <c r="J61" s="105" t="str">
        <f>IF(0 = 1, "Yes", "No")</f>
        <v>No</v>
      </c>
      <c r="K61" s="105" t="str">
        <f>IF(0 = 0,"none","none")</f>
        <v>none</v>
      </c>
      <c r="L61" s="105" t="str">
        <f>IF(0 = 0,"none","none")</f>
        <v>none</v>
      </c>
      <c r="M61" s="105">
        <f>IF(0 = 0, ROUND(0, 1), "")</f>
        <v>0</v>
      </c>
      <c r="N61" s="105">
        <f>IF(0 = 0,ROUND(1.00999999, 3),"")</f>
        <v>1.01</v>
      </c>
      <c r="O61" s="266" t="str">
        <f>IF(0 = 0,IF(1 = 0, "Total", "Symmetrical"),"")</f>
        <v>Symmetrical</v>
      </c>
      <c r="P61" s="260">
        <f>IF(0 = 0,ROUND(0, 1),"")</f>
        <v>0</v>
      </c>
      <c r="Q61" s="105">
        <f>IF(0 = 0,ROUND(0, 1),"")</f>
        <v>0</v>
      </c>
      <c r="R61" s="105">
        <f>IF(0 = 0,ROUND(0, 1),"")</f>
        <v>0</v>
      </c>
      <c r="S61" s="260">
        <f>IF(0 = 0,ROUND(0, 1),"")</f>
        <v>0</v>
      </c>
      <c r="T61" s="242">
        <f>IF(0 = 0,CHOOSE(1 + 1, 3,5,8,2),"")</f>
        <v>5</v>
      </c>
      <c r="U61" s="267" t="str">
        <f>IF(0 = 0,"3","")</f>
        <v>3</v>
      </c>
      <c r="V61" s="260" t="str">
        <f>IF(0 = 1,ROUND(1250, 1),"")</f>
        <v/>
      </c>
      <c r="W61" s="260" t="str">
        <f>IF(0 = 1,ROUND(12, 3),"")</f>
        <v/>
      </c>
      <c r="X61" s="260" t="str">
        <f>IF(0 = 1,ROUND(100, 1),"")</f>
        <v/>
      </c>
      <c r="Y61" s="260" t="str">
        <f>IF(0 = 1,ROUND(0, 1),"")</f>
        <v/>
      </c>
      <c r="Z61" s="260" t="str">
        <f>IF(0 = 1,ROUND(0, 3),"")</f>
        <v/>
      </c>
      <c r="AA61" s="242" t="str">
        <f>IF(0 = 1,CHOOSE(0 + 1, 1.3,1.5),"")</f>
        <v/>
      </c>
      <c r="AB61" s="60" t="str">
        <f>IF(0 = 1,ROUND(0, 1),"")</f>
        <v/>
      </c>
      <c r="AC61" s="260" t="str">
        <f>IF(0 = 1,ROUND(3, 1),"")</f>
        <v/>
      </c>
      <c r="AD61" s="260"/>
      <c r="AE61" s="260"/>
      <c r="AF61" s="260"/>
      <c r="AG61" s="260"/>
      <c r="AH61" s="268"/>
      <c r="AI61" s="53" t="s">
        <v>6012</v>
      </c>
    </row>
    <row r="62" spans="1:35">
      <c r="A62" s="105" t="s">
        <v>6013</v>
      </c>
      <c r="B62" s="127" t="str">
        <f>IF(TRIM("") = "", "", "")</f>
        <v/>
      </c>
      <c r="C62" s="58" t="str">
        <f>IF(TRIM("BUS_涛线#2环网柜（自）_211") = "", "BUS_涛线#2环网柜（自）_211", "BUS_涛线#2环网柜（自）_211")</f>
        <v>BUS_涛线#2环网柜（自）_211</v>
      </c>
      <c r="D62" s="105" t="str">
        <f>IF(TRUE = TRUE, "Yes", "No")</f>
        <v>Yes</v>
      </c>
      <c r="E62" s="105" t="s">
        <v>5202</v>
      </c>
      <c r="F62" s="105" t="s">
        <v>5910</v>
      </c>
      <c r="G62" s="105"/>
      <c r="H62" s="105" t="str">
        <f>IF(0 = 0, "ANSI", "IEC")</f>
        <v>ANSI</v>
      </c>
      <c r="I62" s="105" t="str">
        <f>IF(1 = 0, "No", "Yes")</f>
        <v>Yes</v>
      </c>
      <c r="J62" s="105" t="str">
        <f>IF(0 = 1, "Yes", "No")</f>
        <v>No</v>
      </c>
      <c r="K62" s="105" t="str">
        <f>IF(0 = 0,"none","none")</f>
        <v>none</v>
      </c>
      <c r="L62" s="105" t="str">
        <f>IF(0 = 0,"none","none")</f>
        <v>none</v>
      </c>
      <c r="M62" s="105">
        <f>IF(0 = 0, ROUND(0, 1), "")</f>
        <v>0</v>
      </c>
      <c r="N62" s="105">
        <f>IF(0 = 0,ROUND(1.00999999, 3),"")</f>
        <v>1.01</v>
      </c>
      <c r="O62" s="266" t="str">
        <f>IF(0 = 0,IF(1 = 0, "Total", "Symmetrical"),"")</f>
        <v>Symmetrical</v>
      </c>
      <c r="P62" s="260">
        <f>IF(0 = 0,ROUND(0, 1),"")</f>
        <v>0</v>
      </c>
      <c r="Q62" s="105">
        <f>IF(0 = 0,ROUND(0, 1),"")</f>
        <v>0</v>
      </c>
      <c r="R62" s="105">
        <f>IF(0 = 0,ROUND(0, 1),"")</f>
        <v>0</v>
      </c>
      <c r="S62" s="260">
        <f>IF(0 = 0,ROUND(0, 1),"")</f>
        <v>0</v>
      </c>
      <c r="T62" s="242">
        <f>IF(0 = 0,CHOOSE(1 + 1, 3,5,8,2),"")</f>
        <v>5</v>
      </c>
      <c r="U62" s="267" t="str">
        <f>IF(0 = 0,"3","")</f>
        <v>3</v>
      </c>
      <c r="V62" s="260" t="str">
        <f>IF(0 = 1,ROUND(1250, 1),"")</f>
        <v/>
      </c>
      <c r="W62" s="260" t="str">
        <f>IF(0 = 1,ROUND(12, 3),"")</f>
        <v/>
      </c>
      <c r="X62" s="260" t="str">
        <f>IF(0 = 1,ROUND(100, 1),"")</f>
        <v/>
      </c>
      <c r="Y62" s="260" t="str">
        <f>IF(0 = 1,ROUND(0, 1),"")</f>
        <v/>
      </c>
      <c r="Z62" s="260" t="str">
        <f>IF(0 = 1,ROUND(0, 3),"")</f>
        <v/>
      </c>
      <c r="AA62" s="242" t="str">
        <f>IF(0 = 1,CHOOSE(0 + 1, 1.3,1.5),"")</f>
        <v/>
      </c>
      <c r="AB62" s="60" t="str">
        <f>IF(0 = 1,ROUND(0, 1),"")</f>
        <v/>
      </c>
      <c r="AC62" s="260" t="str">
        <f>IF(0 = 1,ROUND(3, 1),"")</f>
        <v/>
      </c>
      <c r="AD62" s="260"/>
      <c r="AE62" s="260"/>
      <c r="AF62" s="260"/>
      <c r="AG62" s="260"/>
      <c r="AH62" s="268"/>
      <c r="AI62" s="53" t="s">
        <v>6014</v>
      </c>
    </row>
    <row r="63" spans="1:35">
      <c r="A63" s="105" t="s">
        <v>6015</v>
      </c>
      <c r="B63" s="127" t="str">
        <f>IF(TRIM("") = "", "", "")</f>
        <v/>
      </c>
      <c r="C63" s="58" t="str">
        <f>IF(TRIM("BUS_涛线#2环网柜（自）_211") = "", "BUS_涛线#2环网柜（自）_211", "BUS_涛线#2环网柜（自）_211")</f>
        <v>BUS_涛线#2环网柜（自）_211</v>
      </c>
      <c r="D63" s="105" t="str">
        <f>IF(TRUE = TRUE, "Yes", "No")</f>
        <v>Yes</v>
      </c>
      <c r="E63" s="105" t="s">
        <v>5202</v>
      </c>
      <c r="F63" s="105" t="s">
        <v>5910</v>
      </c>
      <c r="G63" s="105"/>
      <c r="H63" s="105" t="str">
        <f>IF(0 = 0, "ANSI", "IEC")</f>
        <v>ANSI</v>
      </c>
      <c r="I63" s="105" t="str">
        <f>IF(1 = 0, "No", "Yes")</f>
        <v>Yes</v>
      </c>
      <c r="J63" s="105" t="str">
        <f>IF(0 = 1, "Yes", "No")</f>
        <v>No</v>
      </c>
      <c r="K63" s="105" t="str">
        <f>IF(0 = 0,"none","none")</f>
        <v>none</v>
      </c>
      <c r="L63" s="105" t="str">
        <f>IF(0 = 0,"none","none")</f>
        <v>none</v>
      </c>
      <c r="M63" s="105">
        <f>IF(0 = 0, ROUND(0, 1), "")</f>
        <v>0</v>
      </c>
      <c r="N63" s="105">
        <f>IF(0 = 0,ROUND(1.00999999, 3),"")</f>
        <v>1.01</v>
      </c>
      <c r="O63" s="266" t="str">
        <f>IF(0 = 0,IF(1 = 0, "Total", "Symmetrical"),"")</f>
        <v>Symmetrical</v>
      </c>
      <c r="P63" s="260">
        <f>IF(0 = 0,ROUND(0, 1),"")</f>
        <v>0</v>
      </c>
      <c r="Q63" s="105">
        <f>IF(0 = 0,ROUND(0, 1),"")</f>
        <v>0</v>
      </c>
      <c r="R63" s="105">
        <f>IF(0 = 0,ROUND(0, 1),"")</f>
        <v>0</v>
      </c>
      <c r="S63" s="260">
        <f>IF(0 = 0,ROUND(0, 1),"")</f>
        <v>0</v>
      </c>
      <c r="T63" s="242">
        <f>IF(0 = 0,CHOOSE(1 + 1, 3,5,8,2),"")</f>
        <v>5</v>
      </c>
      <c r="U63" s="267" t="str">
        <f>IF(0 = 0,"3","")</f>
        <v>3</v>
      </c>
      <c r="V63" s="260" t="str">
        <f>IF(0 = 1,ROUND(1250, 1),"")</f>
        <v/>
      </c>
      <c r="W63" s="260" t="str">
        <f>IF(0 = 1,ROUND(12, 3),"")</f>
        <v/>
      </c>
      <c r="X63" s="260" t="str">
        <f>IF(0 = 1,ROUND(100, 1),"")</f>
        <v/>
      </c>
      <c r="Y63" s="260" t="str">
        <f>IF(0 = 1,ROUND(0, 1),"")</f>
        <v/>
      </c>
      <c r="Z63" s="260" t="str">
        <f>IF(0 = 1,ROUND(0, 3),"")</f>
        <v/>
      </c>
      <c r="AA63" s="242" t="str">
        <f>IF(0 = 1,CHOOSE(0 + 1, 1.3,1.5),"")</f>
        <v/>
      </c>
      <c r="AB63" s="60" t="str">
        <f>IF(0 = 1,ROUND(0, 1),"")</f>
        <v/>
      </c>
      <c r="AC63" s="260" t="str">
        <f>IF(0 = 1,ROUND(3, 1),"")</f>
        <v/>
      </c>
      <c r="AD63" s="260"/>
      <c r="AE63" s="260"/>
      <c r="AF63" s="260"/>
      <c r="AG63" s="260"/>
      <c r="AH63" s="268"/>
      <c r="AI63" s="53" t="s">
        <v>6016</v>
      </c>
    </row>
    <row r="64" spans="1:35">
      <c r="A64" s="105" t="s">
        <v>6017</v>
      </c>
      <c r="B64" s="127" t="str">
        <f>IF(TRIM("") = "", "", "")</f>
        <v/>
      </c>
      <c r="C64" s="58" t="str">
        <f>IF(TRIM("BUS_爱涛线爱佛#2环网柜_212") = "", "BUS_爱涛线爱佛#2环网柜_212", "BUS_爱涛线爱佛#2环网柜_212")</f>
        <v>BUS_爱涛线爱佛#2环网柜_212</v>
      </c>
      <c r="D64" s="105" t="str">
        <f>IF(TRUE = TRUE, "Yes", "No")</f>
        <v>Yes</v>
      </c>
      <c r="E64" s="105" t="s">
        <v>5202</v>
      </c>
      <c r="F64" s="105" t="s">
        <v>5910</v>
      </c>
      <c r="G64" s="105"/>
      <c r="H64" s="105" t="str">
        <f>IF(0 = 0, "ANSI", "IEC")</f>
        <v>ANSI</v>
      </c>
      <c r="I64" s="105" t="str">
        <f>IF(1 = 0, "No", "Yes")</f>
        <v>Yes</v>
      </c>
      <c r="J64" s="105" t="str">
        <f>IF(0 = 1, "Yes", "No")</f>
        <v>No</v>
      </c>
      <c r="K64" s="105" t="str">
        <f>IF(0 = 0,"none","none")</f>
        <v>none</v>
      </c>
      <c r="L64" s="105" t="str">
        <f>IF(0 = 0,"none","none")</f>
        <v>none</v>
      </c>
      <c r="M64" s="105">
        <f>IF(0 = 0, ROUND(0, 1), "")</f>
        <v>0</v>
      </c>
      <c r="N64" s="105">
        <f>IF(0 = 0,ROUND(1.00999999, 3),"")</f>
        <v>1.01</v>
      </c>
      <c r="O64" s="266" t="str">
        <f>IF(0 = 0,IF(1 = 0, "Total", "Symmetrical"),"")</f>
        <v>Symmetrical</v>
      </c>
      <c r="P64" s="260">
        <f>IF(0 = 0,ROUND(0, 1),"")</f>
        <v>0</v>
      </c>
      <c r="Q64" s="105">
        <f>IF(0 = 0,ROUND(0, 1),"")</f>
        <v>0</v>
      </c>
      <c r="R64" s="105">
        <f>IF(0 = 0,ROUND(0, 1),"")</f>
        <v>0</v>
      </c>
      <c r="S64" s="260">
        <f>IF(0 = 0,ROUND(0, 1),"")</f>
        <v>0</v>
      </c>
      <c r="T64" s="242">
        <f>IF(0 = 0,CHOOSE(1 + 1, 3,5,8,2),"")</f>
        <v>5</v>
      </c>
      <c r="U64" s="267" t="str">
        <f>IF(0 = 0,"3","")</f>
        <v>3</v>
      </c>
      <c r="V64" s="260" t="str">
        <f>IF(0 = 1,ROUND(1250, 1),"")</f>
        <v/>
      </c>
      <c r="W64" s="260" t="str">
        <f>IF(0 = 1,ROUND(12, 3),"")</f>
        <v/>
      </c>
      <c r="X64" s="260" t="str">
        <f>IF(0 = 1,ROUND(100, 1),"")</f>
        <v/>
      </c>
      <c r="Y64" s="260" t="str">
        <f>IF(0 = 1,ROUND(0, 1),"")</f>
        <v/>
      </c>
      <c r="Z64" s="260" t="str">
        <f>IF(0 = 1,ROUND(0, 3),"")</f>
        <v/>
      </c>
      <c r="AA64" s="242" t="str">
        <f>IF(0 = 1,CHOOSE(0 + 1, 1.3,1.5),"")</f>
        <v/>
      </c>
      <c r="AB64" s="60" t="str">
        <f>IF(0 = 1,ROUND(0, 1),"")</f>
        <v/>
      </c>
      <c r="AC64" s="260" t="str">
        <f>IF(0 = 1,ROUND(3, 1),"")</f>
        <v/>
      </c>
      <c r="AD64" s="260"/>
      <c r="AE64" s="260"/>
      <c r="AF64" s="260"/>
      <c r="AG64" s="260"/>
      <c r="AH64" s="268"/>
      <c r="AI64" s="53" t="s">
        <v>6018</v>
      </c>
    </row>
    <row r="65" spans="1:35">
      <c r="A65" s="105" t="s">
        <v>6019</v>
      </c>
      <c r="B65" s="127" t="str">
        <f>IF(TRIM("") = "", "", "")</f>
        <v/>
      </c>
      <c r="C65" s="58" t="str">
        <f>IF(TRIM("BUS_爱涛线爱佛#2环网柜_212") = "", "BUS_爱涛线爱佛#2环网柜_212", "BUS_爱涛线爱佛#2环网柜_212")</f>
        <v>BUS_爱涛线爱佛#2环网柜_212</v>
      </c>
      <c r="D65" s="105" t="str">
        <f>IF(TRUE = TRUE, "Yes", "No")</f>
        <v>Yes</v>
      </c>
      <c r="E65" s="105" t="s">
        <v>5202</v>
      </c>
      <c r="F65" s="105" t="s">
        <v>5910</v>
      </c>
      <c r="G65" s="105"/>
      <c r="H65" s="105" t="str">
        <f>IF(0 = 0, "ANSI", "IEC")</f>
        <v>ANSI</v>
      </c>
      <c r="I65" s="105" t="str">
        <f>IF(1 = 0, "No", "Yes")</f>
        <v>Yes</v>
      </c>
      <c r="J65" s="105" t="str">
        <f>IF(0 = 1, "Yes", "No")</f>
        <v>No</v>
      </c>
      <c r="K65" s="105" t="str">
        <f>IF(0 = 0,"none","none")</f>
        <v>none</v>
      </c>
      <c r="L65" s="105" t="str">
        <f>IF(0 = 0,"none","none")</f>
        <v>none</v>
      </c>
      <c r="M65" s="105">
        <f>IF(0 = 0, ROUND(0, 1), "")</f>
        <v>0</v>
      </c>
      <c r="N65" s="105">
        <f>IF(0 = 0,ROUND(1.00999999, 3),"")</f>
        <v>1.01</v>
      </c>
      <c r="O65" s="266" t="str">
        <f>IF(0 = 0,IF(1 = 0, "Total", "Symmetrical"),"")</f>
        <v>Symmetrical</v>
      </c>
      <c r="P65" s="260">
        <f>IF(0 = 0,ROUND(0, 1),"")</f>
        <v>0</v>
      </c>
      <c r="Q65" s="105">
        <f>IF(0 = 0,ROUND(0, 1),"")</f>
        <v>0</v>
      </c>
      <c r="R65" s="105">
        <f>IF(0 = 0,ROUND(0, 1),"")</f>
        <v>0</v>
      </c>
      <c r="S65" s="260">
        <f>IF(0 = 0,ROUND(0, 1),"")</f>
        <v>0</v>
      </c>
      <c r="T65" s="242">
        <f>IF(0 = 0,CHOOSE(1 + 1, 3,5,8,2),"")</f>
        <v>5</v>
      </c>
      <c r="U65" s="267" t="str">
        <f>IF(0 = 0,"3","")</f>
        <v>3</v>
      </c>
      <c r="V65" s="260" t="str">
        <f>IF(0 = 1,ROUND(1250, 1),"")</f>
        <v/>
      </c>
      <c r="W65" s="260" t="str">
        <f>IF(0 = 1,ROUND(12, 3),"")</f>
        <v/>
      </c>
      <c r="X65" s="260" t="str">
        <f>IF(0 = 1,ROUND(100, 1),"")</f>
        <v/>
      </c>
      <c r="Y65" s="260" t="str">
        <f>IF(0 = 1,ROUND(0, 1),"")</f>
        <v/>
      </c>
      <c r="Z65" s="260" t="str">
        <f>IF(0 = 1,ROUND(0, 3),"")</f>
        <v/>
      </c>
      <c r="AA65" s="242" t="str">
        <f>IF(0 = 1,CHOOSE(0 + 1, 1.3,1.5),"")</f>
        <v/>
      </c>
      <c r="AB65" s="60" t="str">
        <f>IF(0 = 1,ROUND(0, 1),"")</f>
        <v/>
      </c>
      <c r="AC65" s="260" t="str">
        <f>IF(0 = 1,ROUND(3, 1),"")</f>
        <v/>
      </c>
      <c r="AD65" s="260"/>
      <c r="AE65" s="260"/>
      <c r="AF65" s="260"/>
      <c r="AG65" s="260"/>
      <c r="AH65" s="268"/>
      <c r="AI65" s="53" t="s">
        <v>6020</v>
      </c>
    </row>
    <row r="66" spans="1:35">
      <c r="A66" s="105" t="s">
        <v>6021</v>
      </c>
      <c r="B66" s="127" t="str">
        <f>IF(TRIM("BUS_CNODE_JCT__1428") = "", "BUS_CNODE_JCT__1428", "BUS_CNODE_JCT__1428")</f>
        <v>BUS_CNODE_JCT__1428</v>
      </c>
      <c r="C66" s="58" t="str">
        <f>IF(TRIM("") = "", "", "")</f>
        <v/>
      </c>
      <c r="D66" s="105" t="str">
        <f>IF(TRUE = TRUE, "Yes", "No")</f>
        <v>Yes</v>
      </c>
      <c r="E66" s="105" t="s">
        <v>5202</v>
      </c>
      <c r="F66" s="105" t="s">
        <v>5910</v>
      </c>
      <c r="G66" s="105"/>
      <c r="H66" s="105" t="str">
        <f>IF(0 = 0, "ANSI", "IEC")</f>
        <v>ANSI</v>
      </c>
      <c r="I66" s="105" t="str">
        <f>IF(1 = 0, "No", "Yes")</f>
        <v>Yes</v>
      </c>
      <c r="J66" s="105" t="str">
        <f>IF(0 = 1, "Yes", "No")</f>
        <v>No</v>
      </c>
      <c r="K66" s="105" t="str">
        <f>IF(0 = 0,"none","none")</f>
        <v>none</v>
      </c>
      <c r="L66" s="105" t="str">
        <f>IF(0 = 0,"none","none")</f>
        <v>none</v>
      </c>
      <c r="M66" s="105">
        <f>IF(0 = 0, ROUND(0, 1), "")</f>
        <v>0</v>
      </c>
      <c r="N66" s="105">
        <f>IF(0 = 0,ROUND(1.00999999, 3),"")</f>
        <v>1.01</v>
      </c>
      <c r="O66" s="266" t="str">
        <f>IF(0 = 0,IF(1 = 0, "Total", "Symmetrical"),"")</f>
        <v>Symmetrical</v>
      </c>
      <c r="P66" s="260">
        <f>IF(0 = 0,ROUND(0, 1),"")</f>
        <v>0</v>
      </c>
      <c r="Q66" s="105">
        <f>IF(0 = 0,ROUND(0, 1),"")</f>
        <v>0</v>
      </c>
      <c r="R66" s="105">
        <f>IF(0 = 0,ROUND(0, 1),"")</f>
        <v>0</v>
      </c>
      <c r="S66" s="260">
        <f>IF(0 = 0,ROUND(0, 1),"")</f>
        <v>0</v>
      </c>
      <c r="T66" s="242">
        <f>IF(0 = 0,CHOOSE(1 + 1, 3,5,8,2),"")</f>
        <v>5</v>
      </c>
      <c r="U66" s="267" t="str">
        <f>IF(0 = 0,"3","")</f>
        <v>3</v>
      </c>
      <c r="V66" s="260" t="str">
        <f>IF(0 = 1,ROUND(1250, 1),"")</f>
        <v/>
      </c>
      <c r="W66" s="260" t="str">
        <f>IF(0 = 1,ROUND(12, 3),"")</f>
        <v/>
      </c>
      <c r="X66" s="260" t="str">
        <f>IF(0 = 1,ROUND(630, 1),"")</f>
        <v/>
      </c>
      <c r="Y66" s="260" t="str">
        <f>IF(0 = 1,ROUND(0, 1),"")</f>
        <v/>
      </c>
      <c r="Z66" s="260" t="str">
        <f>IF(0 = 1,ROUND(0, 3),"")</f>
        <v/>
      </c>
      <c r="AA66" s="242" t="str">
        <f>IF(0 = 1,CHOOSE(0 + 1, 1.3,1.5),"")</f>
        <v/>
      </c>
      <c r="AB66" s="60" t="str">
        <f>IF(0 = 1,ROUND(0, 1),"")</f>
        <v/>
      </c>
      <c r="AC66" s="260" t="str">
        <f>IF(0 = 1,ROUND(3, 1),"")</f>
        <v/>
      </c>
      <c r="AD66" s="260"/>
      <c r="AE66" s="260"/>
      <c r="AF66" s="260"/>
      <c r="AG66" s="260"/>
      <c r="AH66" s="268"/>
      <c r="AI66" s="53" t="s">
        <v>6022</v>
      </c>
    </row>
    <row r="67" spans="1:35">
      <c r="A67" s="105" t="s">
        <v>6023</v>
      </c>
      <c r="B67" s="127" t="str">
        <f>IF(TRIM("BUS_CNODE_JCT__1429") = "", "BUS_CNODE_JCT__1429", "BUS_CNODE_JCT__1429")</f>
        <v>BUS_CNODE_JCT__1429</v>
      </c>
      <c r="C67" s="58" t="str">
        <f>IF(TRIM("") = "", "", "")</f>
        <v/>
      </c>
      <c r="D67" s="105" t="str">
        <f>IF(TRUE = TRUE, "Yes", "No")</f>
        <v>Yes</v>
      </c>
      <c r="E67" s="105" t="s">
        <v>5202</v>
      </c>
      <c r="F67" s="105" t="s">
        <v>5910</v>
      </c>
      <c r="G67" s="105"/>
      <c r="H67" s="105" t="str">
        <f>IF(0 = 0, "ANSI", "IEC")</f>
        <v>ANSI</v>
      </c>
      <c r="I67" s="105" t="str">
        <f>IF(1 = 0, "No", "Yes")</f>
        <v>Yes</v>
      </c>
      <c r="J67" s="105" t="str">
        <f>IF(0 = 1, "Yes", "No")</f>
        <v>No</v>
      </c>
      <c r="K67" s="105" t="str">
        <f>IF(0 = 0,"none","none")</f>
        <v>none</v>
      </c>
      <c r="L67" s="105" t="str">
        <f>IF(0 = 0,"none","none")</f>
        <v>none</v>
      </c>
      <c r="M67" s="105">
        <f>IF(0 = 0, ROUND(0, 1), "")</f>
        <v>0</v>
      </c>
      <c r="N67" s="105">
        <f>IF(0 = 0,ROUND(1.00999999, 3),"")</f>
        <v>1.01</v>
      </c>
      <c r="O67" s="266" t="str">
        <f>IF(0 = 0,IF(1 = 0, "Total", "Symmetrical"),"")</f>
        <v>Symmetrical</v>
      </c>
      <c r="P67" s="260">
        <f>IF(0 = 0,ROUND(0, 1),"")</f>
        <v>0</v>
      </c>
      <c r="Q67" s="105">
        <f>IF(0 = 0,ROUND(0, 1),"")</f>
        <v>0</v>
      </c>
      <c r="R67" s="105">
        <f>IF(0 = 0,ROUND(0, 1),"")</f>
        <v>0</v>
      </c>
      <c r="S67" s="260">
        <f>IF(0 = 0,ROUND(0, 1),"")</f>
        <v>0</v>
      </c>
      <c r="T67" s="242">
        <f>IF(0 = 0,CHOOSE(1 + 1, 3,5,8,2),"")</f>
        <v>5</v>
      </c>
      <c r="U67" s="267" t="str">
        <f>IF(0 = 0,"3","")</f>
        <v>3</v>
      </c>
      <c r="V67" s="260" t="str">
        <f>IF(0 = 1,ROUND(1250, 1),"")</f>
        <v/>
      </c>
      <c r="W67" s="260" t="str">
        <f>IF(0 = 1,ROUND(12, 3),"")</f>
        <v/>
      </c>
      <c r="X67" s="260" t="str">
        <f>IF(0 = 1,ROUND(630, 1),"")</f>
        <v/>
      </c>
      <c r="Y67" s="260" t="str">
        <f>IF(0 = 1,ROUND(0, 1),"")</f>
        <v/>
      </c>
      <c r="Z67" s="260" t="str">
        <f>IF(0 = 1,ROUND(0, 3),"")</f>
        <v/>
      </c>
      <c r="AA67" s="242" t="str">
        <f>IF(0 = 1,CHOOSE(0 + 1, 1.3,1.5),"")</f>
        <v/>
      </c>
      <c r="AB67" s="60" t="str">
        <f>IF(0 = 1,ROUND(0, 1),"")</f>
        <v/>
      </c>
      <c r="AC67" s="260" t="str">
        <f>IF(0 = 1,ROUND(3, 1),"")</f>
        <v/>
      </c>
      <c r="AD67" s="260"/>
      <c r="AE67" s="260"/>
      <c r="AF67" s="260"/>
      <c r="AG67" s="260"/>
      <c r="AH67" s="268"/>
      <c r="AI67" s="53" t="s">
        <v>6024</v>
      </c>
    </row>
    <row r="68" spans="1:35">
      <c r="A68" s="105" t="s">
        <v>6025</v>
      </c>
      <c r="B68" s="127" t="str">
        <f>IF(TRIM("BUS_CNODE_JCT__1433") = "", "BUS_CNODE_JCT__1433", "BUS_CNODE_JCT__1433")</f>
        <v>BUS_CNODE_JCT__1433</v>
      </c>
      <c r="C68" s="58" t="str">
        <f>IF(TRIM("BUS_涛线4号环网柜（自）_213") = "", "BUS_涛线4号环网柜（自）_213", "BUS_涛线4号环网柜（自）_213")</f>
        <v>BUS_涛线4号环网柜（自）_213</v>
      </c>
      <c r="D68" s="105" t="str">
        <f>IF(TRUE = TRUE, "Yes", "No")</f>
        <v>Yes</v>
      </c>
      <c r="E68" s="105" t="s">
        <v>5202</v>
      </c>
      <c r="F68" s="105" t="s">
        <v>5910</v>
      </c>
      <c r="G68" s="105"/>
      <c r="H68" s="105" t="str">
        <f>IF(0 = 0, "ANSI", "IEC")</f>
        <v>ANSI</v>
      </c>
      <c r="I68" s="105" t="str">
        <f>IF(1 = 0, "No", "Yes")</f>
        <v>Yes</v>
      </c>
      <c r="J68" s="105" t="str">
        <f>IF(0 = 1, "Yes", "No")</f>
        <v>No</v>
      </c>
      <c r="K68" s="105" t="str">
        <f>IF(0 = 0,"none","none")</f>
        <v>none</v>
      </c>
      <c r="L68" s="105" t="str">
        <f>IF(0 = 0,"none","none")</f>
        <v>none</v>
      </c>
      <c r="M68" s="105">
        <f>IF(0 = 0, ROUND(0, 1), "")</f>
        <v>0</v>
      </c>
      <c r="N68" s="105">
        <f>IF(0 = 0,ROUND(1.00999999, 3),"")</f>
        <v>1.01</v>
      </c>
      <c r="O68" s="266" t="str">
        <f>IF(0 = 0,IF(1 = 0, "Total", "Symmetrical"),"")</f>
        <v>Symmetrical</v>
      </c>
      <c r="P68" s="260">
        <f>IF(0 = 0,ROUND(0, 1),"")</f>
        <v>0</v>
      </c>
      <c r="Q68" s="105">
        <f>IF(0 = 0,ROUND(0, 1),"")</f>
        <v>0</v>
      </c>
      <c r="R68" s="105">
        <f>IF(0 = 0,ROUND(0, 1),"")</f>
        <v>0</v>
      </c>
      <c r="S68" s="260">
        <f>IF(0 = 0,ROUND(0, 1),"")</f>
        <v>0</v>
      </c>
      <c r="T68" s="242">
        <f>IF(0 = 0,CHOOSE(1 + 1, 3,5,8,2),"")</f>
        <v>5</v>
      </c>
      <c r="U68" s="267" t="str">
        <f>IF(0 = 0,"3","")</f>
        <v>3</v>
      </c>
      <c r="V68" s="260" t="str">
        <f>IF(0 = 1,ROUND(1250, 1),"")</f>
        <v/>
      </c>
      <c r="W68" s="260" t="str">
        <f>IF(0 = 1,ROUND(12, 3),"")</f>
        <v/>
      </c>
      <c r="X68" s="260" t="str">
        <f>IF(0 = 1,ROUND(630, 1),"")</f>
        <v/>
      </c>
      <c r="Y68" s="260" t="str">
        <f>IF(0 = 1,ROUND(0, 1),"")</f>
        <v/>
      </c>
      <c r="Z68" s="260" t="str">
        <f>IF(0 = 1,ROUND(0, 3),"")</f>
        <v/>
      </c>
      <c r="AA68" s="242" t="str">
        <f>IF(0 = 1,CHOOSE(0 + 1, 1.3,1.5),"")</f>
        <v/>
      </c>
      <c r="AB68" s="60" t="str">
        <f>IF(0 = 1,ROUND(0, 1),"")</f>
        <v/>
      </c>
      <c r="AC68" s="260" t="str">
        <f>IF(0 = 1,ROUND(3, 1),"")</f>
        <v/>
      </c>
      <c r="AD68" s="260"/>
      <c r="AE68" s="260"/>
      <c r="AF68" s="260"/>
      <c r="AG68" s="260"/>
      <c r="AH68" s="268"/>
      <c r="AI68" s="53" t="s">
        <v>6026</v>
      </c>
    </row>
    <row r="69" spans="1:35">
      <c r="A69" s="105" t="s">
        <v>6027</v>
      </c>
      <c r="B69" s="127" t="str">
        <f>IF(TRIM("BUS_CNODE_JCT__1434") = "", "BUS_CNODE_JCT__1434", "BUS_CNODE_JCT__1434")</f>
        <v>BUS_CNODE_JCT__1434</v>
      </c>
      <c r="C69" s="58" t="str">
        <f>IF(TRIM("BUS_涛线4号环网柜（自）_213") = "", "BUS_涛线4号环网柜（自）_213", "BUS_涛线4号环网柜（自）_213")</f>
        <v>BUS_涛线4号环网柜（自）_213</v>
      </c>
      <c r="D69" s="105" t="str">
        <f>IF(TRUE = TRUE, "Yes", "No")</f>
        <v>Yes</v>
      </c>
      <c r="E69" s="105" t="s">
        <v>5202</v>
      </c>
      <c r="F69" s="105" t="s">
        <v>5910</v>
      </c>
      <c r="G69" s="105"/>
      <c r="H69" s="105" t="str">
        <f>IF(0 = 0, "ANSI", "IEC")</f>
        <v>ANSI</v>
      </c>
      <c r="I69" s="105" t="str">
        <f>IF(1 = 0, "No", "Yes")</f>
        <v>Yes</v>
      </c>
      <c r="J69" s="105" t="str">
        <f>IF(0 = 1, "Yes", "No")</f>
        <v>No</v>
      </c>
      <c r="K69" s="105" t="str">
        <f>IF(0 = 0,"none","none")</f>
        <v>none</v>
      </c>
      <c r="L69" s="105" t="str">
        <f>IF(0 = 0,"none","none")</f>
        <v>none</v>
      </c>
      <c r="M69" s="105">
        <f>IF(0 = 0, ROUND(0, 1), "")</f>
        <v>0</v>
      </c>
      <c r="N69" s="105">
        <f>IF(0 = 0,ROUND(1.00999999, 3),"")</f>
        <v>1.01</v>
      </c>
      <c r="O69" s="266" t="str">
        <f>IF(0 = 0,IF(1 = 0, "Total", "Symmetrical"),"")</f>
        <v>Symmetrical</v>
      </c>
      <c r="P69" s="260">
        <f>IF(0 = 0,ROUND(0, 1),"")</f>
        <v>0</v>
      </c>
      <c r="Q69" s="105">
        <f>IF(0 = 0,ROUND(0, 1),"")</f>
        <v>0</v>
      </c>
      <c r="R69" s="105">
        <f>IF(0 = 0,ROUND(0, 1),"")</f>
        <v>0</v>
      </c>
      <c r="S69" s="260">
        <f>IF(0 = 0,ROUND(0, 1),"")</f>
        <v>0</v>
      </c>
      <c r="T69" s="242">
        <f>IF(0 = 0,CHOOSE(1 + 1, 3,5,8,2),"")</f>
        <v>5</v>
      </c>
      <c r="U69" s="267" t="str">
        <f>IF(0 = 0,"3","")</f>
        <v>3</v>
      </c>
      <c r="V69" s="260" t="str">
        <f>IF(0 = 1,ROUND(1250, 1),"")</f>
        <v/>
      </c>
      <c r="W69" s="260" t="str">
        <f>IF(0 = 1,ROUND(12, 3),"")</f>
        <v/>
      </c>
      <c r="X69" s="260" t="str">
        <f>IF(0 = 1,ROUND(630, 1),"")</f>
        <v/>
      </c>
      <c r="Y69" s="260" t="str">
        <f>IF(0 = 1,ROUND(0, 1),"")</f>
        <v/>
      </c>
      <c r="Z69" s="260" t="str">
        <f>IF(0 = 1,ROUND(0, 3),"")</f>
        <v/>
      </c>
      <c r="AA69" s="242" t="str">
        <f>IF(0 = 1,CHOOSE(0 + 1, 1.3,1.5),"")</f>
        <v/>
      </c>
      <c r="AB69" s="60" t="str">
        <f>IF(0 = 1,ROUND(0, 1),"")</f>
        <v/>
      </c>
      <c r="AC69" s="260" t="str">
        <f>IF(0 = 1,ROUND(3, 1),"")</f>
        <v/>
      </c>
      <c r="AD69" s="260"/>
      <c r="AE69" s="260"/>
      <c r="AF69" s="260"/>
      <c r="AG69" s="260"/>
      <c r="AH69" s="268"/>
      <c r="AI69" s="53" t="s">
        <v>6028</v>
      </c>
    </row>
    <row r="70" spans="1:35">
      <c r="A70" s="105" t="s">
        <v>6029</v>
      </c>
      <c r="B70" s="127" t="str">
        <f>IF(TRIM("BUS_号线2号环网柜（自）_241") = "", "BUS_号线2号环网柜（自）_241", "BUS_号线2号环网柜（自）_241")</f>
        <v>BUS_号线2号环网柜（自）_241</v>
      </c>
      <c r="C70" s="58" t="str">
        <f>IF(TRIM("BUS_CNODE_JCT__1468") = "", "BUS_CNODE_JCT__1468", "BUS_CNODE_JCT__1468")</f>
        <v>BUS_CNODE_JCT__1468</v>
      </c>
      <c r="D70" s="105" t="str">
        <f>IF(TRUE = TRUE, "Yes", "No")</f>
        <v>Yes</v>
      </c>
      <c r="E70" s="105" t="s">
        <v>5202</v>
      </c>
      <c r="F70" s="105" t="s">
        <v>5910</v>
      </c>
      <c r="G70" s="105"/>
      <c r="H70" s="105" t="str">
        <f>IF(0 = 0, "ANSI", "IEC")</f>
        <v>ANSI</v>
      </c>
      <c r="I70" s="105" t="str">
        <f>IF(1 = 0, "No", "Yes")</f>
        <v>Yes</v>
      </c>
      <c r="J70" s="105" t="str">
        <f>IF(0 = 1, "Yes", "No")</f>
        <v>No</v>
      </c>
      <c r="K70" s="105" t="str">
        <f>IF(0 = 0,"none","none")</f>
        <v>none</v>
      </c>
      <c r="L70" s="105" t="str">
        <f>IF(0 = 0,"none","none")</f>
        <v>none</v>
      </c>
      <c r="M70" s="105">
        <f>IF(0 = 0, ROUND(0, 1), "")</f>
        <v>0</v>
      </c>
      <c r="N70" s="105">
        <f>IF(0 = 0,ROUND(1.00999999, 3),"")</f>
        <v>1.01</v>
      </c>
      <c r="O70" s="266" t="str">
        <f>IF(0 = 0,IF(1 = 0, "Total", "Symmetrical"),"")</f>
        <v>Symmetrical</v>
      </c>
      <c r="P70" s="260">
        <f>IF(0 = 0,ROUND(0, 1),"")</f>
        <v>0</v>
      </c>
      <c r="Q70" s="105">
        <f>IF(0 = 0,ROUND(0, 1),"")</f>
        <v>0</v>
      </c>
      <c r="R70" s="105">
        <f>IF(0 = 0,ROUND(0, 1),"")</f>
        <v>0</v>
      </c>
      <c r="S70" s="260">
        <f>IF(0 = 0,ROUND(0, 1),"")</f>
        <v>0</v>
      </c>
      <c r="T70" s="242">
        <f>IF(0 = 0,CHOOSE(1 + 1, 3,5,8,2),"")</f>
        <v>5</v>
      </c>
      <c r="U70" s="267" t="str">
        <f>IF(0 = 0,"3","")</f>
        <v>3</v>
      </c>
      <c r="V70" s="260" t="str">
        <f>IF(0 = 1,ROUND(1250, 1),"")</f>
        <v/>
      </c>
      <c r="W70" s="260" t="str">
        <f>IF(0 = 1,ROUND(12, 3),"")</f>
        <v/>
      </c>
      <c r="X70" s="260" t="str">
        <f>IF(0 = 1,ROUND(630, 1),"")</f>
        <v/>
      </c>
      <c r="Y70" s="260" t="str">
        <f>IF(0 = 1,ROUND(0, 1),"")</f>
        <v/>
      </c>
      <c r="Z70" s="260" t="str">
        <f>IF(0 = 1,ROUND(0, 3),"")</f>
        <v/>
      </c>
      <c r="AA70" s="242" t="str">
        <f>IF(0 = 1,CHOOSE(0 + 1, 1.3,1.5),"")</f>
        <v/>
      </c>
      <c r="AB70" s="60" t="str">
        <f>IF(0 = 1,ROUND(0, 1),"")</f>
        <v/>
      </c>
      <c r="AC70" s="260" t="str">
        <f>IF(0 = 1,ROUND(3, 1),"")</f>
        <v/>
      </c>
      <c r="AD70" s="260"/>
      <c r="AE70" s="260"/>
      <c r="AF70" s="260"/>
      <c r="AG70" s="260"/>
      <c r="AH70" s="268"/>
      <c r="AI70" s="53" t="s">
        <v>6030</v>
      </c>
    </row>
    <row r="71" spans="1:35">
      <c r="A71" s="105" t="s">
        <v>6031</v>
      </c>
      <c r="B71" s="127" t="str">
        <f>IF(TRIM("BUS_涛线3号环网柜（自）_242") = "", "BUS_涛线3号环网柜（自）_242", "BUS_涛线3号环网柜（自）_242")</f>
        <v>BUS_涛线3号环网柜（自）_242</v>
      </c>
      <c r="C71" s="58" t="str">
        <f>IF(TRIM("BUS_CNODE_JCT__1476") = "", "BUS_CNODE_JCT__1476", "BUS_CNODE_JCT__1476")</f>
        <v>BUS_CNODE_JCT__1476</v>
      </c>
      <c r="D71" s="105" t="str">
        <f>IF(TRUE = TRUE, "Yes", "No")</f>
        <v>Yes</v>
      </c>
      <c r="E71" s="105" t="s">
        <v>5202</v>
      </c>
      <c r="F71" s="105" t="s">
        <v>5910</v>
      </c>
      <c r="G71" s="105"/>
      <c r="H71" s="105" t="str">
        <f>IF(0 = 0, "ANSI", "IEC")</f>
        <v>ANSI</v>
      </c>
      <c r="I71" s="105" t="str">
        <f>IF(1 = 0, "No", "Yes")</f>
        <v>Yes</v>
      </c>
      <c r="J71" s="105" t="str">
        <f>IF(0 = 1, "Yes", "No")</f>
        <v>No</v>
      </c>
      <c r="K71" s="105" t="str">
        <f>IF(0 = 0,"none","none")</f>
        <v>none</v>
      </c>
      <c r="L71" s="105" t="str">
        <f>IF(0 = 0,"none","none")</f>
        <v>none</v>
      </c>
      <c r="M71" s="105">
        <f>IF(0 = 0, ROUND(0, 1), "")</f>
        <v>0</v>
      </c>
      <c r="N71" s="105">
        <f>IF(0 = 0,ROUND(1.00999999, 3),"")</f>
        <v>1.01</v>
      </c>
      <c r="O71" s="266" t="str">
        <f>IF(0 = 0,IF(1 = 0, "Total", "Symmetrical"),"")</f>
        <v>Symmetrical</v>
      </c>
      <c r="P71" s="260">
        <f>IF(0 = 0,ROUND(0, 1),"")</f>
        <v>0</v>
      </c>
      <c r="Q71" s="105">
        <f>IF(0 = 0,ROUND(0, 1),"")</f>
        <v>0</v>
      </c>
      <c r="R71" s="105">
        <f>IF(0 = 0,ROUND(0, 1),"")</f>
        <v>0</v>
      </c>
      <c r="S71" s="260">
        <f>IF(0 = 0,ROUND(0, 1),"")</f>
        <v>0</v>
      </c>
      <c r="T71" s="242">
        <f>IF(0 = 0,CHOOSE(1 + 1, 3,5,8,2),"")</f>
        <v>5</v>
      </c>
      <c r="U71" s="267" t="str">
        <f>IF(0 = 0,"3","")</f>
        <v>3</v>
      </c>
      <c r="V71" s="260" t="str">
        <f>IF(0 = 1,ROUND(1250, 1),"")</f>
        <v/>
      </c>
      <c r="W71" s="260" t="str">
        <f>IF(0 = 1,ROUND(12, 3),"")</f>
        <v/>
      </c>
      <c r="X71" s="260" t="str">
        <f>IF(0 = 1,ROUND(630, 1),"")</f>
        <v/>
      </c>
      <c r="Y71" s="260" t="str">
        <f>IF(0 = 1,ROUND(0, 1),"")</f>
        <v/>
      </c>
      <c r="Z71" s="260" t="str">
        <f>IF(0 = 1,ROUND(0, 3),"")</f>
        <v/>
      </c>
      <c r="AA71" s="242" t="str">
        <f>IF(0 = 1,CHOOSE(0 + 1, 1.3,1.5),"")</f>
        <v/>
      </c>
      <c r="AB71" s="60" t="str">
        <f>IF(0 = 1,ROUND(0, 1),"")</f>
        <v/>
      </c>
      <c r="AC71" s="260" t="str">
        <f>IF(0 = 1,ROUND(3, 1),"")</f>
        <v/>
      </c>
      <c r="AD71" s="260"/>
      <c r="AE71" s="260"/>
      <c r="AF71" s="260"/>
      <c r="AG71" s="260"/>
      <c r="AH71" s="268"/>
      <c r="AI71" s="53" t="s">
        <v>6032</v>
      </c>
    </row>
    <row r="72" spans="1:35">
      <c r="A72" s="105" t="s">
        <v>6033</v>
      </c>
      <c r="B72" s="127" t="str">
        <f>IF(TRIM("BUS_V爱涛线路灯所环网柜_204") = "", "BUS_V爱涛线路灯所环网柜_204", "BUS_V爱涛线路灯所环网柜_204")</f>
        <v>BUS_V爱涛线路灯所环网柜_204</v>
      </c>
      <c r="C72" s="58" t="str">
        <f>IF(TRIM("") = "", "", "")</f>
        <v/>
      </c>
      <c r="D72" s="105" t="str">
        <f>IF(TRUE = TRUE, "Yes", "No")</f>
        <v>Yes</v>
      </c>
      <c r="E72" s="105" t="s">
        <v>5202</v>
      </c>
      <c r="F72" s="105" t="s">
        <v>5910</v>
      </c>
      <c r="G72" s="105"/>
      <c r="H72" s="105" t="str">
        <f>IF(0 = 0, "ANSI", "IEC")</f>
        <v>ANSI</v>
      </c>
      <c r="I72" s="105" t="str">
        <f>IF(1 = 0, "No", "Yes")</f>
        <v>Yes</v>
      </c>
      <c r="J72" s="105" t="str">
        <f>IF(0 = 1, "Yes", "No")</f>
        <v>No</v>
      </c>
      <c r="K72" s="105" t="str">
        <f>IF(0 = 0,"none","none")</f>
        <v>none</v>
      </c>
      <c r="L72" s="105" t="str">
        <f>IF(0 = 0,"none","none")</f>
        <v>none</v>
      </c>
      <c r="M72" s="105">
        <f>IF(0 = 0, ROUND(0, 1), "")</f>
        <v>0</v>
      </c>
      <c r="N72" s="105">
        <f>IF(0 = 0,ROUND(1.00999999, 3),"")</f>
        <v>1.01</v>
      </c>
      <c r="O72" s="266" t="str">
        <f>IF(0 = 0,IF(1 = 0, "Total", "Symmetrical"),"")</f>
        <v>Symmetrical</v>
      </c>
      <c r="P72" s="260">
        <f>IF(0 = 0,ROUND(0, 1),"")</f>
        <v>0</v>
      </c>
      <c r="Q72" s="105">
        <f>IF(0 = 0,ROUND(0, 1),"")</f>
        <v>0</v>
      </c>
      <c r="R72" s="105">
        <f>IF(0 = 0,ROUND(0, 1),"")</f>
        <v>0</v>
      </c>
      <c r="S72" s="260">
        <f>IF(0 = 0,ROUND(0, 1),"")</f>
        <v>0</v>
      </c>
      <c r="T72" s="242">
        <f>IF(0 = 0,CHOOSE(1 + 1, 3,5,8,2),"")</f>
        <v>5</v>
      </c>
      <c r="U72" s="267" t="str">
        <f>IF(0 = 0,"3","")</f>
        <v>3</v>
      </c>
      <c r="V72" s="260" t="str">
        <f>IF(0 = 1,ROUND(1250, 1),"")</f>
        <v/>
      </c>
      <c r="W72" s="260" t="str">
        <f>IF(0 = 1,ROUND(12, 3),"")</f>
        <v/>
      </c>
      <c r="X72" s="260" t="str">
        <f>IF(0 = 1,ROUND(100, 1),"")</f>
        <v/>
      </c>
      <c r="Y72" s="260" t="str">
        <f>IF(0 = 1,ROUND(0, 1),"")</f>
        <v/>
      </c>
      <c r="Z72" s="260" t="str">
        <f>IF(0 = 1,ROUND(0, 3),"")</f>
        <v/>
      </c>
      <c r="AA72" s="242" t="str">
        <f>IF(0 = 1,CHOOSE(0 + 1, 1.3,1.5),"")</f>
        <v/>
      </c>
      <c r="AB72" s="60" t="str">
        <f>IF(0 = 1,ROUND(0, 1),"")</f>
        <v/>
      </c>
      <c r="AC72" s="260" t="str">
        <f>IF(0 = 1,ROUND(3, 1),"")</f>
        <v/>
      </c>
      <c r="AD72" s="260"/>
      <c r="AE72" s="260"/>
      <c r="AF72" s="260"/>
      <c r="AG72" s="260"/>
      <c r="AH72" s="268"/>
      <c r="AI72" s="53" t="s">
        <v>6034</v>
      </c>
    </row>
    <row r="73" spans="1:35">
      <c r="A73" s="105" t="s">
        <v>6035</v>
      </c>
      <c r="B73" s="127" t="str">
        <f>IF(TRIM("BUS_亚都天元居#1箱变_227") = "", "BUS_亚都天元居#1箱变_227", "BUS_亚都天元居#1箱变_227")</f>
        <v>BUS_亚都天元居#1箱变_227</v>
      </c>
      <c r="C73" s="58" t="str">
        <f>IF(TRIM("BUS_CNODE_JCT__1446") = "", "BUS_CNODE_JCT__1446", "BUS_CNODE_JCT__1446")</f>
        <v>BUS_CNODE_JCT__1446</v>
      </c>
      <c r="D73" s="105" t="str">
        <f>IF(TRUE = TRUE, "Yes", "No")</f>
        <v>Yes</v>
      </c>
      <c r="E73" s="105" t="s">
        <v>5202</v>
      </c>
      <c r="F73" s="105" t="s">
        <v>5910</v>
      </c>
      <c r="G73" s="105"/>
      <c r="H73" s="105" t="str">
        <f>IF(0 = 0, "ANSI", "IEC")</f>
        <v>ANSI</v>
      </c>
      <c r="I73" s="105" t="str">
        <f>IF(1 = 0, "No", "Yes")</f>
        <v>Yes</v>
      </c>
      <c r="J73" s="105" t="str">
        <f>IF(0 = 1, "Yes", "No")</f>
        <v>No</v>
      </c>
      <c r="K73" s="105" t="str">
        <f>IF(0 = 0,"none","none")</f>
        <v>none</v>
      </c>
      <c r="L73" s="105" t="str">
        <f>IF(0 = 0,"none","none")</f>
        <v>none</v>
      </c>
      <c r="M73" s="105">
        <f>IF(0 = 0, ROUND(0, 1), "")</f>
        <v>0</v>
      </c>
      <c r="N73" s="105">
        <f>IF(0 = 0,ROUND(1.00999999, 3),"")</f>
        <v>1.01</v>
      </c>
      <c r="O73" s="266" t="str">
        <f>IF(0 = 0,IF(1 = 0, "Total", "Symmetrical"),"")</f>
        <v>Symmetrical</v>
      </c>
      <c r="P73" s="260">
        <f>IF(0 = 0,ROUND(0, 1),"")</f>
        <v>0</v>
      </c>
      <c r="Q73" s="105">
        <f>IF(0 = 0,ROUND(0, 1),"")</f>
        <v>0</v>
      </c>
      <c r="R73" s="105">
        <f>IF(0 = 0,ROUND(0, 1),"")</f>
        <v>0</v>
      </c>
      <c r="S73" s="260">
        <f>IF(0 = 0,ROUND(0, 1),"")</f>
        <v>0</v>
      </c>
      <c r="T73" s="242">
        <f>IF(0 = 0,CHOOSE(1 + 1, 3,5,8,2),"")</f>
        <v>5</v>
      </c>
      <c r="U73" s="267" t="str">
        <f>IF(0 = 0,"3","")</f>
        <v>3</v>
      </c>
      <c r="V73" s="260" t="str">
        <f>IF(0 = 1,ROUND(1250, 1),"")</f>
        <v/>
      </c>
      <c r="W73" s="260" t="str">
        <f>IF(0 = 1,ROUND(12, 3),"")</f>
        <v/>
      </c>
      <c r="X73" s="260" t="str">
        <f>IF(0 = 1,ROUND(100, 1),"")</f>
        <v/>
      </c>
      <c r="Y73" s="260" t="str">
        <f>IF(0 = 1,ROUND(0, 1),"")</f>
        <v/>
      </c>
      <c r="Z73" s="260" t="str">
        <f>IF(0 = 1,ROUND(0, 3),"")</f>
        <v/>
      </c>
      <c r="AA73" s="242" t="str">
        <f>IF(0 = 1,CHOOSE(0 + 1, 1.3,1.5),"")</f>
        <v/>
      </c>
      <c r="AB73" s="60" t="str">
        <f>IF(0 = 1,ROUND(0, 1),"")</f>
        <v/>
      </c>
      <c r="AC73" s="260" t="str">
        <f>IF(0 = 1,ROUND(3, 1),"")</f>
        <v/>
      </c>
      <c r="AD73" s="260"/>
      <c r="AE73" s="260"/>
      <c r="AF73" s="260"/>
      <c r="AG73" s="260"/>
      <c r="AH73" s="268"/>
      <c r="AI73" s="53" t="s">
        <v>6036</v>
      </c>
    </row>
    <row r="74" spans="1:35">
      <c r="A74" s="105" t="s">
        <v>6037</v>
      </c>
      <c r="B74" s="127" t="str">
        <f>IF(TRIM("BUS_line1_224") = "", "BUS_line1_224", "BUS_line1_224")</f>
        <v>BUS_line1_224</v>
      </c>
      <c r="C74" s="58" t="str">
        <f>IF(TRIM("BUS_CNODE_JCT__1443") = "", "BUS_CNODE_JCT__1443", "BUS_CNODE_JCT__1443")</f>
        <v>BUS_CNODE_JCT__1443</v>
      </c>
      <c r="D74" s="105" t="str">
        <f>IF(TRUE = TRUE, "Yes", "No")</f>
        <v>Yes</v>
      </c>
      <c r="E74" s="105" t="s">
        <v>5202</v>
      </c>
      <c r="F74" s="105" t="s">
        <v>5910</v>
      </c>
      <c r="G74" s="105"/>
      <c r="H74" s="105" t="str">
        <f>IF(0 = 0, "ANSI", "IEC")</f>
        <v>ANSI</v>
      </c>
      <c r="I74" s="105" t="str">
        <f>IF(1 = 0, "No", "Yes")</f>
        <v>Yes</v>
      </c>
      <c r="J74" s="105" t="str">
        <f>IF(0 = 1, "Yes", "No")</f>
        <v>No</v>
      </c>
      <c r="K74" s="105" t="str">
        <f>IF(0 = 0,"none","none")</f>
        <v>none</v>
      </c>
      <c r="L74" s="105" t="str">
        <f>IF(0 = 0,"none","none")</f>
        <v>none</v>
      </c>
      <c r="M74" s="105">
        <f>IF(0 = 0, ROUND(0, 1), "")</f>
        <v>0</v>
      </c>
      <c r="N74" s="105">
        <f>IF(0 = 0,ROUND(1.00999999, 3),"")</f>
        <v>1.01</v>
      </c>
      <c r="O74" s="266" t="str">
        <f>IF(0 = 0,IF(1 = 0, "Total", "Symmetrical"),"")</f>
        <v>Symmetrical</v>
      </c>
      <c r="P74" s="260">
        <f>IF(0 = 0,ROUND(0, 1),"")</f>
        <v>0</v>
      </c>
      <c r="Q74" s="105">
        <f>IF(0 = 0,ROUND(0, 1),"")</f>
        <v>0</v>
      </c>
      <c r="R74" s="105">
        <f>IF(0 = 0,ROUND(0, 1),"")</f>
        <v>0</v>
      </c>
      <c r="S74" s="260">
        <f>IF(0 = 0,ROUND(0, 1),"")</f>
        <v>0</v>
      </c>
      <c r="T74" s="242">
        <f>IF(0 = 0,CHOOSE(1 + 1, 3,5,8,2),"")</f>
        <v>5</v>
      </c>
      <c r="U74" s="267" t="str">
        <f>IF(0 = 0,"3","")</f>
        <v>3</v>
      </c>
      <c r="V74" s="260" t="str">
        <f>IF(0 = 1,ROUND(1250, 1),"")</f>
        <v/>
      </c>
      <c r="W74" s="260" t="str">
        <f>IF(0 = 1,ROUND(12, 3),"")</f>
        <v/>
      </c>
      <c r="X74" s="260" t="str">
        <f>IF(0 = 1,ROUND(100, 1),"")</f>
        <v/>
      </c>
      <c r="Y74" s="260" t="str">
        <f>IF(0 = 1,ROUND(0, 1),"")</f>
        <v/>
      </c>
      <c r="Z74" s="260" t="str">
        <f>IF(0 = 1,ROUND(0, 3),"")</f>
        <v/>
      </c>
      <c r="AA74" s="242" t="str">
        <f>IF(0 = 1,CHOOSE(0 + 1, 1.3,1.5),"")</f>
        <v/>
      </c>
      <c r="AB74" s="60" t="str">
        <f>IF(0 = 1,ROUND(0, 1),"")</f>
        <v/>
      </c>
      <c r="AC74" s="260" t="str">
        <f>IF(0 = 1,ROUND(3, 1),"")</f>
        <v/>
      </c>
      <c r="AD74" s="260"/>
      <c r="AE74" s="260"/>
      <c r="AF74" s="260"/>
      <c r="AG74" s="260"/>
      <c r="AH74" s="268"/>
      <c r="AI74" s="53" t="s">
        <v>6038</v>
      </c>
    </row>
    <row r="75" spans="1:35">
      <c r="A75" s="105" t="s">
        <v>6039</v>
      </c>
      <c r="B75" s="127" t="str">
        <f>IF(TRIM("BUS_line1_230") = "", "BUS_line1_230", "BUS_line1_230")</f>
        <v>BUS_line1_230</v>
      </c>
      <c r="C75" s="58" t="str">
        <f>IF(TRIM("BUS_CNODE_JCT__1449") = "", "BUS_CNODE_JCT__1449", "BUS_CNODE_JCT__1449")</f>
        <v>BUS_CNODE_JCT__1449</v>
      </c>
      <c r="D75" s="105" t="str">
        <f>IF(TRUE = TRUE, "Yes", "No")</f>
        <v>Yes</v>
      </c>
      <c r="E75" s="105" t="s">
        <v>5202</v>
      </c>
      <c r="F75" s="105" t="s">
        <v>5910</v>
      </c>
      <c r="G75" s="105"/>
      <c r="H75" s="105" t="str">
        <f>IF(0 = 0, "ANSI", "IEC")</f>
        <v>ANSI</v>
      </c>
      <c r="I75" s="105" t="str">
        <f>IF(1 = 0, "No", "Yes")</f>
        <v>Yes</v>
      </c>
      <c r="J75" s="105" t="str">
        <f>IF(0 = 1, "Yes", "No")</f>
        <v>No</v>
      </c>
      <c r="K75" s="105" t="str">
        <f>IF(0 = 0,"none","none")</f>
        <v>none</v>
      </c>
      <c r="L75" s="105" t="str">
        <f>IF(0 = 0,"none","none")</f>
        <v>none</v>
      </c>
      <c r="M75" s="105">
        <f>IF(0 = 0, ROUND(0, 1), "")</f>
        <v>0</v>
      </c>
      <c r="N75" s="105">
        <f>IF(0 = 0,ROUND(1.00999999, 3),"")</f>
        <v>1.01</v>
      </c>
      <c r="O75" s="266" t="str">
        <f>IF(0 = 0,IF(1 = 0, "Total", "Symmetrical"),"")</f>
        <v>Symmetrical</v>
      </c>
      <c r="P75" s="260">
        <f>IF(0 = 0,ROUND(0, 1),"")</f>
        <v>0</v>
      </c>
      <c r="Q75" s="105">
        <f>IF(0 = 0,ROUND(0, 1),"")</f>
        <v>0</v>
      </c>
      <c r="R75" s="105">
        <f>IF(0 = 0,ROUND(0, 1),"")</f>
        <v>0</v>
      </c>
      <c r="S75" s="260">
        <f>IF(0 = 0,ROUND(0, 1),"")</f>
        <v>0</v>
      </c>
      <c r="T75" s="242">
        <f>IF(0 = 0,CHOOSE(1 + 1, 3,5,8,2),"")</f>
        <v>5</v>
      </c>
      <c r="U75" s="267" t="str">
        <f>IF(0 = 0,"3","")</f>
        <v>3</v>
      </c>
      <c r="V75" s="260" t="str">
        <f>IF(0 = 1,ROUND(1250, 1),"")</f>
        <v/>
      </c>
      <c r="W75" s="260" t="str">
        <f>IF(0 = 1,ROUND(12, 3),"")</f>
        <v/>
      </c>
      <c r="X75" s="260" t="str">
        <f>IF(0 = 1,ROUND(100, 1),"")</f>
        <v/>
      </c>
      <c r="Y75" s="260" t="str">
        <f>IF(0 = 1,ROUND(0, 1),"")</f>
        <v/>
      </c>
      <c r="Z75" s="260" t="str">
        <f>IF(0 = 1,ROUND(0, 3),"")</f>
        <v/>
      </c>
      <c r="AA75" s="242" t="str">
        <f>IF(0 = 1,CHOOSE(0 + 1, 1.3,1.5),"")</f>
        <v/>
      </c>
      <c r="AB75" s="60" t="str">
        <f>IF(0 = 1,ROUND(0, 1),"")</f>
        <v/>
      </c>
      <c r="AC75" s="260" t="str">
        <f>IF(0 = 1,ROUND(3, 1),"")</f>
        <v/>
      </c>
      <c r="AD75" s="260"/>
      <c r="AE75" s="260"/>
      <c r="AF75" s="260"/>
      <c r="AG75" s="260"/>
      <c r="AH75" s="268"/>
      <c r="AI75" s="53" t="s">
        <v>6040</v>
      </c>
    </row>
    <row r="76" spans="1:35">
      <c r="A76" s="105" t="s">
        <v>6041</v>
      </c>
      <c r="B76" s="127" t="str">
        <f>IF(TRIM("BUS_CNODE_JCT__1411") = "", "BUS_CNODE_JCT__1411", "BUS_CNODE_JCT__1411")</f>
        <v>BUS_CNODE_JCT__1411</v>
      </c>
      <c r="C76" s="58" t="str">
        <f>IF(TRIM("BUS_CNODE_JCT__1420") = "", "BUS_CNODE_JCT__1420", "BUS_CNODE_JCT__1420")</f>
        <v>BUS_CNODE_JCT__1420</v>
      </c>
      <c r="D76" s="105" t="str">
        <f>IF(TRUE = TRUE, "Yes", "No")</f>
        <v>Yes</v>
      </c>
      <c r="E76" s="105" t="s">
        <v>5202</v>
      </c>
      <c r="F76" s="105" t="s">
        <v>5910</v>
      </c>
      <c r="G76" s="105"/>
      <c r="H76" s="105" t="str">
        <f>IF(0 = 0, "ANSI", "IEC")</f>
        <v>ANSI</v>
      </c>
      <c r="I76" s="105" t="str">
        <f>IF(1 = 0, "No", "Yes")</f>
        <v>Yes</v>
      </c>
      <c r="J76" s="105" t="str">
        <f>IF(0 = 1, "Yes", "No")</f>
        <v>No</v>
      </c>
      <c r="K76" s="105" t="str">
        <f>IF(0 = 0,"none","none")</f>
        <v>none</v>
      </c>
      <c r="L76" s="105" t="str">
        <f>IF(0 = 0,"none","none")</f>
        <v>none</v>
      </c>
      <c r="M76" s="105">
        <f>IF(0 = 0, ROUND(0, 1), "")</f>
        <v>0</v>
      </c>
      <c r="N76" s="105">
        <f>IF(0 = 0,ROUND(1.00999999, 3),"")</f>
        <v>1.01</v>
      </c>
      <c r="O76" s="266" t="str">
        <f>IF(0 = 0,IF(1 = 0, "Total", "Symmetrical"),"")</f>
        <v>Symmetrical</v>
      </c>
      <c r="P76" s="260">
        <f>IF(0 = 0,ROUND(0, 1),"")</f>
        <v>0</v>
      </c>
      <c r="Q76" s="105">
        <f>IF(0 = 0,ROUND(0, 1),"")</f>
        <v>0</v>
      </c>
      <c r="R76" s="105">
        <f>IF(0 = 0,ROUND(0, 1),"")</f>
        <v>0</v>
      </c>
      <c r="S76" s="260">
        <f>IF(0 = 0,ROUND(0, 1),"")</f>
        <v>0</v>
      </c>
      <c r="T76" s="242">
        <f>IF(0 = 0,CHOOSE(1 + 1, 3,5,8,2),"")</f>
        <v>5</v>
      </c>
      <c r="U76" s="267" t="str">
        <f>IF(0 = 0,"3","")</f>
        <v>3</v>
      </c>
      <c r="V76" s="260" t="str">
        <f>IF(0 = 1,ROUND(1250, 1),"")</f>
        <v/>
      </c>
      <c r="W76" s="260" t="str">
        <f>IF(0 = 1,ROUND(12, 3),"")</f>
        <v/>
      </c>
      <c r="X76" s="260" t="str">
        <f>IF(0 = 1,ROUND(100, 1),"")</f>
        <v/>
      </c>
      <c r="Y76" s="260" t="str">
        <f>IF(0 = 1,ROUND(0, 1),"")</f>
        <v/>
      </c>
      <c r="Z76" s="260" t="str">
        <f>IF(0 = 1,ROUND(0, 3),"")</f>
        <v/>
      </c>
      <c r="AA76" s="242" t="str">
        <f>IF(0 = 1,CHOOSE(0 + 1, 1.3,1.5),"")</f>
        <v/>
      </c>
      <c r="AB76" s="60" t="str">
        <f>IF(0 = 1,ROUND(0, 1),"")</f>
        <v/>
      </c>
      <c r="AC76" s="260" t="str">
        <f>IF(0 = 1,ROUND(3, 1),"")</f>
        <v/>
      </c>
      <c r="AD76" s="260"/>
      <c r="AE76" s="260"/>
      <c r="AF76" s="260"/>
      <c r="AG76" s="260"/>
      <c r="AH76" s="268"/>
      <c r="AI76" s="53" t="s">
        <v>6042</v>
      </c>
    </row>
    <row r="77" spans="1:35">
      <c r="A77" s="105" t="s">
        <v>6043</v>
      </c>
      <c r="B77" s="127" t="str">
        <f>IF(TRIM("BUS_line1_222") = "", "BUS_line1_222", "BUS_line1_222")</f>
        <v>BUS_line1_222</v>
      </c>
      <c r="C77" s="58" t="str">
        <f>IF(TRIM("BUS_CNODE_JCT__1439") = "", "BUS_CNODE_JCT__1439", "BUS_CNODE_JCT__1439")</f>
        <v>BUS_CNODE_JCT__1439</v>
      </c>
      <c r="D77" s="105" t="str">
        <f>IF(TRUE = TRUE, "Yes", "No")</f>
        <v>Yes</v>
      </c>
      <c r="E77" s="105" t="s">
        <v>5202</v>
      </c>
      <c r="F77" s="105" t="s">
        <v>5910</v>
      </c>
      <c r="G77" s="105"/>
      <c r="H77" s="105" t="str">
        <f>IF(0 = 0, "ANSI", "IEC")</f>
        <v>ANSI</v>
      </c>
      <c r="I77" s="105" t="str">
        <f>IF(1 = 0, "No", "Yes")</f>
        <v>Yes</v>
      </c>
      <c r="J77" s="105" t="str">
        <f>IF(0 = 1, "Yes", "No")</f>
        <v>No</v>
      </c>
      <c r="K77" s="105" t="str">
        <f>IF(0 = 0,"none","none")</f>
        <v>none</v>
      </c>
      <c r="L77" s="105" t="str">
        <f>IF(0 = 0,"none","none")</f>
        <v>none</v>
      </c>
      <c r="M77" s="105">
        <f>IF(0 = 0, ROUND(0, 1), "")</f>
        <v>0</v>
      </c>
      <c r="N77" s="105">
        <f>IF(0 = 0,ROUND(1.00999999, 3),"")</f>
        <v>1.01</v>
      </c>
      <c r="O77" s="266" t="str">
        <f>IF(0 = 0,IF(1 = 0, "Total", "Symmetrical"),"")</f>
        <v>Symmetrical</v>
      </c>
      <c r="P77" s="260">
        <f>IF(0 = 0,ROUND(0, 1),"")</f>
        <v>0</v>
      </c>
      <c r="Q77" s="105">
        <f>IF(0 = 0,ROUND(0, 1),"")</f>
        <v>0</v>
      </c>
      <c r="R77" s="105">
        <f>IF(0 = 0,ROUND(0, 1),"")</f>
        <v>0</v>
      </c>
      <c r="S77" s="260">
        <f>IF(0 = 0,ROUND(0, 1),"")</f>
        <v>0</v>
      </c>
      <c r="T77" s="242">
        <f>IF(0 = 0,CHOOSE(1 + 1, 3,5,8,2),"")</f>
        <v>5</v>
      </c>
      <c r="U77" s="267" t="str">
        <f>IF(0 = 0,"3","")</f>
        <v>3</v>
      </c>
      <c r="V77" s="260" t="str">
        <f>IF(0 = 1,ROUND(1250, 1),"")</f>
        <v/>
      </c>
      <c r="W77" s="260" t="str">
        <f>IF(0 = 1,ROUND(12, 3),"")</f>
        <v/>
      </c>
      <c r="X77" s="260" t="str">
        <f>IF(0 = 1,ROUND(100, 1),"")</f>
        <v/>
      </c>
      <c r="Y77" s="260" t="str">
        <f>IF(0 = 1,ROUND(0, 1),"")</f>
        <v/>
      </c>
      <c r="Z77" s="260" t="str">
        <f>IF(0 = 1,ROUND(0, 3),"")</f>
        <v/>
      </c>
      <c r="AA77" s="242" t="str">
        <f>IF(0 = 1,CHOOSE(0 + 1, 1.3,1.5),"")</f>
        <v/>
      </c>
      <c r="AB77" s="60" t="str">
        <f>IF(0 = 1,ROUND(0, 1),"")</f>
        <v/>
      </c>
      <c r="AC77" s="260" t="str">
        <f>IF(0 = 1,ROUND(3, 1),"")</f>
        <v/>
      </c>
      <c r="AD77" s="260"/>
      <c r="AE77" s="260"/>
      <c r="AF77" s="260"/>
      <c r="AG77" s="260"/>
      <c r="AH77" s="268"/>
      <c r="AI77" s="53" t="s">
        <v>6044</v>
      </c>
    </row>
    <row r="78" spans="1:35">
      <c r="A78" s="105" t="s">
        <v>6045</v>
      </c>
      <c r="B78" s="127" t="str">
        <f>IF(TRIM("BUS_CNODE_JCT__1440") = "", "BUS_CNODE_JCT__1440", "BUS_CNODE_JCT__1440")</f>
        <v>BUS_CNODE_JCT__1440</v>
      </c>
      <c r="C78" s="58" t="str">
        <f>IF(TRIM("BUS_line1_222") = "", "BUS_line1_222", "BUS_line1_222")</f>
        <v>BUS_line1_222</v>
      </c>
      <c r="D78" s="105" t="str">
        <f>IF(TRUE = TRUE, "Yes", "No")</f>
        <v>Yes</v>
      </c>
      <c r="E78" s="105" t="s">
        <v>5202</v>
      </c>
      <c r="F78" s="105" t="s">
        <v>5910</v>
      </c>
      <c r="G78" s="105"/>
      <c r="H78" s="105" t="str">
        <f>IF(0 = 0, "ANSI", "IEC")</f>
        <v>ANSI</v>
      </c>
      <c r="I78" s="105" t="str">
        <f>IF(1 = 0, "No", "Yes")</f>
        <v>Yes</v>
      </c>
      <c r="J78" s="105" t="str">
        <f>IF(0 = 1, "Yes", "No")</f>
        <v>No</v>
      </c>
      <c r="K78" s="105" t="str">
        <f>IF(0 = 0,"none","none")</f>
        <v>none</v>
      </c>
      <c r="L78" s="105" t="str">
        <f>IF(0 = 0,"none","none")</f>
        <v>none</v>
      </c>
      <c r="M78" s="105">
        <f>IF(0 = 0, ROUND(0, 1), "")</f>
        <v>0</v>
      </c>
      <c r="N78" s="105">
        <f>IF(0 = 0,ROUND(1.00999999, 3),"")</f>
        <v>1.01</v>
      </c>
      <c r="O78" s="266" t="str">
        <f>IF(0 = 0,IF(1 = 0, "Total", "Symmetrical"),"")</f>
        <v>Symmetrical</v>
      </c>
      <c r="P78" s="260">
        <f>IF(0 = 0,ROUND(0, 1),"")</f>
        <v>0</v>
      </c>
      <c r="Q78" s="105">
        <f>IF(0 = 0,ROUND(0, 1),"")</f>
        <v>0</v>
      </c>
      <c r="R78" s="105">
        <f>IF(0 = 0,ROUND(0, 1),"")</f>
        <v>0</v>
      </c>
      <c r="S78" s="260">
        <f>IF(0 = 0,ROUND(0, 1),"")</f>
        <v>0</v>
      </c>
      <c r="T78" s="242">
        <f>IF(0 = 0,CHOOSE(1 + 1, 3,5,8,2),"")</f>
        <v>5</v>
      </c>
      <c r="U78" s="267" t="str">
        <f>IF(0 = 0,"3","")</f>
        <v>3</v>
      </c>
      <c r="V78" s="260" t="str">
        <f>IF(0 = 1,ROUND(1250, 1),"")</f>
        <v/>
      </c>
      <c r="W78" s="260" t="str">
        <f>IF(0 = 1,ROUND(12, 3),"")</f>
        <v/>
      </c>
      <c r="X78" s="260" t="str">
        <f>IF(0 = 1,ROUND(630, 1),"")</f>
        <v/>
      </c>
      <c r="Y78" s="260" t="str">
        <f>IF(0 = 1,ROUND(0, 1),"")</f>
        <v/>
      </c>
      <c r="Z78" s="260" t="str">
        <f>IF(0 = 1,ROUND(0, 3),"")</f>
        <v/>
      </c>
      <c r="AA78" s="242" t="str">
        <f>IF(0 = 1,CHOOSE(0 + 1, 1.3,1.5),"")</f>
        <v/>
      </c>
      <c r="AB78" s="60" t="str">
        <f>IF(0 = 1,ROUND(0, 1),"")</f>
        <v/>
      </c>
      <c r="AC78" s="260" t="str">
        <f>IF(0 = 1,ROUND(3, 1),"")</f>
        <v/>
      </c>
      <c r="AD78" s="260"/>
      <c r="AE78" s="260"/>
      <c r="AF78" s="260"/>
      <c r="AG78" s="260"/>
      <c r="AH78" s="268"/>
      <c r="AI78" s="53" t="s">
        <v>6046</v>
      </c>
    </row>
    <row r="79" spans="1:35">
      <c r="A79" s="105" t="s">
        <v>6047</v>
      </c>
      <c r="B79" s="127" t="str">
        <f>IF(TRIM("BUS_花苑#16变高压母线_221") = "", "BUS_花苑#16变高压母线_221", "BUS_花苑#16变高压母线_221")</f>
        <v>BUS_花苑#16变高压母线_221</v>
      </c>
      <c r="C79" s="58" t="str">
        <f>IF(TRIM("BUS_CNODE_JCT__1437") = "", "BUS_CNODE_JCT__1437", "BUS_CNODE_JCT__1437")</f>
        <v>BUS_CNODE_JCT__1437</v>
      </c>
      <c r="D79" s="105" t="str">
        <f>IF(TRUE = TRUE, "Yes", "No")</f>
        <v>Yes</v>
      </c>
      <c r="E79" s="105" t="s">
        <v>5202</v>
      </c>
      <c r="F79" s="105" t="s">
        <v>5910</v>
      </c>
      <c r="G79" s="105"/>
      <c r="H79" s="105" t="str">
        <f>IF(0 = 0, "ANSI", "IEC")</f>
        <v>ANSI</v>
      </c>
      <c r="I79" s="105" t="str">
        <f>IF(1 = 0, "No", "Yes")</f>
        <v>Yes</v>
      </c>
      <c r="J79" s="105" t="str">
        <f>IF(0 = 1, "Yes", "No")</f>
        <v>No</v>
      </c>
      <c r="K79" s="105" t="str">
        <f>IF(0 = 0,"none","none")</f>
        <v>none</v>
      </c>
      <c r="L79" s="105" t="str">
        <f>IF(0 = 0,"none","none")</f>
        <v>none</v>
      </c>
      <c r="M79" s="105">
        <f>IF(0 = 0, ROUND(0, 1), "")</f>
        <v>0</v>
      </c>
      <c r="N79" s="105">
        <f>IF(0 = 0,ROUND(1.00999999, 3),"")</f>
        <v>1.01</v>
      </c>
      <c r="O79" s="266" t="str">
        <f>IF(0 = 0,IF(1 = 0, "Total", "Symmetrical"),"")</f>
        <v>Symmetrical</v>
      </c>
      <c r="P79" s="260">
        <f>IF(0 = 0,ROUND(0, 1),"")</f>
        <v>0</v>
      </c>
      <c r="Q79" s="105">
        <f>IF(0 = 0,ROUND(0, 1),"")</f>
        <v>0</v>
      </c>
      <c r="R79" s="105">
        <f>IF(0 = 0,ROUND(0, 1),"")</f>
        <v>0</v>
      </c>
      <c r="S79" s="260">
        <f>IF(0 = 0,ROUND(0, 1),"")</f>
        <v>0</v>
      </c>
      <c r="T79" s="242">
        <f>IF(0 = 0,CHOOSE(1 + 1, 3,5,8,2),"")</f>
        <v>5</v>
      </c>
      <c r="U79" s="267" t="str">
        <f>IF(0 = 0,"3","")</f>
        <v>3</v>
      </c>
      <c r="V79" s="260" t="str">
        <f>IF(0 = 1,ROUND(1250, 1),"")</f>
        <v/>
      </c>
      <c r="W79" s="260" t="str">
        <f>IF(0 = 1,ROUND(12, 3),"")</f>
        <v/>
      </c>
      <c r="X79" s="260" t="str">
        <f>IF(0 = 1,ROUND(100, 1),"")</f>
        <v/>
      </c>
      <c r="Y79" s="260" t="str">
        <f>IF(0 = 1,ROUND(0, 1),"")</f>
        <v/>
      </c>
      <c r="Z79" s="260" t="str">
        <f>IF(0 = 1,ROUND(0, 3),"")</f>
        <v/>
      </c>
      <c r="AA79" s="242" t="str">
        <f>IF(0 = 1,CHOOSE(0 + 1, 1.3,1.5),"")</f>
        <v/>
      </c>
      <c r="AB79" s="60" t="str">
        <f>IF(0 = 1,ROUND(0, 1),"")</f>
        <v/>
      </c>
      <c r="AC79" s="260" t="str">
        <f>IF(0 = 1,ROUND(3, 1),"")</f>
        <v/>
      </c>
      <c r="AD79" s="260"/>
      <c r="AE79" s="260"/>
      <c r="AF79" s="260"/>
      <c r="AG79" s="260"/>
      <c r="AH79" s="268"/>
      <c r="AI79" s="53" t="s">
        <v>6048</v>
      </c>
    </row>
    <row r="80" spans="1:35">
      <c r="A80" s="105" t="s">
        <v>6049</v>
      </c>
      <c r="B80" s="127" t="str">
        <f>IF(TRIM("BUS_花苑#16变高压母线_221") = "", "BUS_花苑#16变高压母线_221", "BUS_花苑#16变高压母线_221")</f>
        <v>BUS_花苑#16变高压母线_221</v>
      </c>
      <c r="C80" s="58" t="str">
        <f>IF(TRIM("BUS_CNODE_JCT__1438") = "", "BUS_CNODE_JCT__1438", "BUS_CNODE_JCT__1438")</f>
        <v>BUS_CNODE_JCT__1438</v>
      </c>
      <c r="D80" s="105" t="str">
        <f>IF(TRUE = TRUE, "Yes", "No")</f>
        <v>Yes</v>
      </c>
      <c r="E80" s="105" t="s">
        <v>5202</v>
      </c>
      <c r="F80" s="105" t="s">
        <v>5910</v>
      </c>
      <c r="G80" s="105"/>
      <c r="H80" s="105" t="str">
        <f>IF(0 = 0, "ANSI", "IEC")</f>
        <v>ANSI</v>
      </c>
      <c r="I80" s="105" t="str">
        <f>IF(1 = 0, "No", "Yes")</f>
        <v>Yes</v>
      </c>
      <c r="J80" s="105" t="str">
        <f>IF(0 = 1, "Yes", "No")</f>
        <v>No</v>
      </c>
      <c r="K80" s="105" t="str">
        <f>IF(0 = 0,"none","none")</f>
        <v>none</v>
      </c>
      <c r="L80" s="105" t="str">
        <f>IF(0 = 0,"none","none")</f>
        <v>none</v>
      </c>
      <c r="M80" s="105">
        <f>IF(0 = 0, ROUND(0, 1), "")</f>
        <v>0</v>
      </c>
      <c r="N80" s="105">
        <f>IF(0 = 0,ROUND(1.00999999, 3),"")</f>
        <v>1.01</v>
      </c>
      <c r="O80" s="266" t="str">
        <f>IF(0 = 0,IF(1 = 0, "Total", "Symmetrical"),"")</f>
        <v>Symmetrical</v>
      </c>
      <c r="P80" s="260">
        <f>IF(0 = 0,ROUND(0, 1),"")</f>
        <v>0</v>
      </c>
      <c r="Q80" s="105">
        <f>IF(0 = 0,ROUND(0, 1),"")</f>
        <v>0</v>
      </c>
      <c r="R80" s="105">
        <f>IF(0 = 0,ROUND(0, 1),"")</f>
        <v>0</v>
      </c>
      <c r="S80" s="260">
        <f>IF(0 = 0,ROUND(0, 1),"")</f>
        <v>0</v>
      </c>
      <c r="T80" s="242">
        <f>IF(0 = 0,CHOOSE(1 + 1, 3,5,8,2),"")</f>
        <v>5</v>
      </c>
      <c r="U80" s="267" t="str">
        <f>IF(0 = 0,"3","")</f>
        <v>3</v>
      </c>
      <c r="V80" s="260" t="str">
        <f>IF(0 = 1,ROUND(1250, 1),"")</f>
        <v/>
      </c>
      <c r="W80" s="260" t="str">
        <f>IF(0 = 1,ROUND(12, 3),"")</f>
        <v/>
      </c>
      <c r="X80" s="260" t="str">
        <f>IF(0 = 1,ROUND(100, 1),"")</f>
        <v/>
      </c>
      <c r="Y80" s="260" t="str">
        <f>IF(0 = 1,ROUND(0, 1),"")</f>
        <v/>
      </c>
      <c r="Z80" s="260" t="str">
        <f>IF(0 = 1,ROUND(0, 3),"")</f>
        <v/>
      </c>
      <c r="AA80" s="242" t="str">
        <f>IF(0 = 1,CHOOSE(0 + 1, 1.3,1.5),"")</f>
        <v/>
      </c>
      <c r="AB80" s="60" t="str">
        <f>IF(0 = 1,ROUND(0, 1),"")</f>
        <v/>
      </c>
      <c r="AC80" s="260" t="str">
        <f>IF(0 = 1,ROUND(3, 1),"")</f>
        <v/>
      </c>
      <c r="AD80" s="260"/>
      <c r="AE80" s="260"/>
      <c r="AF80" s="260"/>
      <c r="AG80" s="260"/>
      <c r="AH80" s="268"/>
      <c r="AI80" s="53" t="s">
        <v>6050</v>
      </c>
    </row>
    <row r="81" spans="1:35">
      <c r="A81" s="105" t="s">
        <v>6051</v>
      </c>
      <c r="B81" s="127" t="str">
        <f>IF(TRIM("BUS_line1_223") = "", "BUS_line1_223", "BUS_line1_223")</f>
        <v>BUS_line1_223</v>
      </c>
      <c r="C81" s="58" t="str">
        <f>IF(TRIM("BUS_CNODE_JCT__1441") = "", "BUS_CNODE_JCT__1441", "BUS_CNODE_JCT__1441")</f>
        <v>BUS_CNODE_JCT__1441</v>
      </c>
      <c r="D81" s="105" t="str">
        <f>IF(TRUE = TRUE, "Yes", "No")</f>
        <v>Yes</v>
      </c>
      <c r="E81" s="105" t="s">
        <v>5202</v>
      </c>
      <c r="F81" s="105" t="s">
        <v>5910</v>
      </c>
      <c r="G81" s="105"/>
      <c r="H81" s="105" t="str">
        <f>IF(0 = 0, "ANSI", "IEC")</f>
        <v>ANSI</v>
      </c>
      <c r="I81" s="105" t="str">
        <f>IF(1 = 0, "No", "Yes")</f>
        <v>Yes</v>
      </c>
      <c r="J81" s="105" t="str">
        <f>IF(0 = 1, "Yes", "No")</f>
        <v>No</v>
      </c>
      <c r="K81" s="105" t="str">
        <f>IF(0 = 0,"none","none")</f>
        <v>none</v>
      </c>
      <c r="L81" s="105" t="str">
        <f>IF(0 = 0,"none","none")</f>
        <v>none</v>
      </c>
      <c r="M81" s="105">
        <f>IF(0 = 0, ROUND(0, 1), "")</f>
        <v>0</v>
      </c>
      <c r="N81" s="105">
        <f>IF(0 = 0,ROUND(1.00999999, 3),"")</f>
        <v>1.01</v>
      </c>
      <c r="O81" s="266" t="str">
        <f>IF(0 = 0,IF(1 = 0, "Total", "Symmetrical"),"")</f>
        <v>Symmetrical</v>
      </c>
      <c r="P81" s="260">
        <f>IF(0 = 0,ROUND(0, 1),"")</f>
        <v>0</v>
      </c>
      <c r="Q81" s="105">
        <f>IF(0 = 0,ROUND(0, 1),"")</f>
        <v>0</v>
      </c>
      <c r="R81" s="105">
        <f>IF(0 = 0,ROUND(0, 1),"")</f>
        <v>0</v>
      </c>
      <c r="S81" s="260">
        <f>IF(0 = 0,ROUND(0, 1),"")</f>
        <v>0</v>
      </c>
      <c r="T81" s="242">
        <f>IF(0 = 0,CHOOSE(1 + 1, 3,5,8,2),"")</f>
        <v>5</v>
      </c>
      <c r="U81" s="267" t="str">
        <f>IF(0 = 0,"3","")</f>
        <v>3</v>
      </c>
      <c r="V81" s="260" t="str">
        <f>IF(0 = 1,ROUND(1250, 1),"")</f>
        <v/>
      </c>
      <c r="W81" s="260" t="str">
        <f>IF(0 = 1,ROUND(12, 3),"")</f>
        <v/>
      </c>
      <c r="X81" s="260" t="str">
        <f>IF(0 = 1,ROUND(100, 1),"")</f>
        <v/>
      </c>
      <c r="Y81" s="260" t="str">
        <f>IF(0 = 1,ROUND(0, 1),"")</f>
        <v/>
      </c>
      <c r="Z81" s="260" t="str">
        <f>IF(0 = 1,ROUND(0, 3),"")</f>
        <v/>
      </c>
      <c r="AA81" s="242" t="str">
        <f>IF(0 = 1,CHOOSE(0 + 1, 1.3,1.5),"")</f>
        <v/>
      </c>
      <c r="AB81" s="60" t="str">
        <f>IF(0 = 1,ROUND(0, 1),"")</f>
        <v/>
      </c>
      <c r="AC81" s="260" t="str">
        <f>IF(0 = 1,ROUND(3, 1),"")</f>
        <v/>
      </c>
      <c r="AD81" s="260"/>
      <c r="AE81" s="260"/>
      <c r="AF81" s="260"/>
      <c r="AG81" s="260"/>
      <c r="AH81" s="268"/>
      <c r="AI81" s="53" t="s">
        <v>6052</v>
      </c>
    </row>
    <row r="82" spans="1:35">
      <c r="A82" s="105" t="s">
        <v>6053</v>
      </c>
      <c r="B82" s="127" t="str">
        <f>IF(TRIM("BUS_line1_223") = "", "BUS_line1_223", "BUS_line1_223")</f>
        <v>BUS_line1_223</v>
      </c>
      <c r="C82" s="58" t="str">
        <f>IF(TRIM("BUS_CNODE_JCT__1442") = "", "BUS_CNODE_JCT__1442", "BUS_CNODE_JCT__1442")</f>
        <v>BUS_CNODE_JCT__1442</v>
      </c>
      <c r="D82" s="105" t="str">
        <f>IF(TRUE = TRUE, "Yes", "No")</f>
        <v>Yes</v>
      </c>
      <c r="E82" s="105" t="s">
        <v>5202</v>
      </c>
      <c r="F82" s="105" t="s">
        <v>5910</v>
      </c>
      <c r="G82" s="105"/>
      <c r="H82" s="105" t="str">
        <f>IF(0 = 0, "ANSI", "IEC")</f>
        <v>ANSI</v>
      </c>
      <c r="I82" s="105" t="str">
        <f>IF(1 = 0, "No", "Yes")</f>
        <v>Yes</v>
      </c>
      <c r="J82" s="105" t="str">
        <f>IF(0 = 1, "Yes", "No")</f>
        <v>No</v>
      </c>
      <c r="K82" s="105" t="str">
        <f>IF(0 = 0,"none","none")</f>
        <v>none</v>
      </c>
      <c r="L82" s="105" t="str">
        <f>IF(0 = 0,"none","none")</f>
        <v>none</v>
      </c>
      <c r="M82" s="105">
        <f>IF(0 = 0, ROUND(0, 1), "")</f>
        <v>0</v>
      </c>
      <c r="N82" s="105">
        <f>IF(0 = 0,ROUND(1.00999999, 3),"")</f>
        <v>1.01</v>
      </c>
      <c r="O82" s="266" t="str">
        <f>IF(0 = 0,IF(1 = 0, "Total", "Symmetrical"),"")</f>
        <v>Symmetrical</v>
      </c>
      <c r="P82" s="260">
        <f>IF(0 = 0,ROUND(0, 1),"")</f>
        <v>0</v>
      </c>
      <c r="Q82" s="105">
        <f>IF(0 = 0,ROUND(0, 1),"")</f>
        <v>0</v>
      </c>
      <c r="R82" s="105">
        <f>IF(0 = 0,ROUND(0, 1),"")</f>
        <v>0</v>
      </c>
      <c r="S82" s="260">
        <f>IF(0 = 0,ROUND(0, 1),"")</f>
        <v>0</v>
      </c>
      <c r="T82" s="242">
        <f>IF(0 = 0,CHOOSE(1 + 1, 3,5,8,2),"")</f>
        <v>5</v>
      </c>
      <c r="U82" s="267" t="str">
        <f>IF(0 = 0,"3","")</f>
        <v>3</v>
      </c>
      <c r="V82" s="260" t="str">
        <f>IF(0 = 1,ROUND(1250, 1),"")</f>
        <v/>
      </c>
      <c r="W82" s="260" t="str">
        <f>IF(0 = 1,ROUND(12, 3),"")</f>
        <v/>
      </c>
      <c r="X82" s="260" t="str">
        <f>IF(0 = 1,ROUND(100, 1),"")</f>
        <v/>
      </c>
      <c r="Y82" s="260" t="str">
        <f>IF(0 = 1,ROUND(0, 1),"")</f>
        <v/>
      </c>
      <c r="Z82" s="260" t="str">
        <f>IF(0 = 1,ROUND(0, 3),"")</f>
        <v/>
      </c>
      <c r="AA82" s="242" t="str">
        <f>IF(0 = 1,CHOOSE(0 + 1, 1.3,1.5),"")</f>
        <v/>
      </c>
      <c r="AB82" s="60" t="str">
        <f>IF(0 = 1,ROUND(0, 1),"")</f>
        <v/>
      </c>
      <c r="AC82" s="260" t="str">
        <f>IF(0 = 1,ROUND(3, 1),"")</f>
        <v/>
      </c>
      <c r="AD82" s="260"/>
      <c r="AE82" s="260"/>
      <c r="AF82" s="260"/>
      <c r="AG82" s="260"/>
      <c r="AH82" s="268"/>
      <c r="AI82" s="53" t="s">
        <v>6054</v>
      </c>
    </row>
    <row r="83" spans="1:35">
      <c r="A83" s="105" t="s">
        <v>6055</v>
      </c>
      <c r="B83" s="127" t="str">
        <f>IF(TRIM("BUS_平花苑#3变高压母线_238") = "", "BUS_平花苑#3变高压母线_238", "BUS_平花苑#3变高压母线_238")</f>
        <v>BUS_平花苑#3变高压母线_238</v>
      </c>
      <c r="C83" s="58" t="str">
        <f>IF(TRIM("BUS_CNODE_JCT__1458") = "", "BUS_CNODE_JCT__1458", "BUS_CNODE_JCT__1458")</f>
        <v>BUS_CNODE_JCT__1458</v>
      </c>
      <c r="D83" s="105" t="str">
        <f>IF(TRUE = TRUE, "Yes", "No")</f>
        <v>Yes</v>
      </c>
      <c r="E83" s="105" t="s">
        <v>5202</v>
      </c>
      <c r="F83" s="105" t="s">
        <v>5910</v>
      </c>
      <c r="G83" s="105"/>
      <c r="H83" s="105" t="str">
        <f>IF(0 = 0, "ANSI", "IEC")</f>
        <v>ANSI</v>
      </c>
      <c r="I83" s="105" t="str">
        <f>IF(1 = 0, "No", "Yes")</f>
        <v>Yes</v>
      </c>
      <c r="J83" s="105" t="str">
        <f>IF(0 = 1, "Yes", "No")</f>
        <v>No</v>
      </c>
      <c r="K83" s="105" t="str">
        <f>IF(0 = 0,"none","none")</f>
        <v>none</v>
      </c>
      <c r="L83" s="105" t="str">
        <f>IF(0 = 0,"none","none")</f>
        <v>none</v>
      </c>
      <c r="M83" s="105">
        <f>IF(0 = 0, ROUND(0, 1), "")</f>
        <v>0</v>
      </c>
      <c r="N83" s="105">
        <f>IF(0 = 0,ROUND(1.00999999, 3),"")</f>
        <v>1.01</v>
      </c>
      <c r="O83" s="266" t="str">
        <f>IF(0 = 0,IF(1 = 0, "Total", "Symmetrical"),"")</f>
        <v>Symmetrical</v>
      </c>
      <c r="P83" s="260">
        <f>IF(0 = 0,ROUND(0, 1),"")</f>
        <v>0</v>
      </c>
      <c r="Q83" s="105">
        <f>IF(0 = 0,ROUND(0, 1),"")</f>
        <v>0</v>
      </c>
      <c r="R83" s="105">
        <f>IF(0 = 0,ROUND(0, 1),"")</f>
        <v>0</v>
      </c>
      <c r="S83" s="260">
        <f>IF(0 = 0,ROUND(0, 1),"")</f>
        <v>0</v>
      </c>
      <c r="T83" s="242">
        <f>IF(0 = 0,CHOOSE(1 + 1, 3,5,8,2),"")</f>
        <v>5</v>
      </c>
      <c r="U83" s="267" t="str">
        <f>IF(0 = 0,"3","")</f>
        <v>3</v>
      </c>
      <c r="V83" s="260" t="str">
        <f>IF(0 = 1,ROUND(1250, 1),"")</f>
        <v/>
      </c>
      <c r="W83" s="260" t="str">
        <f>IF(0 = 1,ROUND(12, 3),"")</f>
        <v/>
      </c>
      <c r="X83" s="260" t="str">
        <f>IF(0 = 1,ROUND(100, 1),"")</f>
        <v/>
      </c>
      <c r="Y83" s="260" t="str">
        <f>IF(0 = 1,ROUND(0, 1),"")</f>
        <v/>
      </c>
      <c r="Z83" s="260" t="str">
        <f>IF(0 = 1,ROUND(0, 3),"")</f>
        <v/>
      </c>
      <c r="AA83" s="242" t="str">
        <f>IF(0 = 1,CHOOSE(0 + 1, 1.3,1.5),"")</f>
        <v/>
      </c>
      <c r="AB83" s="60" t="str">
        <f>IF(0 = 1,ROUND(0, 1),"")</f>
        <v/>
      </c>
      <c r="AC83" s="260" t="str">
        <f>IF(0 = 1,ROUND(3, 1),"")</f>
        <v/>
      </c>
      <c r="AD83" s="260"/>
      <c r="AE83" s="260"/>
      <c r="AF83" s="260"/>
      <c r="AG83" s="260"/>
      <c r="AH83" s="268"/>
      <c r="AI83" s="53" t="s">
        <v>6056</v>
      </c>
    </row>
    <row r="84" spans="1:35">
      <c r="A84" s="105" t="s">
        <v>6057</v>
      </c>
      <c r="B84" s="127" t="str">
        <f>IF(TRIM("BUS_平花苑#4变高压母线_239") = "", "BUS_平花苑#4变高压母线_239", "BUS_平花苑#4变高压母线_239")</f>
        <v>BUS_平花苑#4变高压母线_239</v>
      </c>
      <c r="C84" s="58" t="str">
        <f>IF(TRIM("BUS_CNODE_JCT__1459") = "", "BUS_CNODE_JCT__1459", "BUS_CNODE_JCT__1459")</f>
        <v>BUS_CNODE_JCT__1459</v>
      </c>
      <c r="D84" s="105" t="str">
        <f>IF(TRUE = TRUE, "Yes", "No")</f>
        <v>Yes</v>
      </c>
      <c r="E84" s="105" t="s">
        <v>5202</v>
      </c>
      <c r="F84" s="105" t="s">
        <v>5910</v>
      </c>
      <c r="G84" s="105"/>
      <c r="H84" s="105" t="str">
        <f>IF(0 = 0, "ANSI", "IEC")</f>
        <v>ANSI</v>
      </c>
      <c r="I84" s="105" t="str">
        <f>IF(1 = 0, "No", "Yes")</f>
        <v>Yes</v>
      </c>
      <c r="J84" s="105" t="str">
        <f>IF(0 = 1, "Yes", "No")</f>
        <v>No</v>
      </c>
      <c r="K84" s="105" t="str">
        <f>IF(0 = 0,"none","none")</f>
        <v>none</v>
      </c>
      <c r="L84" s="105" t="str">
        <f>IF(0 = 0,"none","none")</f>
        <v>none</v>
      </c>
      <c r="M84" s="105">
        <f>IF(0 = 0, ROUND(0, 1), "")</f>
        <v>0</v>
      </c>
      <c r="N84" s="105">
        <f>IF(0 = 0,ROUND(1.00999999, 3),"")</f>
        <v>1.01</v>
      </c>
      <c r="O84" s="266" t="str">
        <f>IF(0 = 0,IF(1 = 0, "Total", "Symmetrical"),"")</f>
        <v>Symmetrical</v>
      </c>
      <c r="P84" s="260">
        <f>IF(0 = 0,ROUND(0, 1),"")</f>
        <v>0</v>
      </c>
      <c r="Q84" s="105">
        <f>IF(0 = 0,ROUND(0, 1),"")</f>
        <v>0</v>
      </c>
      <c r="R84" s="105">
        <f>IF(0 = 0,ROUND(0, 1),"")</f>
        <v>0</v>
      </c>
      <c r="S84" s="260">
        <f>IF(0 = 0,ROUND(0, 1),"")</f>
        <v>0</v>
      </c>
      <c r="T84" s="242">
        <f>IF(0 = 0,CHOOSE(1 + 1, 3,5,8,2),"")</f>
        <v>5</v>
      </c>
      <c r="U84" s="267" t="str">
        <f>IF(0 = 0,"3","")</f>
        <v>3</v>
      </c>
      <c r="V84" s="260" t="str">
        <f>IF(0 = 1,ROUND(1250, 1),"")</f>
        <v/>
      </c>
      <c r="W84" s="260" t="str">
        <f>IF(0 = 1,ROUND(12, 3),"")</f>
        <v/>
      </c>
      <c r="X84" s="260" t="str">
        <f>IF(0 = 1,ROUND(100, 1),"")</f>
        <v/>
      </c>
      <c r="Y84" s="260" t="str">
        <f>IF(0 = 1,ROUND(0, 1),"")</f>
        <v/>
      </c>
      <c r="Z84" s="260" t="str">
        <f>IF(0 = 1,ROUND(0, 3),"")</f>
        <v/>
      </c>
      <c r="AA84" s="242" t="str">
        <f>IF(0 = 1,CHOOSE(0 + 1, 1.3,1.5),"")</f>
        <v/>
      </c>
      <c r="AB84" s="60" t="str">
        <f>IF(0 = 1,ROUND(0, 1),"")</f>
        <v/>
      </c>
      <c r="AC84" s="260" t="str">
        <f>IF(0 = 1,ROUND(3, 1),"")</f>
        <v/>
      </c>
      <c r="AD84" s="260"/>
      <c r="AE84" s="260"/>
      <c r="AF84" s="260"/>
      <c r="AG84" s="260"/>
      <c r="AH84" s="268"/>
      <c r="AI84" s="53" t="s">
        <v>6058</v>
      </c>
    </row>
    <row r="85" spans="1:35">
      <c r="A85" s="105" t="s">
        <v>6059</v>
      </c>
      <c r="B85" s="127" t="str">
        <f>IF(TRIM("BUS_CNODE_JCT__1456") = "", "BUS_CNODE_JCT__1456", "BUS_CNODE_JCT__1456")</f>
        <v>BUS_CNODE_JCT__1456</v>
      </c>
      <c r="C85" s="58" t="str">
        <f>IF(TRIM("BUS_平花苑#5变高压母线_237") = "", "BUS_平花苑#5变高压母线_237", "BUS_平花苑#5变高压母线_237")</f>
        <v>BUS_平花苑#5变高压母线_237</v>
      </c>
      <c r="D85" s="105" t="str">
        <f>IF(TRUE = TRUE, "Yes", "No")</f>
        <v>Yes</v>
      </c>
      <c r="E85" s="105" t="s">
        <v>5202</v>
      </c>
      <c r="F85" s="105" t="s">
        <v>5910</v>
      </c>
      <c r="G85" s="105"/>
      <c r="H85" s="105" t="str">
        <f>IF(0 = 0, "ANSI", "IEC")</f>
        <v>ANSI</v>
      </c>
      <c r="I85" s="105" t="str">
        <f>IF(1 = 0, "No", "Yes")</f>
        <v>Yes</v>
      </c>
      <c r="J85" s="105" t="str">
        <f>IF(0 = 1, "Yes", "No")</f>
        <v>No</v>
      </c>
      <c r="K85" s="105" t="str">
        <f>IF(0 = 0,"none","none")</f>
        <v>none</v>
      </c>
      <c r="L85" s="105" t="str">
        <f>IF(0 = 0,"none","none")</f>
        <v>none</v>
      </c>
      <c r="M85" s="105">
        <f>IF(0 = 0, ROUND(0, 1), "")</f>
        <v>0</v>
      </c>
      <c r="N85" s="105">
        <f>IF(0 = 0,ROUND(1.00999999, 3),"")</f>
        <v>1.01</v>
      </c>
      <c r="O85" s="266" t="str">
        <f>IF(0 = 0,IF(1 = 0, "Total", "Symmetrical"),"")</f>
        <v>Symmetrical</v>
      </c>
      <c r="P85" s="260">
        <f>IF(0 = 0,ROUND(0, 1),"")</f>
        <v>0</v>
      </c>
      <c r="Q85" s="105">
        <f>IF(0 = 0,ROUND(0, 1),"")</f>
        <v>0</v>
      </c>
      <c r="R85" s="105">
        <f>IF(0 = 0,ROUND(0, 1),"")</f>
        <v>0</v>
      </c>
      <c r="S85" s="260">
        <f>IF(0 = 0,ROUND(0, 1),"")</f>
        <v>0</v>
      </c>
      <c r="T85" s="242">
        <f>IF(0 = 0,CHOOSE(1 + 1, 3,5,8,2),"")</f>
        <v>5</v>
      </c>
      <c r="U85" s="267" t="str">
        <f>IF(0 = 0,"3","")</f>
        <v>3</v>
      </c>
      <c r="V85" s="260" t="str">
        <f>IF(0 = 1,ROUND(1250, 1),"")</f>
        <v/>
      </c>
      <c r="W85" s="260" t="str">
        <f>IF(0 = 1,ROUND(12, 3),"")</f>
        <v/>
      </c>
      <c r="X85" s="260" t="str">
        <f>IF(0 = 1,ROUND(100, 1),"")</f>
        <v/>
      </c>
      <c r="Y85" s="260" t="str">
        <f>IF(0 = 1,ROUND(0, 1),"")</f>
        <v/>
      </c>
      <c r="Z85" s="260" t="str">
        <f>IF(0 = 1,ROUND(0, 3),"")</f>
        <v/>
      </c>
      <c r="AA85" s="242" t="str">
        <f>IF(0 = 1,CHOOSE(0 + 1, 1.3,1.5),"")</f>
        <v/>
      </c>
      <c r="AB85" s="60" t="str">
        <f>IF(0 = 1,ROUND(0, 1),"")</f>
        <v/>
      </c>
      <c r="AC85" s="260" t="str">
        <f>IF(0 = 1,ROUND(3, 1),"")</f>
        <v/>
      </c>
      <c r="AD85" s="260"/>
      <c r="AE85" s="260"/>
      <c r="AF85" s="260"/>
      <c r="AG85" s="260"/>
      <c r="AH85" s="268"/>
      <c r="AI85" s="53" t="s">
        <v>6060</v>
      </c>
    </row>
    <row r="86" spans="1:35">
      <c r="A86" s="105" t="s">
        <v>6061</v>
      </c>
      <c r="B86" s="127" t="str">
        <f>IF(TRIM("BUS_平花苑#5变高压母线_237") = "", "BUS_平花苑#5变高压母线_237", "BUS_平花苑#5变高压母线_237")</f>
        <v>BUS_平花苑#5变高压母线_237</v>
      </c>
      <c r="C86" s="58" t="str">
        <f>IF(TRIM("BUS_CNODE_JCT__1457") = "", "BUS_CNODE_JCT__1457", "BUS_CNODE_JCT__1457")</f>
        <v>BUS_CNODE_JCT__1457</v>
      </c>
      <c r="D86" s="105" t="str">
        <f>IF(TRUE = TRUE, "Yes", "No")</f>
        <v>Yes</v>
      </c>
      <c r="E86" s="105" t="s">
        <v>5202</v>
      </c>
      <c r="F86" s="105" t="s">
        <v>5910</v>
      </c>
      <c r="G86" s="105"/>
      <c r="H86" s="105" t="str">
        <f>IF(0 = 0, "ANSI", "IEC")</f>
        <v>ANSI</v>
      </c>
      <c r="I86" s="105" t="str">
        <f>IF(1 = 0, "No", "Yes")</f>
        <v>Yes</v>
      </c>
      <c r="J86" s="105" t="str">
        <f>IF(0 = 1, "Yes", "No")</f>
        <v>No</v>
      </c>
      <c r="K86" s="105" t="str">
        <f>IF(0 = 0,"none","none")</f>
        <v>none</v>
      </c>
      <c r="L86" s="105" t="str">
        <f>IF(0 = 0,"none","none")</f>
        <v>none</v>
      </c>
      <c r="M86" s="105">
        <f>IF(0 = 0, ROUND(0, 1), "")</f>
        <v>0</v>
      </c>
      <c r="N86" s="105">
        <f>IF(0 = 0,ROUND(1.00999999, 3),"")</f>
        <v>1.01</v>
      </c>
      <c r="O86" s="266" t="str">
        <f>IF(0 = 0,IF(1 = 0, "Total", "Symmetrical"),"")</f>
        <v>Symmetrical</v>
      </c>
      <c r="P86" s="260">
        <f>IF(0 = 0,ROUND(0, 1),"")</f>
        <v>0</v>
      </c>
      <c r="Q86" s="105">
        <f>IF(0 = 0,ROUND(0, 1),"")</f>
        <v>0</v>
      </c>
      <c r="R86" s="105">
        <f>IF(0 = 0,ROUND(0, 1),"")</f>
        <v>0</v>
      </c>
      <c r="S86" s="260">
        <f>IF(0 = 0,ROUND(0, 1),"")</f>
        <v>0</v>
      </c>
      <c r="T86" s="242">
        <f>IF(0 = 0,CHOOSE(1 + 1, 3,5,8,2),"")</f>
        <v>5</v>
      </c>
      <c r="U86" s="267" t="str">
        <f>IF(0 = 0,"3","")</f>
        <v>3</v>
      </c>
      <c r="V86" s="260" t="str">
        <f>IF(0 = 1,ROUND(1250, 1),"")</f>
        <v/>
      </c>
      <c r="W86" s="260" t="str">
        <f>IF(0 = 1,ROUND(12, 3),"")</f>
        <v/>
      </c>
      <c r="X86" s="260" t="str">
        <f>IF(0 = 1,ROUND(100, 1),"")</f>
        <v/>
      </c>
      <c r="Y86" s="260" t="str">
        <f>IF(0 = 1,ROUND(0, 1),"")</f>
        <v/>
      </c>
      <c r="Z86" s="260" t="str">
        <f>IF(0 = 1,ROUND(0, 3),"")</f>
        <v/>
      </c>
      <c r="AA86" s="242" t="str">
        <f>IF(0 = 1,CHOOSE(0 + 1, 1.3,1.5),"")</f>
        <v/>
      </c>
      <c r="AB86" s="60" t="str">
        <f>IF(0 = 1,ROUND(0, 1),"")</f>
        <v/>
      </c>
      <c r="AC86" s="260" t="str">
        <f>IF(0 = 1,ROUND(3, 1),"")</f>
        <v/>
      </c>
      <c r="AD86" s="260"/>
      <c r="AE86" s="260"/>
      <c r="AF86" s="260"/>
      <c r="AG86" s="260"/>
      <c r="AH86" s="268"/>
      <c r="AI86" s="53" t="s">
        <v>6062</v>
      </c>
    </row>
    <row r="87" spans="1:35">
      <c r="A87" s="105" t="s">
        <v>6063</v>
      </c>
      <c r="B87" s="127" t="str">
        <f>IF(TRIM("BUS_line1_236") = "", "BUS_line1_236", "BUS_line1_236")</f>
        <v>BUS_line1_236</v>
      </c>
      <c r="C87" s="58" t="str">
        <f>IF(TRIM("BUS_CNODE_JCT__1455") = "", "BUS_CNODE_JCT__1455", "BUS_CNODE_JCT__1455")</f>
        <v>BUS_CNODE_JCT__1455</v>
      </c>
      <c r="D87" s="105" t="str">
        <f>IF(TRUE = TRUE, "Yes", "No")</f>
        <v>Yes</v>
      </c>
      <c r="E87" s="105" t="s">
        <v>5202</v>
      </c>
      <c r="F87" s="105" t="s">
        <v>5910</v>
      </c>
      <c r="G87" s="105"/>
      <c r="H87" s="105" t="str">
        <f>IF(0 = 0, "ANSI", "IEC")</f>
        <v>ANSI</v>
      </c>
      <c r="I87" s="105" t="str">
        <f>IF(1 = 0, "No", "Yes")</f>
        <v>Yes</v>
      </c>
      <c r="J87" s="105" t="str">
        <f>IF(0 = 1, "Yes", "No")</f>
        <v>No</v>
      </c>
      <c r="K87" s="105" t="str">
        <f>IF(0 = 0,"none","none")</f>
        <v>none</v>
      </c>
      <c r="L87" s="105" t="str">
        <f>IF(0 = 0,"none","none")</f>
        <v>none</v>
      </c>
      <c r="M87" s="105">
        <f>IF(0 = 0, ROUND(0, 1), "")</f>
        <v>0</v>
      </c>
      <c r="N87" s="105">
        <f>IF(0 = 0,ROUND(1.00999999, 3),"")</f>
        <v>1.01</v>
      </c>
      <c r="O87" s="266" t="str">
        <f>IF(0 = 0,IF(1 = 0, "Total", "Symmetrical"),"")</f>
        <v>Symmetrical</v>
      </c>
      <c r="P87" s="260">
        <f>IF(0 = 0,ROUND(0, 1),"")</f>
        <v>0</v>
      </c>
      <c r="Q87" s="105">
        <f>IF(0 = 0,ROUND(0, 1),"")</f>
        <v>0</v>
      </c>
      <c r="R87" s="105">
        <f>IF(0 = 0,ROUND(0, 1),"")</f>
        <v>0</v>
      </c>
      <c r="S87" s="260">
        <f>IF(0 = 0,ROUND(0, 1),"")</f>
        <v>0</v>
      </c>
      <c r="T87" s="242">
        <f>IF(0 = 0,CHOOSE(1 + 1, 3,5,8,2),"")</f>
        <v>5</v>
      </c>
      <c r="U87" s="267" t="str">
        <f>IF(0 = 0,"3","")</f>
        <v>3</v>
      </c>
      <c r="V87" s="260" t="str">
        <f>IF(0 = 1,ROUND(1250, 1),"")</f>
        <v/>
      </c>
      <c r="W87" s="260" t="str">
        <f>IF(0 = 1,ROUND(12, 3),"")</f>
        <v/>
      </c>
      <c r="X87" s="260" t="str">
        <f>IF(0 = 1,ROUND(100, 1),"")</f>
        <v/>
      </c>
      <c r="Y87" s="260" t="str">
        <f>IF(0 = 1,ROUND(0, 1),"")</f>
        <v/>
      </c>
      <c r="Z87" s="260" t="str">
        <f>IF(0 = 1,ROUND(0, 3),"")</f>
        <v/>
      </c>
      <c r="AA87" s="242" t="str">
        <f>IF(0 = 1,CHOOSE(0 + 1, 1.3,1.5),"")</f>
        <v/>
      </c>
      <c r="AB87" s="60" t="str">
        <f>IF(0 = 1,ROUND(0, 1),"")</f>
        <v/>
      </c>
      <c r="AC87" s="260" t="str">
        <f>IF(0 = 1,ROUND(3, 1),"")</f>
        <v/>
      </c>
      <c r="AD87" s="260"/>
      <c r="AE87" s="260"/>
      <c r="AF87" s="260"/>
      <c r="AG87" s="260"/>
      <c r="AH87" s="268"/>
      <c r="AI87" s="53" t="s">
        <v>6064</v>
      </c>
    </row>
    <row r="88" spans="1:35">
      <c r="A88" s="105" t="s">
        <v>6065</v>
      </c>
      <c r="B88" s="127" t="str">
        <f>IF(TRIM("BUS_苑#7变高压间隔母线_235") = "", "BUS_苑#7变高压间隔母线_235", "BUS_苑#7变高压间隔母线_235")</f>
        <v>BUS_苑#7变高压间隔母线_235</v>
      </c>
      <c r="C88" s="58" t="str">
        <f>IF(TRIM("BUS_CNODE_JCT__1454") = "", "BUS_CNODE_JCT__1454", "BUS_CNODE_JCT__1454")</f>
        <v>BUS_CNODE_JCT__1454</v>
      </c>
      <c r="D88" s="105" t="str">
        <f>IF(TRUE = TRUE, "Yes", "No")</f>
        <v>Yes</v>
      </c>
      <c r="E88" s="105" t="s">
        <v>5202</v>
      </c>
      <c r="F88" s="105" t="s">
        <v>5910</v>
      </c>
      <c r="G88" s="105"/>
      <c r="H88" s="105" t="str">
        <f>IF(0 = 0, "ANSI", "IEC")</f>
        <v>ANSI</v>
      </c>
      <c r="I88" s="105" t="str">
        <f>IF(1 = 0, "No", "Yes")</f>
        <v>Yes</v>
      </c>
      <c r="J88" s="105" t="str">
        <f>IF(0 = 1, "Yes", "No")</f>
        <v>No</v>
      </c>
      <c r="K88" s="105" t="str">
        <f>IF(0 = 0,"none","none")</f>
        <v>none</v>
      </c>
      <c r="L88" s="105" t="str">
        <f>IF(0 = 0,"none","none")</f>
        <v>none</v>
      </c>
      <c r="M88" s="105">
        <f>IF(0 = 0, ROUND(0, 1), "")</f>
        <v>0</v>
      </c>
      <c r="N88" s="105">
        <f>IF(0 = 0,ROUND(1.00999999, 3),"")</f>
        <v>1.01</v>
      </c>
      <c r="O88" s="266" t="str">
        <f>IF(0 = 0,IF(1 = 0, "Total", "Symmetrical"),"")</f>
        <v>Symmetrical</v>
      </c>
      <c r="P88" s="260">
        <f>IF(0 = 0,ROUND(0, 1),"")</f>
        <v>0</v>
      </c>
      <c r="Q88" s="105">
        <f>IF(0 = 0,ROUND(0, 1),"")</f>
        <v>0</v>
      </c>
      <c r="R88" s="105">
        <f>IF(0 = 0,ROUND(0, 1),"")</f>
        <v>0</v>
      </c>
      <c r="S88" s="260">
        <f>IF(0 = 0,ROUND(0, 1),"")</f>
        <v>0</v>
      </c>
      <c r="T88" s="242">
        <f>IF(0 = 0,CHOOSE(1 + 1, 3,5,8,2),"")</f>
        <v>5</v>
      </c>
      <c r="U88" s="267" t="str">
        <f>IF(0 = 0,"3","")</f>
        <v>3</v>
      </c>
      <c r="V88" s="260" t="str">
        <f>IF(0 = 1,ROUND(1250, 1),"")</f>
        <v/>
      </c>
      <c r="W88" s="260" t="str">
        <f>IF(0 = 1,ROUND(12, 3),"")</f>
        <v/>
      </c>
      <c r="X88" s="260" t="str">
        <f>IF(0 = 1,ROUND(100, 1),"")</f>
        <v/>
      </c>
      <c r="Y88" s="260" t="str">
        <f>IF(0 = 1,ROUND(0, 1),"")</f>
        <v/>
      </c>
      <c r="Z88" s="260" t="str">
        <f>IF(0 = 1,ROUND(0, 3),"")</f>
        <v/>
      </c>
      <c r="AA88" s="242" t="str">
        <f>IF(0 = 1,CHOOSE(0 + 1, 1.3,1.5),"")</f>
        <v/>
      </c>
      <c r="AB88" s="60" t="str">
        <f>IF(0 = 1,ROUND(0, 1),"")</f>
        <v/>
      </c>
      <c r="AC88" s="260" t="str">
        <f>IF(0 = 1,ROUND(3, 1),"")</f>
        <v/>
      </c>
      <c r="AD88" s="260"/>
      <c r="AE88" s="260"/>
      <c r="AF88" s="260"/>
      <c r="AG88" s="260"/>
      <c r="AH88" s="268"/>
      <c r="AI88" s="53" t="s">
        <v>6066</v>
      </c>
    </row>
    <row r="89" spans="1:35">
      <c r="A89" s="105" t="s">
        <v>6067</v>
      </c>
      <c r="B89" s="127" t="str">
        <f>IF(TRIM("BUS_花苑#8变高压母线1_233") = "", "BUS_花苑#8变高压母线1_233", "BUS_花苑#8变高压母线1_233")</f>
        <v>BUS_花苑#8变高压母线1_233</v>
      </c>
      <c r="C89" s="58" t="str">
        <f>IF(TRIM("BUS_CNODE_JCT__1452") = "", "BUS_CNODE_JCT__1452", "BUS_CNODE_JCT__1452")</f>
        <v>BUS_CNODE_JCT__1452</v>
      </c>
      <c r="D89" s="105" t="str">
        <f>IF(TRUE = TRUE, "Yes", "No")</f>
        <v>Yes</v>
      </c>
      <c r="E89" s="105" t="s">
        <v>5202</v>
      </c>
      <c r="F89" s="105" t="s">
        <v>5910</v>
      </c>
      <c r="G89" s="105"/>
      <c r="H89" s="105" t="str">
        <f>IF(0 = 0, "ANSI", "IEC")</f>
        <v>ANSI</v>
      </c>
      <c r="I89" s="105" t="str">
        <f>IF(1 = 0, "No", "Yes")</f>
        <v>Yes</v>
      </c>
      <c r="J89" s="105" t="str">
        <f>IF(0 = 1, "Yes", "No")</f>
        <v>No</v>
      </c>
      <c r="K89" s="105" t="str">
        <f>IF(0 = 0,"none","none")</f>
        <v>none</v>
      </c>
      <c r="L89" s="105" t="str">
        <f>IF(0 = 0,"none","none")</f>
        <v>none</v>
      </c>
      <c r="M89" s="105">
        <f>IF(0 = 0, ROUND(0, 1), "")</f>
        <v>0</v>
      </c>
      <c r="N89" s="105">
        <f>IF(0 = 0,ROUND(1.00999999, 3),"")</f>
        <v>1.01</v>
      </c>
      <c r="O89" s="266" t="str">
        <f>IF(0 = 0,IF(1 = 0, "Total", "Symmetrical"),"")</f>
        <v>Symmetrical</v>
      </c>
      <c r="P89" s="260">
        <f>IF(0 = 0,ROUND(0, 1),"")</f>
        <v>0</v>
      </c>
      <c r="Q89" s="105">
        <f>IF(0 = 0,ROUND(0, 1),"")</f>
        <v>0</v>
      </c>
      <c r="R89" s="105">
        <f>IF(0 = 0,ROUND(0, 1),"")</f>
        <v>0</v>
      </c>
      <c r="S89" s="260">
        <f>IF(0 = 0,ROUND(0, 1),"")</f>
        <v>0</v>
      </c>
      <c r="T89" s="242">
        <f>IF(0 = 0,CHOOSE(1 + 1, 3,5,8,2),"")</f>
        <v>5</v>
      </c>
      <c r="U89" s="267" t="str">
        <f>IF(0 = 0,"3","")</f>
        <v>3</v>
      </c>
      <c r="V89" s="260" t="str">
        <f>IF(0 = 1,ROUND(1250, 1),"")</f>
        <v/>
      </c>
      <c r="W89" s="260" t="str">
        <f>IF(0 = 1,ROUND(12, 3),"")</f>
        <v/>
      </c>
      <c r="X89" s="260" t="str">
        <f>IF(0 = 1,ROUND(100, 1),"")</f>
        <v/>
      </c>
      <c r="Y89" s="260" t="str">
        <f>IF(0 = 1,ROUND(0, 1),"")</f>
        <v/>
      </c>
      <c r="Z89" s="260" t="str">
        <f>IF(0 = 1,ROUND(0, 3),"")</f>
        <v/>
      </c>
      <c r="AA89" s="242" t="str">
        <f>IF(0 = 1,CHOOSE(0 + 1, 1.3,1.5),"")</f>
        <v/>
      </c>
      <c r="AB89" s="60" t="str">
        <f>IF(0 = 1,ROUND(0, 1),"")</f>
        <v/>
      </c>
      <c r="AC89" s="260" t="str">
        <f>IF(0 = 1,ROUND(3, 1),"")</f>
        <v/>
      </c>
      <c r="AD89" s="260"/>
      <c r="AE89" s="260"/>
      <c r="AF89" s="260"/>
      <c r="AG89" s="260"/>
      <c r="AH89" s="268"/>
      <c r="AI89" s="53" t="s">
        <v>6068</v>
      </c>
    </row>
    <row r="90" spans="1:35">
      <c r="A90" s="105" t="s">
        <v>6069</v>
      </c>
      <c r="B90" s="127" t="str">
        <f>IF(TRIM("BUS_苑#9变高压间隔母线_240") = "", "BUS_苑#9变高压间隔母线_240", "BUS_苑#9变高压间隔母线_240")</f>
        <v>BUS_苑#9变高压间隔母线_240</v>
      </c>
      <c r="C90" s="58" t="str">
        <f>IF(TRIM("BUS_CNODE_JCT__1460") = "", "BUS_CNODE_JCT__1460", "BUS_CNODE_JCT__1460")</f>
        <v>BUS_CNODE_JCT__1460</v>
      </c>
      <c r="D90" s="105" t="str">
        <f>IF(TRUE = TRUE, "Yes", "No")</f>
        <v>Yes</v>
      </c>
      <c r="E90" s="105" t="s">
        <v>5202</v>
      </c>
      <c r="F90" s="105" t="s">
        <v>5910</v>
      </c>
      <c r="G90" s="105"/>
      <c r="H90" s="105" t="str">
        <f>IF(0 = 0, "ANSI", "IEC")</f>
        <v>ANSI</v>
      </c>
      <c r="I90" s="105" t="str">
        <f>IF(1 = 0, "No", "Yes")</f>
        <v>Yes</v>
      </c>
      <c r="J90" s="105" t="str">
        <f>IF(0 = 1, "Yes", "No")</f>
        <v>No</v>
      </c>
      <c r="K90" s="105" t="str">
        <f>IF(0 = 0,"none","none")</f>
        <v>none</v>
      </c>
      <c r="L90" s="105" t="str">
        <f>IF(0 = 0,"none","none")</f>
        <v>none</v>
      </c>
      <c r="M90" s="105">
        <f>IF(0 = 0, ROUND(0, 1), "")</f>
        <v>0</v>
      </c>
      <c r="N90" s="105">
        <f>IF(0 = 0,ROUND(1.00999999, 3),"")</f>
        <v>1.01</v>
      </c>
      <c r="O90" s="266" t="str">
        <f>IF(0 = 0,IF(1 = 0, "Total", "Symmetrical"),"")</f>
        <v>Symmetrical</v>
      </c>
      <c r="P90" s="260">
        <f>IF(0 = 0,ROUND(0, 1),"")</f>
        <v>0</v>
      </c>
      <c r="Q90" s="105">
        <f>IF(0 = 0,ROUND(0, 1),"")</f>
        <v>0</v>
      </c>
      <c r="R90" s="105">
        <f>IF(0 = 0,ROUND(0, 1),"")</f>
        <v>0</v>
      </c>
      <c r="S90" s="260">
        <f>IF(0 = 0,ROUND(0, 1),"")</f>
        <v>0</v>
      </c>
      <c r="T90" s="242">
        <f>IF(0 = 0,CHOOSE(1 + 1, 3,5,8,2),"")</f>
        <v>5</v>
      </c>
      <c r="U90" s="267" t="str">
        <f>IF(0 = 0,"3","")</f>
        <v>3</v>
      </c>
      <c r="V90" s="260" t="str">
        <f>IF(0 = 1,ROUND(1250, 1),"")</f>
        <v/>
      </c>
      <c r="W90" s="260" t="str">
        <f>IF(0 = 1,ROUND(12, 3),"")</f>
        <v/>
      </c>
      <c r="X90" s="260" t="str">
        <f>IF(0 = 1,ROUND(630, 1),"")</f>
        <v/>
      </c>
      <c r="Y90" s="260" t="str">
        <f>IF(0 = 1,ROUND(0, 1),"")</f>
        <v/>
      </c>
      <c r="Z90" s="260" t="str">
        <f>IF(0 = 1,ROUND(0, 3),"")</f>
        <v/>
      </c>
      <c r="AA90" s="242" t="str">
        <f>IF(0 = 1,CHOOSE(0 + 1, 1.3,1.5),"")</f>
        <v/>
      </c>
      <c r="AB90" s="60" t="str">
        <f>IF(0 = 1,ROUND(0, 1),"")</f>
        <v/>
      </c>
      <c r="AC90" s="260" t="str">
        <f>IF(0 = 1,ROUND(3, 1),"")</f>
        <v/>
      </c>
      <c r="AD90" s="260"/>
      <c r="AE90" s="260"/>
      <c r="AF90" s="260"/>
      <c r="AG90" s="260"/>
      <c r="AH90" s="268"/>
      <c r="AI90" s="53" t="s">
        <v>6070</v>
      </c>
    </row>
    <row r="91" spans="1:35">
      <c r="A91" s="105" t="s">
        <v>6071</v>
      </c>
      <c r="B91" s="127" t="str">
        <f>IF(TRIM("BUS_苑#9变高压间隔母线_240") = "", "BUS_苑#9变高压间隔母线_240", "BUS_苑#9变高压间隔母线_240")</f>
        <v>BUS_苑#9变高压间隔母线_240</v>
      </c>
      <c r="C91" s="58" t="str">
        <f>IF(TRIM("BUS_CNODE_JCT__1461") = "", "BUS_CNODE_JCT__1461", "BUS_CNODE_JCT__1461")</f>
        <v>BUS_CNODE_JCT__1461</v>
      </c>
      <c r="D91" s="105" t="str">
        <f>IF(TRUE = TRUE, "Yes", "No")</f>
        <v>Yes</v>
      </c>
      <c r="E91" s="105" t="s">
        <v>5202</v>
      </c>
      <c r="F91" s="105" t="s">
        <v>5910</v>
      </c>
      <c r="G91" s="105"/>
      <c r="H91" s="105" t="str">
        <f>IF(0 = 0, "ANSI", "IEC")</f>
        <v>ANSI</v>
      </c>
      <c r="I91" s="105" t="str">
        <f>IF(1 = 0, "No", "Yes")</f>
        <v>Yes</v>
      </c>
      <c r="J91" s="105" t="str">
        <f>IF(0 = 1, "Yes", "No")</f>
        <v>No</v>
      </c>
      <c r="K91" s="105" t="str">
        <f>IF(0 = 0,"none","none")</f>
        <v>none</v>
      </c>
      <c r="L91" s="105" t="str">
        <f>IF(0 = 0,"none","none")</f>
        <v>none</v>
      </c>
      <c r="M91" s="105">
        <f>IF(0 = 0, ROUND(0, 1), "")</f>
        <v>0</v>
      </c>
      <c r="N91" s="105">
        <f>IF(0 = 0,ROUND(1.00999999, 3),"")</f>
        <v>1.01</v>
      </c>
      <c r="O91" s="266" t="str">
        <f>IF(0 = 0,IF(1 = 0, "Total", "Symmetrical"),"")</f>
        <v>Symmetrical</v>
      </c>
      <c r="P91" s="260">
        <f>IF(0 = 0,ROUND(0, 1),"")</f>
        <v>0</v>
      </c>
      <c r="Q91" s="105">
        <f>IF(0 = 0,ROUND(0, 1),"")</f>
        <v>0</v>
      </c>
      <c r="R91" s="105">
        <f>IF(0 = 0,ROUND(0, 1),"")</f>
        <v>0</v>
      </c>
      <c r="S91" s="260">
        <f>IF(0 = 0,ROUND(0, 1),"")</f>
        <v>0</v>
      </c>
      <c r="T91" s="242">
        <f>IF(0 = 0,CHOOSE(1 + 1, 3,5,8,2),"")</f>
        <v>5</v>
      </c>
      <c r="U91" s="267" t="str">
        <f>IF(0 = 0,"3","")</f>
        <v>3</v>
      </c>
      <c r="V91" s="260" t="str">
        <f>IF(0 = 1,ROUND(1250, 1),"")</f>
        <v/>
      </c>
      <c r="W91" s="260" t="str">
        <f>IF(0 = 1,ROUND(12, 3),"")</f>
        <v/>
      </c>
      <c r="X91" s="260" t="str">
        <f>IF(0 = 1,ROUND(630, 1),"")</f>
        <v/>
      </c>
      <c r="Y91" s="260" t="str">
        <f>IF(0 = 1,ROUND(0, 1),"")</f>
        <v/>
      </c>
      <c r="Z91" s="260" t="str">
        <f>IF(0 = 1,ROUND(0, 3),"")</f>
        <v/>
      </c>
      <c r="AA91" s="242" t="str">
        <f>IF(0 = 1,CHOOSE(0 + 1, 1.3,1.5),"")</f>
        <v/>
      </c>
      <c r="AB91" s="60" t="str">
        <f>IF(0 = 1,ROUND(0, 1),"")</f>
        <v/>
      </c>
      <c r="AC91" s="260" t="str">
        <f>IF(0 = 1,ROUND(3, 1),"")</f>
        <v/>
      </c>
      <c r="AD91" s="260"/>
      <c r="AE91" s="260"/>
      <c r="AF91" s="260"/>
      <c r="AG91" s="260"/>
      <c r="AH91" s="268"/>
      <c r="AI91" s="53" t="s">
        <v>6072</v>
      </c>
    </row>
    <row r="92" spans="1:35">
      <c r="A92" s="105" t="s">
        <v>6073</v>
      </c>
      <c r="B92" s="127" t="str">
        <f>IF(TRIM("BUS_CNODE_JCT__1401") = "", "BUS_CNODE_JCT__1401", "BUS_CNODE_JCT__1401")</f>
        <v>BUS_CNODE_JCT__1401</v>
      </c>
      <c r="C92" s="58" t="str">
        <f>IF(TRIM("BUS_CNODE_JCT__1352") = "", "BUS_CNODE_JCT__1352", "BUS_CNODE_JCT__1352")</f>
        <v>BUS_CNODE_JCT__1352</v>
      </c>
      <c r="D92" s="105" t="str">
        <f>IF(TRUE = TRUE, "Yes", "No")</f>
        <v>Yes</v>
      </c>
      <c r="E92" s="105" t="s">
        <v>5202</v>
      </c>
      <c r="F92" s="105" t="s">
        <v>5910</v>
      </c>
      <c r="G92" s="105"/>
      <c r="H92" s="105" t="str">
        <f>IF(0 = 0, "ANSI", "IEC")</f>
        <v>ANSI</v>
      </c>
      <c r="I92" s="105" t="str">
        <f>IF(1 = 0, "No", "Yes")</f>
        <v>Yes</v>
      </c>
      <c r="J92" s="105" t="str">
        <f>IF(0 = 1, "Yes", "No")</f>
        <v>No</v>
      </c>
      <c r="K92" s="105" t="str">
        <f>IF(0 = 0,"none","none")</f>
        <v>none</v>
      </c>
      <c r="L92" s="105" t="str">
        <f>IF(0 = 0,"none","none")</f>
        <v>none</v>
      </c>
      <c r="M92" s="105">
        <f>IF(0 = 0, ROUND(0, 1), "")</f>
        <v>0</v>
      </c>
      <c r="N92" s="105">
        <f>IF(0 = 0,ROUND(1.00999999, 3),"")</f>
        <v>1.01</v>
      </c>
      <c r="O92" s="266" t="str">
        <f>IF(0 = 0,IF(1 = 0, "Total", "Symmetrical"),"")</f>
        <v>Symmetrical</v>
      </c>
      <c r="P92" s="260">
        <f>IF(0 = 0,ROUND(0, 1),"")</f>
        <v>0</v>
      </c>
      <c r="Q92" s="105">
        <f>IF(0 = 0,ROUND(0, 1),"")</f>
        <v>0</v>
      </c>
      <c r="R92" s="105">
        <f>IF(0 = 0,ROUND(0, 1),"")</f>
        <v>0</v>
      </c>
      <c r="S92" s="260">
        <f>IF(0 = 0,ROUND(0, 1),"")</f>
        <v>0</v>
      </c>
      <c r="T92" s="242">
        <f>IF(0 = 0,CHOOSE(1 + 1, 3,5,8,2),"")</f>
        <v>5</v>
      </c>
      <c r="U92" s="267" t="str">
        <f>IF(0 = 0,"3","")</f>
        <v>3</v>
      </c>
      <c r="V92" s="260" t="str">
        <f>IF(0 = 1,ROUND(1250, 1),"")</f>
        <v/>
      </c>
      <c r="W92" s="260" t="str">
        <f>IF(0 = 1,ROUND(12, 3),"")</f>
        <v/>
      </c>
      <c r="X92" s="260" t="str">
        <f>IF(0 = 1,ROUND(100, 1),"")</f>
        <v/>
      </c>
      <c r="Y92" s="260" t="str">
        <f>IF(0 = 1,ROUND(0, 1),"")</f>
        <v/>
      </c>
      <c r="Z92" s="260" t="str">
        <f>IF(0 = 1,ROUND(0, 3),"")</f>
        <v/>
      </c>
      <c r="AA92" s="242" t="str">
        <f>IF(0 = 1,CHOOSE(0 + 1, 1.3,1.5),"")</f>
        <v/>
      </c>
      <c r="AB92" s="60" t="str">
        <f>IF(0 = 1,ROUND(0, 1),"")</f>
        <v/>
      </c>
      <c r="AC92" s="260" t="str">
        <f>IF(0 = 1,ROUND(3, 1),"")</f>
        <v/>
      </c>
      <c r="AD92" s="260"/>
      <c r="AE92" s="260"/>
      <c r="AF92" s="260"/>
      <c r="AG92" s="260"/>
      <c r="AH92" s="268"/>
      <c r="AI92" s="53" t="s">
        <v>6074</v>
      </c>
    </row>
    <row r="93" spans="1:35">
      <c r="A93" s="105" t="s">
        <v>6075</v>
      </c>
      <c r="B93" s="127" t="str">
        <f>IF(TRIM("BUS_CNODE_JCT__1397") = "", "BUS_CNODE_JCT__1397", "BUS_CNODE_JCT__1397")</f>
        <v>BUS_CNODE_JCT__1397</v>
      </c>
      <c r="C93" s="58" t="str">
        <f>IF(TRIM("BUS_CNODE_JCT__1344") = "", "BUS_CNODE_JCT__1344", "BUS_CNODE_JCT__1344")</f>
        <v>BUS_CNODE_JCT__1344</v>
      </c>
      <c r="D93" s="105" t="str">
        <f>IF(TRUE = TRUE, "Yes", "No")</f>
        <v>Yes</v>
      </c>
      <c r="E93" s="105" t="s">
        <v>5202</v>
      </c>
      <c r="F93" s="105" t="s">
        <v>5910</v>
      </c>
      <c r="G93" s="105"/>
      <c r="H93" s="105" t="str">
        <f>IF(0 = 0, "ANSI", "IEC")</f>
        <v>ANSI</v>
      </c>
      <c r="I93" s="105" t="str">
        <f>IF(1 = 0, "No", "Yes")</f>
        <v>Yes</v>
      </c>
      <c r="J93" s="105" t="str">
        <f>IF(0 = 1, "Yes", "No")</f>
        <v>No</v>
      </c>
      <c r="K93" s="105" t="str">
        <f>IF(0 = 0,"none","none")</f>
        <v>none</v>
      </c>
      <c r="L93" s="105" t="str">
        <f>IF(0 = 0,"none","none")</f>
        <v>none</v>
      </c>
      <c r="M93" s="105">
        <f>IF(0 = 0, ROUND(0, 1), "")</f>
        <v>0</v>
      </c>
      <c r="N93" s="105">
        <f>IF(0 = 0,ROUND(1.00999999, 3),"")</f>
        <v>1.01</v>
      </c>
      <c r="O93" s="266" t="str">
        <f>IF(0 = 0,IF(1 = 0, "Total", "Symmetrical"),"")</f>
        <v>Symmetrical</v>
      </c>
      <c r="P93" s="260">
        <f>IF(0 = 0,ROUND(0, 1),"")</f>
        <v>0</v>
      </c>
      <c r="Q93" s="105">
        <f>IF(0 = 0,ROUND(0, 1),"")</f>
        <v>0</v>
      </c>
      <c r="R93" s="105">
        <f>IF(0 = 0,ROUND(0, 1),"")</f>
        <v>0</v>
      </c>
      <c r="S93" s="260">
        <f>IF(0 = 0,ROUND(0, 1),"")</f>
        <v>0</v>
      </c>
      <c r="T93" s="242">
        <f>IF(0 = 0,CHOOSE(1 + 1, 3,5,8,2),"")</f>
        <v>5</v>
      </c>
      <c r="U93" s="267" t="str">
        <f>IF(0 = 0,"3","")</f>
        <v>3</v>
      </c>
      <c r="V93" s="260" t="str">
        <f>IF(0 = 1,ROUND(1250, 1),"")</f>
        <v/>
      </c>
      <c r="W93" s="260" t="str">
        <f>IF(0 = 1,ROUND(12, 3),"")</f>
        <v/>
      </c>
      <c r="X93" s="260" t="str">
        <f>IF(0 = 1,ROUND(100, 1),"")</f>
        <v/>
      </c>
      <c r="Y93" s="260" t="str">
        <f>IF(0 = 1,ROUND(0, 1),"")</f>
        <v/>
      </c>
      <c r="Z93" s="260" t="str">
        <f>IF(0 = 1,ROUND(0, 3),"")</f>
        <v/>
      </c>
      <c r="AA93" s="242" t="str">
        <f>IF(0 = 1,CHOOSE(0 + 1, 1.3,1.5),"")</f>
        <v/>
      </c>
      <c r="AB93" s="60" t="str">
        <f>IF(0 = 1,ROUND(0, 1),"")</f>
        <v/>
      </c>
      <c r="AC93" s="260" t="str">
        <f>IF(0 = 1,ROUND(3, 1),"")</f>
        <v/>
      </c>
      <c r="AD93" s="260"/>
      <c r="AE93" s="260"/>
      <c r="AF93" s="260"/>
      <c r="AG93" s="260"/>
      <c r="AH93" s="268"/>
      <c r="AI93" s="53" t="s">
        <v>6076</v>
      </c>
    </row>
    <row r="94" spans="1:35">
      <c r="A94" s="105" t="s">
        <v>6077</v>
      </c>
      <c r="B94" s="127" t="str">
        <f>IF(TRIM("BUS_CNODE_JCT__1387") = "", "BUS_CNODE_JCT__1387", "BUS_CNODE_JCT__1387")</f>
        <v>BUS_CNODE_JCT__1387</v>
      </c>
      <c r="C94" s="58" t="str">
        <f>IF(TRIM("BUS_CNODE_JCT__1288") = "", "BUS_CNODE_JCT__1288", "BUS_CNODE_JCT__1288")</f>
        <v>BUS_CNODE_JCT__1288</v>
      </c>
      <c r="D94" s="105" t="str">
        <f>IF(TRUE = TRUE, "Yes", "No")</f>
        <v>Yes</v>
      </c>
      <c r="E94" s="105" t="s">
        <v>5202</v>
      </c>
      <c r="F94" s="105" t="s">
        <v>5910</v>
      </c>
      <c r="G94" s="105"/>
      <c r="H94" s="105" t="str">
        <f>IF(0 = 0, "ANSI", "IEC")</f>
        <v>ANSI</v>
      </c>
      <c r="I94" s="105" t="str">
        <f>IF(1 = 0, "No", "Yes")</f>
        <v>Yes</v>
      </c>
      <c r="J94" s="105" t="str">
        <f>IF(0 = 1, "Yes", "No")</f>
        <v>No</v>
      </c>
      <c r="K94" s="105" t="str">
        <f>IF(0 = 0,"none","none")</f>
        <v>none</v>
      </c>
      <c r="L94" s="105" t="str">
        <f>IF(0 = 0,"none","none")</f>
        <v>none</v>
      </c>
      <c r="M94" s="105">
        <f>IF(0 = 0, ROUND(0, 1), "")</f>
        <v>0</v>
      </c>
      <c r="N94" s="105">
        <f>IF(0 = 0,ROUND(1.00999999, 3),"")</f>
        <v>1.01</v>
      </c>
      <c r="O94" s="266" t="str">
        <f>IF(0 = 0,IF(1 = 0, "Total", "Symmetrical"),"")</f>
        <v>Symmetrical</v>
      </c>
      <c r="P94" s="260">
        <f>IF(0 = 0,ROUND(0, 1),"")</f>
        <v>0</v>
      </c>
      <c r="Q94" s="105">
        <f>IF(0 = 0,ROUND(0, 1),"")</f>
        <v>0</v>
      </c>
      <c r="R94" s="105">
        <f>IF(0 = 0,ROUND(0, 1),"")</f>
        <v>0</v>
      </c>
      <c r="S94" s="260">
        <f>IF(0 = 0,ROUND(0, 1),"")</f>
        <v>0</v>
      </c>
      <c r="T94" s="242">
        <f>IF(0 = 0,CHOOSE(1 + 1, 3,5,8,2),"")</f>
        <v>5</v>
      </c>
      <c r="U94" s="267" t="str">
        <f>IF(0 = 0,"3","")</f>
        <v>3</v>
      </c>
      <c r="V94" s="260" t="str">
        <f>IF(0 = 1,ROUND(1250, 1),"")</f>
        <v/>
      </c>
      <c r="W94" s="260" t="str">
        <f>IF(0 = 1,ROUND(12, 3),"")</f>
        <v/>
      </c>
      <c r="X94" s="260" t="str">
        <f>IF(0 = 1,ROUND(100, 1),"")</f>
        <v/>
      </c>
      <c r="Y94" s="260" t="str">
        <f>IF(0 = 1,ROUND(0, 1),"")</f>
        <v/>
      </c>
      <c r="Z94" s="260" t="str">
        <f>IF(0 = 1,ROUND(0, 3),"")</f>
        <v/>
      </c>
      <c r="AA94" s="242" t="str">
        <f>IF(0 = 1,CHOOSE(0 + 1, 1.3,1.5),"")</f>
        <v/>
      </c>
      <c r="AB94" s="60" t="str">
        <f>IF(0 = 1,ROUND(0, 1),"")</f>
        <v/>
      </c>
      <c r="AC94" s="260" t="str">
        <f>IF(0 = 1,ROUND(3, 1),"")</f>
        <v/>
      </c>
      <c r="AD94" s="260"/>
      <c r="AE94" s="260"/>
      <c r="AF94" s="260"/>
      <c r="AG94" s="260"/>
      <c r="AH94" s="268"/>
      <c r="AI94" s="53" t="s">
        <v>6078</v>
      </c>
    </row>
    <row r="95" spans="1:35">
      <c r="A95" s="105" t="s">
        <v>6079</v>
      </c>
      <c r="B95" s="127" t="str">
        <f>IF(TRIM("BUS_CNODE_JCT__1400") = "", "BUS_CNODE_JCT__1400", "BUS_CNODE_JCT__1400")</f>
        <v>BUS_CNODE_JCT__1400</v>
      </c>
      <c r="C95" s="58" t="str">
        <f>IF(TRIM("BUS_CNODE_JCT__1422") = "", "BUS_CNODE_JCT__1422", "BUS_CNODE_JCT__1422")</f>
        <v>BUS_CNODE_JCT__1422</v>
      </c>
      <c r="D95" s="105" t="str">
        <f>IF(TRUE = TRUE, "Yes", "No")</f>
        <v>Yes</v>
      </c>
      <c r="E95" s="105" t="s">
        <v>5202</v>
      </c>
      <c r="F95" s="105" t="s">
        <v>5910</v>
      </c>
      <c r="G95" s="105"/>
      <c r="H95" s="105" t="str">
        <f>IF(0 = 0, "ANSI", "IEC")</f>
        <v>ANSI</v>
      </c>
      <c r="I95" s="105" t="str">
        <f>IF(1 = 0, "No", "Yes")</f>
        <v>Yes</v>
      </c>
      <c r="J95" s="105" t="str">
        <f>IF(0 = 1, "Yes", "No")</f>
        <v>No</v>
      </c>
      <c r="K95" s="105" t="str">
        <f>IF(0 = 0,"none","none")</f>
        <v>none</v>
      </c>
      <c r="L95" s="105" t="str">
        <f>IF(0 = 0,"none","none")</f>
        <v>none</v>
      </c>
      <c r="M95" s="105">
        <f>IF(0 = 0, ROUND(0, 1), "")</f>
        <v>0</v>
      </c>
      <c r="N95" s="105">
        <f>IF(0 = 0,ROUND(1.00999999, 3),"")</f>
        <v>1.01</v>
      </c>
      <c r="O95" s="266" t="str">
        <f>IF(0 = 0,IF(1 = 0, "Total", "Symmetrical"),"")</f>
        <v>Symmetrical</v>
      </c>
      <c r="P95" s="260">
        <f>IF(0 = 0,ROUND(0, 1),"")</f>
        <v>0</v>
      </c>
      <c r="Q95" s="105">
        <f>IF(0 = 0,ROUND(0, 1),"")</f>
        <v>0</v>
      </c>
      <c r="R95" s="105">
        <f>IF(0 = 0,ROUND(0, 1),"")</f>
        <v>0</v>
      </c>
      <c r="S95" s="260">
        <f>IF(0 = 0,ROUND(0, 1),"")</f>
        <v>0</v>
      </c>
      <c r="T95" s="242">
        <f>IF(0 = 0,CHOOSE(1 + 1, 3,5,8,2),"")</f>
        <v>5</v>
      </c>
      <c r="U95" s="267" t="str">
        <f>IF(0 = 0,"3","")</f>
        <v>3</v>
      </c>
      <c r="V95" s="260" t="str">
        <f>IF(0 = 1,ROUND(1250, 1),"")</f>
        <v/>
      </c>
      <c r="W95" s="260" t="str">
        <f>IF(0 = 1,ROUND(12, 3),"")</f>
        <v/>
      </c>
      <c r="X95" s="260" t="str">
        <f>IF(0 = 1,ROUND(100, 1),"")</f>
        <v/>
      </c>
      <c r="Y95" s="260" t="str">
        <f>IF(0 = 1,ROUND(0, 1),"")</f>
        <v/>
      </c>
      <c r="Z95" s="260" t="str">
        <f>IF(0 = 1,ROUND(0, 3),"")</f>
        <v/>
      </c>
      <c r="AA95" s="242" t="str">
        <f>IF(0 = 1,CHOOSE(0 + 1, 1.3,1.5),"")</f>
        <v/>
      </c>
      <c r="AB95" s="60" t="str">
        <f>IF(0 = 1,ROUND(0, 1),"")</f>
        <v/>
      </c>
      <c r="AC95" s="260" t="str">
        <f>IF(0 = 1,ROUND(3, 1),"")</f>
        <v/>
      </c>
      <c r="AD95" s="260"/>
      <c r="AE95" s="260"/>
      <c r="AF95" s="260"/>
      <c r="AG95" s="260"/>
      <c r="AH95" s="268"/>
      <c r="AI95" s="53" t="s">
        <v>6080</v>
      </c>
    </row>
    <row r="96" spans="1:35">
      <c r="A96" s="105" t="s">
        <v>6081</v>
      </c>
      <c r="B96" s="127" t="str">
        <f>IF(TRIM("BUS_花苑#8变高压母线1_233") = "", "BUS_花苑#8变高压母线1_233", "BUS_花苑#8变高压母线1_233")</f>
        <v>BUS_花苑#8变高压母线1_233</v>
      </c>
      <c r="C96" s="58" t="str">
        <f>IF(TRIM("BUS_花苑#8变高压母线2_234") = "", "BUS_花苑#8变高压母线2_234", "BUS_花苑#8变高压母线2_234")</f>
        <v>BUS_花苑#8变高压母线2_234</v>
      </c>
      <c r="D96" s="105" t="str">
        <f>IF(TRUE = TRUE, "Yes", "No")</f>
        <v>Yes</v>
      </c>
      <c r="E96" s="105" t="s">
        <v>5202</v>
      </c>
      <c r="F96" s="105" t="s">
        <v>5910</v>
      </c>
      <c r="G96" s="105"/>
      <c r="H96" s="105" t="str">
        <f>IF(0 = 0, "ANSI", "IEC")</f>
        <v>ANSI</v>
      </c>
      <c r="I96" s="105" t="str">
        <f>IF(1 = 0, "No", "Yes")</f>
        <v>Yes</v>
      </c>
      <c r="J96" s="105" t="str">
        <f>IF(0 = 1, "Yes", "No")</f>
        <v>No</v>
      </c>
      <c r="K96" s="105" t="str">
        <f>IF(0 = 0,"none","none")</f>
        <v>none</v>
      </c>
      <c r="L96" s="105" t="str">
        <f>IF(0 = 0,"none","none")</f>
        <v>none</v>
      </c>
      <c r="M96" s="105">
        <f>IF(0 = 0, ROUND(0, 1), "")</f>
        <v>0</v>
      </c>
      <c r="N96" s="105">
        <f>IF(0 = 0,ROUND(1.00999999, 3),"")</f>
        <v>1.01</v>
      </c>
      <c r="O96" s="266" t="str">
        <f>IF(0 = 0,IF(1 = 0, "Total", "Symmetrical"),"")</f>
        <v>Symmetrical</v>
      </c>
      <c r="P96" s="260">
        <f>IF(0 = 0,ROUND(0, 1),"")</f>
        <v>0</v>
      </c>
      <c r="Q96" s="105">
        <f>IF(0 = 0,ROUND(0, 1),"")</f>
        <v>0</v>
      </c>
      <c r="R96" s="105">
        <f>IF(0 = 0,ROUND(0, 1),"")</f>
        <v>0</v>
      </c>
      <c r="S96" s="260">
        <f>IF(0 = 0,ROUND(0, 1),"")</f>
        <v>0</v>
      </c>
      <c r="T96" s="242">
        <f>IF(0 = 0,CHOOSE(1 + 1, 3,5,8,2),"")</f>
        <v>5</v>
      </c>
      <c r="U96" s="267" t="str">
        <f>IF(0 = 0,"3","")</f>
        <v>3</v>
      </c>
      <c r="V96" s="260" t="str">
        <f>IF(0 = 1,ROUND(1250, 1),"")</f>
        <v/>
      </c>
      <c r="W96" s="260" t="str">
        <f>IF(0 = 1,ROUND(12, 3),"")</f>
        <v/>
      </c>
      <c r="X96" s="260" t="str">
        <f>IF(0 = 1,ROUND(630, 1),"")</f>
        <v/>
      </c>
      <c r="Y96" s="260" t="str">
        <f>IF(0 = 1,ROUND(0, 1),"")</f>
        <v/>
      </c>
      <c r="Z96" s="260" t="str">
        <f>IF(0 = 1,ROUND(0, 3),"")</f>
        <v/>
      </c>
      <c r="AA96" s="242" t="str">
        <f>IF(0 = 1,CHOOSE(0 + 1, 1.3,1.5),"")</f>
        <v/>
      </c>
      <c r="AB96" s="60" t="str">
        <f>IF(0 = 1,ROUND(0, 1),"")</f>
        <v/>
      </c>
      <c r="AC96" s="260" t="str">
        <f>IF(0 = 1,ROUND(3, 1),"")</f>
        <v/>
      </c>
      <c r="AD96" s="260"/>
      <c r="AE96" s="260"/>
      <c r="AF96" s="260"/>
      <c r="AG96" s="260"/>
      <c r="AH96" s="268"/>
      <c r="AI96" s="53" t="s">
        <v>6082</v>
      </c>
    </row>
    <row r="97" spans="1:35">
      <c r="A97" s="105" t="s">
        <v>6083</v>
      </c>
      <c r="B97" s="127" t="str">
        <f>IF(TRIM("BUS_CNODE_JCT__1315") = "", "BUS_CNODE_JCT__1315", "BUS_CNODE_JCT__1315")</f>
        <v>BUS_CNODE_JCT__1315</v>
      </c>
      <c r="C97" s="58" t="str">
        <f>IF(TRIM("BUS_航线#4环网柜（自）_200") = "", "BUS_航线#4环网柜（自）_200", "BUS_航线#4环网柜（自）_200")</f>
        <v>BUS_航线#4环网柜（自）_200</v>
      </c>
      <c r="D97" s="105" t="str">
        <f>IF(TRUE = TRUE, "Yes", "No")</f>
        <v>Yes</v>
      </c>
      <c r="E97" s="105" t="s">
        <v>5202</v>
      </c>
      <c r="F97" s="105" t="s">
        <v>5921</v>
      </c>
      <c r="G97" s="105"/>
      <c r="H97" s="105" t="str">
        <f>IF(0 = 0, "ANSI", "IEC")</f>
        <v>ANSI</v>
      </c>
      <c r="I97" s="105" t="str">
        <f>IF(1 = 0, "No", "Yes")</f>
        <v>Yes</v>
      </c>
      <c r="J97" s="105" t="str">
        <f>IF(0 = 1, "Yes", "No")</f>
        <v>No</v>
      </c>
      <c r="K97" s="105" t="str">
        <f>IF(0 = 0,"none","none")</f>
        <v>none</v>
      </c>
      <c r="L97" s="105" t="str">
        <f>IF(0 = 0,"none","none")</f>
        <v>none</v>
      </c>
      <c r="M97" s="105">
        <f>IF(0 = 0, ROUND(0, 1), "")</f>
        <v>0</v>
      </c>
      <c r="N97" s="105">
        <f>IF(0 = 0,ROUND(1.00999999, 3),"")</f>
        <v>1.01</v>
      </c>
      <c r="O97" s="266" t="str">
        <f>IF(0 = 0,IF(1 = 0, "Total", "Symmetrical"),"")</f>
        <v>Symmetrical</v>
      </c>
      <c r="P97" s="260">
        <f>IF(0 = 0,ROUND(0, 1),"")</f>
        <v>0</v>
      </c>
      <c r="Q97" s="105">
        <f>IF(0 = 0,ROUND(0, 1),"")</f>
        <v>0</v>
      </c>
      <c r="R97" s="105">
        <f>IF(0 = 0,ROUND(0, 1),"")</f>
        <v>0</v>
      </c>
      <c r="S97" s="260">
        <f>IF(0 = 0,ROUND(0, 1),"")</f>
        <v>0</v>
      </c>
      <c r="T97" s="242">
        <f>IF(0 = 0,CHOOSE(1 + 1, 3,5,8,2),"")</f>
        <v>5</v>
      </c>
      <c r="U97" s="267" t="str">
        <f>IF(0 = 0,"3","")</f>
        <v>3</v>
      </c>
      <c r="V97" s="260" t="str">
        <f>IF(0 = 1,ROUND(1250, 1),"")</f>
        <v/>
      </c>
      <c r="W97" s="260" t="str">
        <f>IF(0 = 1,ROUND(12, 3),"")</f>
        <v/>
      </c>
      <c r="X97" s="260" t="str">
        <f>IF(0 = 1,ROUND(100, 1),"")</f>
        <v/>
      </c>
      <c r="Y97" s="260" t="str">
        <f>IF(0 = 1,ROUND(0, 1),"")</f>
        <v/>
      </c>
      <c r="Z97" s="260" t="str">
        <f>IF(0 = 1,ROUND(0, 3),"")</f>
        <v/>
      </c>
      <c r="AA97" s="242" t="str">
        <f>IF(0 = 1,CHOOSE(0 + 1, 1.3,1.5),"")</f>
        <v/>
      </c>
      <c r="AB97" s="60" t="str">
        <f>IF(0 = 1,ROUND(0, 1),"")</f>
        <v/>
      </c>
      <c r="AC97" s="260" t="str">
        <f>IF(0 = 1,ROUND(3, 1),"")</f>
        <v/>
      </c>
      <c r="AD97" s="260"/>
      <c r="AE97" s="260"/>
      <c r="AF97" s="260"/>
      <c r="AG97" s="260"/>
      <c r="AH97" s="268"/>
      <c r="AI97" s="53" t="s">
        <v>6084</v>
      </c>
    </row>
    <row r="98" spans="1:35">
      <c r="A98" s="105" t="s">
        <v>6085</v>
      </c>
      <c r="B98" s="127" t="str">
        <f>IF(TRIM("BUS_九龙变_243") = "", "BUS_九龙变_243", "BUS_九龙变_243")</f>
        <v>BUS_九龙变_243</v>
      </c>
      <c r="C98" s="58" t="str">
        <f>IF(TRIM("BUS_CNODE_JCT__1277") = "", "BUS_CNODE_JCT__1277", "BUS_CNODE_JCT__1277")</f>
        <v>BUS_CNODE_JCT__1277</v>
      </c>
      <c r="D98" s="105" t="str">
        <f>IF(TRUE = TRUE, "Yes", "No")</f>
        <v>Yes</v>
      </c>
      <c r="E98" s="105" t="s">
        <v>5202</v>
      </c>
      <c r="F98" s="105" t="s">
        <v>5910</v>
      </c>
      <c r="G98" s="105"/>
      <c r="H98" s="105" t="str">
        <f>IF(0 = 0, "ANSI", "IEC")</f>
        <v>ANSI</v>
      </c>
      <c r="I98" s="105" t="str">
        <f>IF(1 = 0, "No", "Yes")</f>
        <v>Yes</v>
      </c>
      <c r="J98" s="105" t="str">
        <f>IF(0 = 1, "Yes", "No")</f>
        <v>No</v>
      </c>
      <c r="K98" s="105" t="str">
        <f>IF(0 = 0,"none","none")</f>
        <v>none</v>
      </c>
      <c r="L98" s="105" t="str">
        <f>IF(0 = 0,"none","none")</f>
        <v>none</v>
      </c>
      <c r="M98" s="105">
        <f>IF(0 = 0, ROUND(0, 1), "")</f>
        <v>0</v>
      </c>
      <c r="N98" s="105">
        <f>IF(0 = 0,ROUND(1.00999999, 3),"")</f>
        <v>1.01</v>
      </c>
      <c r="O98" s="266" t="str">
        <f>IF(0 = 0,IF(1 = 0, "Total", "Symmetrical"),"")</f>
        <v>Symmetrical</v>
      </c>
      <c r="P98" s="260">
        <f>IF(0 = 0,ROUND(0, 1),"")</f>
        <v>0</v>
      </c>
      <c r="Q98" s="105">
        <f>IF(0 = 0,ROUND(0, 1),"")</f>
        <v>0</v>
      </c>
      <c r="R98" s="105">
        <f>IF(0 = 0,ROUND(0, 1),"")</f>
        <v>0</v>
      </c>
      <c r="S98" s="260">
        <f>IF(0 = 0,ROUND(0, 1),"")</f>
        <v>0</v>
      </c>
      <c r="T98" s="242">
        <f>IF(0 = 0,CHOOSE(1 + 1, 3,5,8,2),"")</f>
        <v>5</v>
      </c>
      <c r="U98" s="267" t="str">
        <f>IF(0 = 0,"3","")</f>
        <v>3</v>
      </c>
      <c r="V98" s="260" t="str">
        <f>IF(0 = 1,ROUND(1250, 1),"")</f>
        <v/>
      </c>
      <c r="W98" s="260" t="str">
        <f>IF(0 = 1,ROUND(12, 3),"")</f>
        <v/>
      </c>
      <c r="X98" s="260" t="str">
        <f>IF(0 = 1,ROUND(1250, 1),"")</f>
        <v/>
      </c>
      <c r="Y98" s="260" t="str">
        <f>IF(0 = 1,ROUND(0, 1),"")</f>
        <v/>
      </c>
      <c r="Z98" s="260" t="str">
        <f>IF(0 = 1,ROUND(0, 3),"")</f>
        <v/>
      </c>
      <c r="AA98" s="242" t="str">
        <f>IF(0 = 1,CHOOSE(0 + 1, 1.3,1.5),"")</f>
        <v/>
      </c>
      <c r="AB98" s="60" t="str">
        <f>IF(0 = 1,ROUND(0, 1),"")</f>
        <v/>
      </c>
      <c r="AC98" s="260" t="str">
        <f>IF(0 = 1,ROUND(3, 1),"")</f>
        <v/>
      </c>
      <c r="AD98" s="260"/>
      <c r="AE98" s="260"/>
      <c r="AF98" s="260"/>
      <c r="AG98" s="260"/>
      <c r="AH98" s="268"/>
      <c r="AI98" s="53" t="s">
        <v>6086</v>
      </c>
    </row>
    <row r="99" spans="1:35">
      <c r="A99" s="105" t="s">
        <v>6087</v>
      </c>
      <c r="B99" s="127" t="str">
        <f>IF(TRIM("BUS_CNODE_JCT__1353") = "", "BUS_CNODE_JCT__1353", "BUS_CNODE_JCT__1353")</f>
        <v>BUS_CNODE_JCT__1353</v>
      </c>
      <c r="C99" s="58" t="str">
        <f>IF(TRIM("BUS_线太平花苑#1环网柜_202") = "", "BUS_线太平花苑#1环网柜_202", "BUS_线太平花苑#1环网柜_202")</f>
        <v>BUS_线太平花苑#1环网柜_202</v>
      </c>
      <c r="D99" s="105" t="str">
        <f>IF(TRUE = TRUE, "Yes", "No")</f>
        <v>Yes</v>
      </c>
      <c r="E99" s="105" t="s">
        <v>5202</v>
      </c>
      <c r="F99" s="105" t="s">
        <v>5910</v>
      </c>
      <c r="G99" s="105"/>
      <c r="H99" s="105" t="str">
        <f>IF(0 = 0, "ANSI", "IEC")</f>
        <v>ANSI</v>
      </c>
      <c r="I99" s="105" t="str">
        <f>IF(1 = 0, "No", "Yes")</f>
        <v>Yes</v>
      </c>
      <c r="J99" s="105" t="str">
        <f>IF(0 = 1, "Yes", "No")</f>
        <v>No</v>
      </c>
      <c r="K99" s="105" t="str">
        <f>IF(0 = 0,"none","none")</f>
        <v>none</v>
      </c>
      <c r="L99" s="105" t="str">
        <f>IF(0 = 0,"none","none")</f>
        <v>none</v>
      </c>
      <c r="M99" s="105">
        <f>IF(0 = 0, ROUND(0, 1), "")</f>
        <v>0</v>
      </c>
      <c r="N99" s="105">
        <f>IF(0 = 0,ROUND(1.00999999, 3),"")</f>
        <v>1.01</v>
      </c>
      <c r="O99" s="266" t="str">
        <f>IF(0 = 0,IF(1 = 0, "Total", "Symmetrical"),"")</f>
        <v>Symmetrical</v>
      </c>
      <c r="P99" s="260">
        <f>IF(0 = 0,ROUND(0, 1),"")</f>
        <v>0</v>
      </c>
      <c r="Q99" s="105">
        <f>IF(0 = 0,ROUND(0, 1),"")</f>
        <v>0</v>
      </c>
      <c r="R99" s="105">
        <f>IF(0 = 0,ROUND(0, 1),"")</f>
        <v>0</v>
      </c>
      <c r="S99" s="260">
        <f>IF(0 = 0,ROUND(0, 1),"")</f>
        <v>0</v>
      </c>
      <c r="T99" s="242">
        <f>IF(0 = 0,CHOOSE(1 + 1, 3,5,8,2),"")</f>
        <v>5</v>
      </c>
      <c r="U99" s="267" t="str">
        <f>IF(0 = 0,"3","")</f>
        <v>3</v>
      </c>
      <c r="V99" s="260" t="str">
        <f>IF(0 = 1,ROUND(1250, 1),"")</f>
        <v/>
      </c>
      <c r="W99" s="260" t="str">
        <f>IF(0 = 1,ROUND(12, 3),"")</f>
        <v/>
      </c>
      <c r="X99" s="260" t="str">
        <f>IF(0 = 1,ROUND(100, 1),"")</f>
        <v/>
      </c>
      <c r="Y99" s="260" t="str">
        <f>IF(0 = 1,ROUND(0, 1),"")</f>
        <v/>
      </c>
      <c r="Z99" s="260" t="str">
        <f>IF(0 = 1,ROUND(0, 3),"")</f>
        <v/>
      </c>
      <c r="AA99" s="242" t="str">
        <f>IF(0 = 1,CHOOSE(0 + 1, 1.3,1.5),"")</f>
        <v/>
      </c>
      <c r="AB99" s="60" t="str">
        <f>IF(0 = 1,ROUND(0, 1),"")</f>
        <v/>
      </c>
      <c r="AC99" s="260" t="str">
        <f>IF(0 = 1,ROUND(3, 1),"")</f>
        <v/>
      </c>
      <c r="AD99" s="260"/>
      <c r="AE99" s="260"/>
      <c r="AF99" s="260"/>
      <c r="AG99" s="260"/>
      <c r="AH99" s="268"/>
      <c r="AI99" s="53" t="s">
        <v>6088</v>
      </c>
    </row>
    <row r="100" spans="1:35">
      <c r="A100" s="105" t="s">
        <v>6089</v>
      </c>
      <c r="B100" s="127" t="str">
        <f>IF(TRIM("BUS_CNODE_JCT__1425") = "", "BUS_CNODE_JCT__1425", "BUS_CNODE_JCT__1425")</f>
        <v>BUS_CNODE_JCT__1425</v>
      </c>
      <c r="C100" s="58" t="str">
        <f>IF(TRIM("BUS_CNODE_JCT__1329") = "", "BUS_CNODE_JCT__1329", "BUS_CNODE_JCT__1329")</f>
        <v>BUS_CNODE_JCT__1329</v>
      </c>
      <c r="D100" s="105" t="str">
        <f>IF(TRUE = TRUE, "Yes", "No")</f>
        <v>Yes</v>
      </c>
      <c r="E100" s="105" t="s">
        <v>5202</v>
      </c>
      <c r="F100" s="105" t="s">
        <v>5910</v>
      </c>
      <c r="G100" s="105"/>
      <c r="H100" s="105" t="str">
        <f>IF(0 = 0, "ANSI", "IEC")</f>
        <v>ANSI</v>
      </c>
      <c r="I100" s="105" t="str">
        <f>IF(1 = 0, "No", "Yes")</f>
        <v>Yes</v>
      </c>
      <c r="J100" s="105" t="str">
        <f>IF(0 = 1, "Yes", "No")</f>
        <v>No</v>
      </c>
      <c r="K100" s="105" t="str">
        <f>IF(0 = 0,"none","none")</f>
        <v>none</v>
      </c>
      <c r="L100" s="105" t="str">
        <f>IF(0 = 0,"none","none")</f>
        <v>none</v>
      </c>
      <c r="M100" s="105">
        <f>IF(0 = 0, ROUND(0, 1), "")</f>
        <v>0</v>
      </c>
      <c r="N100" s="105">
        <f>IF(0 = 0,ROUND(1.00999999, 3),"")</f>
        <v>1.01</v>
      </c>
      <c r="O100" s="266" t="str">
        <f>IF(0 = 0,IF(1 = 0, "Total", "Symmetrical"),"")</f>
        <v>Symmetrical</v>
      </c>
      <c r="P100" s="260">
        <f>IF(0 = 0,ROUND(0, 1),"")</f>
        <v>0</v>
      </c>
      <c r="Q100" s="105">
        <f>IF(0 = 0,ROUND(0, 1),"")</f>
        <v>0</v>
      </c>
      <c r="R100" s="105">
        <f>IF(0 = 0,ROUND(0, 1),"")</f>
        <v>0</v>
      </c>
      <c r="S100" s="260">
        <f>IF(0 = 0,ROUND(0, 1),"")</f>
        <v>0</v>
      </c>
      <c r="T100" s="242">
        <f>IF(0 = 0,CHOOSE(1 + 1, 3,5,8,2),"")</f>
        <v>5</v>
      </c>
      <c r="U100" s="267" t="str">
        <f>IF(0 = 0,"3","")</f>
        <v>3</v>
      </c>
      <c r="V100" s="260" t="str">
        <f>IF(0 = 1,ROUND(1250, 1),"")</f>
        <v/>
      </c>
      <c r="W100" s="260" t="str">
        <f>IF(0 = 1,ROUND(12, 3),"")</f>
        <v/>
      </c>
      <c r="X100" s="260" t="str">
        <f>IF(0 = 1,ROUND(630, 1),"")</f>
        <v/>
      </c>
      <c r="Y100" s="260" t="str">
        <f>IF(0 = 1,ROUND(0, 1),"")</f>
        <v/>
      </c>
      <c r="Z100" s="260" t="str">
        <f>IF(0 = 1,ROUND(0, 3),"")</f>
        <v/>
      </c>
      <c r="AA100" s="242" t="str">
        <f>IF(0 = 1,CHOOSE(0 + 1, 1.3,1.5),"")</f>
        <v/>
      </c>
      <c r="AB100" s="60" t="str">
        <f>IF(0 = 1,ROUND(0, 1),"")</f>
        <v/>
      </c>
      <c r="AC100" s="260" t="str">
        <f>IF(0 = 1,ROUND(3, 1),"")</f>
        <v/>
      </c>
      <c r="AD100" s="260"/>
      <c r="AE100" s="260"/>
      <c r="AF100" s="260"/>
      <c r="AG100" s="260"/>
      <c r="AH100" s="268"/>
      <c r="AI100" s="53" t="s">
        <v>6090</v>
      </c>
    </row>
    <row r="101" spans="1:35">
      <c r="A101" s="105" t="s">
        <v>6091</v>
      </c>
      <c r="B101" s="127" t="str">
        <f>IF(TRIM("BUS_kV爱涛线腾亚环网柜_207") = "", "BUS_kV爱涛线腾亚环网柜_207", "BUS_kV爱涛线腾亚环网柜_207")</f>
        <v>BUS_kV爱涛线腾亚环网柜_207</v>
      </c>
      <c r="C101" s="58" t="str">
        <f>IF(TRIM("BUS_CNODE_JCT__1286") = "", "BUS_CNODE_JCT__1286", "BUS_CNODE_JCT__1286")</f>
        <v>BUS_CNODE_JCT__1286</v>
      </c>
      <c r="D101" s="105" t="str">
        <f>IF(TRUE = TRUE, "Yes", "No")</f>
        <v>Yes</v>
      </c>
      <c r="E101" s="105" t="s">
        <v>5202</v>
      </c>
      <c r="F101" s="105" t="s">
        <v>5910</v>
      </c>
      <c r="G101" s="105"/>
      <c r="H101" s="105" t="str">
        <f>IF(0 = 0, "ANSI", "IEC")</f>
        <v>ANSI</v>
      </c>
      <c r="I101" s="105" t="str">
        <f>IF(1 = 0, "No", "Yes")</f>
        <v>Yes</v>
      </c>
      <c r="J101" s="105" t="str">
        <f>IF(0 = 1, "Yes", "No")</f>
        <v>No</v>
      </c>
      <c r="K101" s="105" t="str">
        <f>IF(0 = 0,"none","none")</f>
        <v>none</v>
      </c>
      <c r="L101" s="105" t="str">
        <f>IF(0 = 0,"none","none")</f>
        <v>none</v>
      </c>
      <c r="M101" s="105">
        <f>IF(0 = 0, ROUND(0, 1), "")</f>
        <v>0</v>
      </c>
      <c r="N101" s="105">
        <f>IF(0 = 0,ROUND(1.00999999, 3),"")</f>
        <v>1.01</v>
      </c>
      <c r="O101" s="266" t="str">
        <f>IF(0 = 0,IF(1 = 0, "Total", "Symmetrical"),"")</f>
        <v>Symmetrical</v>
      </c>
      <c r="P101" s="260">
        <f>IF(0 = 0,ROUND(0, 1),"")</f>
        <v>0</v>
      </c>
      <c r="Q101" s="105">
        <f>IF(0 = 0,ROUND(0, 1),"")</f>
        <v>0</v>
      </c>
      <c r="R101" s="105">
        <f>IF(0 = 0,ROUND(0, 1),"")</f>
        <v>0</v>
      </c>
      <c r="S101" s="260">
        <f>IF(0 = 0,ROUND(0, 1),"")</f>
        <v>0</v>
      </c>
      <c r="T101" s="242">
        <f>IF(0 = 0,CHOOSE(1 + 1, 3,5,8,2),"")</f>
        <v>5</v>
      </c>
      <c r="U101" s="267" t="str">
        <f>IF(0 = 0,"3","")</f>
        <v>3</v>
      </c>
      <c r="V101" s="260" t="str">
        <f>IF(0 = 1,ROUND(1250, 1),"")</f>
        <v/>
      </c>
      <c r="W101" s="260" t="str">
        <f>IF(0 = 1,ROUND(12, 3),"")</f>
        <v/>
      </c>
      <c r="X101" s="260" t="str">
        <f>IF(0 = 1,ROUND(630, 1),"")</f>
        <v/>
      </c>
      <c r="Y101" s="260" t="str">
        <f>IF(0 = 1,ROUND(0, 1),"")</f>
        <v/>
      </c>
      <c r="Z101" s="260" t="str">
        <f>IF(0 = 1,ROUND(0, 3),"")</f>
        <v/>
      </c>
      <c r="AA101" s="242" t="str">
        <f>IF(0 = 1,CHOOSE(0 + 1, 1.3,1.5),"")</f>
        <v/>
      </c>
      <c r="AB101" s="60" t="str">
        <f>IF(0 = 1,ROUND(0, 1),"")</f>
        <v/>
      </c>
      <c r="AC101" s="260" t="str">
        <f>IF(0 = 1,ROUND(3, 1),"")</f>
        <v/>
      </c>
      <c r="AD101" s="260"/>
      <c r="AE101" s="260"/>
      <c r="AF101" s="260"/>
      <c r="AG101" s="260"/>
      <c r="AH101" s="268"/>
      <c r="AI101" s="53" t="s">
        <v>6092</v>
      </c>
    </row>
    <row r="102" spans="1:35">
      <c r="A102" s="105" t="s">
        <v>6093</v>
      </c>
      <c r="B102" s="127" t="str">
        <f>IF(TRIM("BUS_V爱涛线路灯所环网柜_204") = "", "BUS_V爱涛线路灯所环网柜_204", "BUS_V爱涛线路灯所环网柜_204")</f>
        <v>BUS_V爱涛线路灯所环网柜_204</v>
      </c>
      <c r="C102" s="58" t="str">
        <f>IF(TRIM("BUS_CNODE_JCT__1358") = "", "BUS_CNODE_JCT__1358", "BUS_CNODE_JCT__1358")</f>
        <v>BUS_CNODE_JCT__1358</v>
      </c>
      <c r="D102" s="105" t="str">
        <f>IF(TRUE = TRUE, "Yes", "No")</f>
        <v>Yes</v>
      </c>
      <c r="E102" s="105" t="s">
        <v>5202</v>
      </c>
      <c r="F102" s="105" t="s">
        <v>5910</v>
      </c>
      <c r="G102" s="105"/>
      <c r="H102" s="105" t="str">
        <f>IF(0 = 0, "ANSI", "IEC")</f>
        <v>ANSI</v>
      </c>
      <c r="I102" s="105" t="str">
        <f>IF(1 = 0, "No", "Yes")</f>
        <v>Yes</v>
      </c>
      <c r="J102" s="105" t="str">
        <f>IF(0 = 1, "Yes", "No")</f>
        <v>No</v>
      </c>
      <c r="K102" s="105" t="str">
        <f>IF(0 = 0,"none","none")</f>
        <v>none</v>
      </c>
      <c r="L102" s="105" t="str">
        <f>IF(0 = 0,"none","none")</f>
        <v>none</v>
      </c>
      <c r="M102" s="105">
        <f>IF(0 = 0, ROUND(0, 1), "")</f>
        <v>0</v>
      </c>
      <c r="N102" s="105">
        <f>IF(0 = 0,ROUND(1.00999999, 3),"")</f>
        <v>1.01</v>
      </c>
      <c r="O102" s="266" t="str">
        <f>IF(0 = 0,IF(1 = 0, "Total", "Symmetrical"),"")</f>
        <v>Symmetrical</v>
      </c>
      <c r="P102" s="260">
        <f>IF(0 = 0,ROUND(0, 1),"")</f>
        <v>0</v>
      </c>
      <c r="Q102" s="105">
        <f>IF(0 = 0,ROUND(0, 1),"")</f>
        <v>0</v>
      </c>
      <c r="R102" s="105">
        <f>IF(0 = 0,ROUND(0, 1),"")</f>
        <v>0</v>
      </c>
      <c r="S102" s="260">
        <f>IF(0 = 0,ROUND(0, 1),"")</f>
        <v>0</v>
      </c>
      <c r="T102" s="242">
        <f>IF(0 = 0,CHOOSE(1 + 1, 3,5,8,2),"")</f>
        <v>5</v>
      </c>
      <c r="U102" s="267" t="str">
        <f>IF(0 = 0,"3","")</f>
        <v>3</v>
      </c>
      <c r="V102" s="260" t="str">
        <f>IF(0 = 1,ROUND(1250, 1),"")</f>
        <v/>
      </c>
      <c r="W102" s="260" t="str">
        <f>IF(0 = 1,ROUND(12, 3),"")</f>
        <v/>
      </c>
      <c r="X102" s="260" t="str">
        <f>IF(0 = 1,ROUND(100, 1),"")</f>
        <v/>
      </c>
      <c r="Y102" s="260" t="str">
        <f>IF(0 = 1,ROUND(0, 1),"")</f>
        <v/>
      </c>
      <c r="Z102" s="260" t="str">
        <f>IF(0 = 1,ROUND(0, 3),"")</f>
        <v/>
      </c>
      <c r="AA102" s="242" t="str">
        <f>IF(0 = 1,CHOOSE(0 + 1, 1.3,1.5),"")</f>
        <v/>
      </c>
      <c r="AB102" s="60" t="str">
        <f>IF(0 = 1,ROUND(0, 1),"")</f>
        <v/>
      </c>
      <c r="AC102" s="260" t="str">
        <f>IF(0 = 1,ROUND(3, 1),"")</f>
        <v/>
      </c>
      <c r="AD102" s="260"/>
      <c r="AE102" s="260"/>
      <c r="AF102" s="260"/>
      <c r="AG102" s="260"/>
      <c r="AH102" s="268"/>
      <c r="AI102" s="53" t="s">
        <v>6094</v>
      </c>
    </row>
    <row r="103" spans="1:35">
      <c r="A103" s="105" t="s">
        <v>6095</v>
      </c>
      <c r="B103" s="127" t="str">
        <f>IF(TRIM("BUS_涛线3号环网柜（自）_242") = "", "BUS_涛线3号环网柜（自）_242", "BUS_涛线3号环网柜（自）_242")</f>
        <v>BUS_涛线3号环网柜（自）_242</v>
      </c>
      <c r="C103" s="58" t="str">
        <f>IF(TRIM("BUS_CNODE_JCT__1477") = "", "BUS_CNODE_JCT__1477", "BUS_CNODE_JCT__1477")</f>
        <v>BUS_CNODE_JCT__1477</v>
      </c>
      <c r="D103" s="105" t="str">
        <f>IF(TRUE = TRUE, "Yes", "No")</f>
        <v>Yes</v>
      </c>
      <c r="E103" s="105" t="s">
        <v>5202</v>
      </c>
      <c r="F103" s="105" t="s">
        <v>5910</v>
      </c>
      <c r="G103" s="105"/>
      <c r="H103" s="105" t="str">
        <f>IF(0 = 0, "ANSI", "IEC")</f>
        <v>ANSI</v>
      </c>
      <c r="I103" s="105" t="str">
        <f>IF(1 = 0, "No", "Yes")</f>
        <v>Yes</v>
      </c>
      <c r="J103" s="105" t="str">
        <f>IF(0 = 1, "Yes", "No")</f>
        <v>No</v>
      </c>
      <c r="K103" s="105" t="str">
        <f>IF(0 = 0,"none","none")</f>
        <v>none</v>
      </c>
      <c r="L103" s="105" t="str">
        <f>IF(0 = 0,"none","none")</f>
        <v>none</v>
      </c>
      <c r="M103" s="105">
        <f>IF(0 = 0, ROUND(0, 1), "")</f>
        <v>0</v>
      </c>
      <c r="N103" s="105">
        <f>IF(0 = 0,ROUND(1.00999999, 3),"")</f>
        <v>1.01</v>
      </c>
      <c r="O103" s="266" t="str">
        <f>IF(0 = 0,IF(1 = 0, "Total", "Symmetrical"),"")</f>
        <v>Symmetrical</v>
      </c>
      <c r="P103" s="260">
        <f>IF(0 = 0,ROUND(0, 1),"")</f>
        <v>0</v>
      </c>
      <c r="Q103" s="105">
        <f>IF(0 = 0,ROUND(0, 1),"")</f>
        <v>0</v>
      </c>
      <c r="R103" s="105">
        <f>IF(0 = 0,ROUND(0, 1),"")</f>
        <v>0</v>
      </c>
      <c r="S103" s="260">
        <f>IF(0 = 0,ROUND(0, 1),"")</f>
        <v>0</v>
      </c>
      <c r="T103" s="242">
        <f>IF(0 = 0,CHOOSE(1 + 1, 3,5,8,2),"")</f>
        <v>5</v>
      </c>
      <c r="U103" s="267" t="str">
        <f>IF(0 = 0,"3","")</f>
        <v>3</v>
      </c>
      <c r="V103" s="260" t="str">
        <f>IF(0 = 1,ROUND(1250, 1),"")</f>
        <v/>
      </c>
      <c r="W103" s="260" t="str">
        <f>IF(0 = 1,ROUND(12, 3),"")</f>
        <v/>
      </c>
      <c r="X103" s="260" t="str">
        <f>IF(0 = 1,ROUND(630, 1),"")</f>
        <v/>
      </c>
      <c r="Y103" s="260" t="str">
        <f>IF(0 = 1,ROUND(0, 1),"")</f>
        <v/>
      </c>
      <c r="Z103" s="260" t="str">
        <f>IF(0 = 1,ROUND(0, 3),"")</f>
        <v/>
      </c>
      <c r="AA103" s="242" t="str">
        <f>IF(0 = 1,CHOOSE(0 + 1, 1.3,1.5),"")</f>
        <v/>
      </c>
      <c r="AB103" s="60" t="str">
        <f>IF(0 = 1,ROUND(0, 1),"")</f>
        <v/>
      </c>
      <c r="AC103" s="260" t="str">
        <f>IF(0 = 1,ROUND(3, 1),"")</f>
        <v/>
      </c>
      <c r="AD103" s="260"/>
      <c r="AE103" s="260"/>
      <c r="AF103" s="260"/>
      <c r="AG103" s="260"/>
      <c r="AH103" s="268"/>
      <c r="AI103" s="53" t="s">
        <v>6096</v>
      </c>
    </row>
    <row r="104" spans="1:35">
      <c r="A104" s="105" t="s">
        <v>6097</v>
      </c>
      <c r="B104" s="127" t="str">
        <f>IF(TRIM("BUS_CNODE_JCT__1336") = "", "BUS_CNODE_JCT__1336", "BUS_CNODE_JCT__1336")</f>
        <v>BUS_CNODE_JCT__1336</v>
      </c>
      <c r="C104" s="58" t="str">
        <f>IF(TRIM("BUS_爱涛线爱佛#2环网柜_212") = "", "BUS_爱涛线爱佛#2环网柜_212", "BUS_爱涛线爱佛#2环网柜_212")</f>
        <v>BUS_爱涛线爱佛#2环网柜_212</v>
      </c>
      <c r="D104" s="105" t="str">
        <f>IF(TRUE = TRUE, "Yes", "No")</f>
        <v>Yes</v>
      </c>
      <c r="E104" s="105" t="s">
        <v>5202</v>
      </c>
      <c r="F104" s="105" t="s">
        <v>5910</v>
      </c>
      <c r="G104" s="105"/>
      <c r="H104" s="105" t="str">
        <f>IF(0 = 0, "ANSI", "IEC")</f>
        <v>ANSI</v>
      </c>
      <c r="I104" s="105" t="str">
        <f>IF(1 = 0, "No", "Yes")</f>
        <v>Yes</v>
      </c>
      <c r="J104" s="105" t="str">
        <f>IF(0 = 1, "Yes", "No")</f>
        <v>No</v>
      </c>
      <c r="K104" s="105" t="str">
        <f>IF(0 = 0,"none","none")</f>
        <v>none</v>
      </c>
      <c r="L104" s="105" t="str">
        <f>IF(0 = 0,"none","none")</f>
        <v>none</v>
      </c>
      <c r="M104" s="105">
        <f>IF(0 = 0, ROUND(0, 1), "")</f>
        <v>0</v>
      </c>
      <c r="N104" s="105">
        <f>IF(0 = 0,ROUND(1.00999999, 3),"")</f>
        <v>1.01</v>
      </c>
      <c r="O104" s="266" t="str">
        <f>IF(0 = 0,IF(1 = 0, "Total", "Symmetrical"),"")</f>
        <v>Symmetrical</v>
      </c>
      <c r="P104" s="260">
        <f>IF(0 = 0,ROUND(0, 1),"")</f>
        <v>0</v>
      </c>
      <c r="Q104" s="105">
        <f>IF(0 = 0,ROUND(0, 1),"")</f>
        <v>0</v>
      </c>
      <c r="R104" s="105">
        <f>IF(0 = 0,ROUND(0, 1),"")</f>
        <v>0</v>
      </c>
      <c r="S104" s="260">
        <f>IF(0 = 0,ROUND(0, 1),"")</f>
        <v>0</v>
      </c>
      <c r="T104" s="242">
        <f>IF(0 = 0,CHOOSE(1 + 1, 3,5,8,2),"")</f>
        <v>5</v>
      </c>
      <c r="U104" s="267" t="str">
        <f>IF(0 = 0,"3","")</f>
        <v>3</v>
      </c>
      <c r="V104" s="260" t="str">
        <f>IF(0 = 1,ROUND(1250, 1),"")</f>
        <v/>
      </c>
      <c r="W104" s="260" t="str">
        <f>IF(0 = 1,ROUND(12, 3),"")</f>
        <v/>
      </c>
      <c r="X104" s="260" t="str">
        <f>IF(0 = 1,ROUND(100, 1),"")</f>
        <v/>
      </c>
      <c r="Y104" s="260" t="str">
        <f>IF(0 = 1,ROUND(0, 1),"")</f>
        <v/>
      </c>
      <c r="Z104" s="260" t="str">
        <f>IF(0 = 1,ROUND(0, 3),"")</f>
        <v/>
      </c>
      <c r="AA104" s="242" t="str">
        <f>IF(0 = 1,CHOOSE(0 + 1, 1.3,1.5),"")</f>
        <v/>
      </c>
      <c r="AB104" s="60" t="str">
        <f>IF(0 = 1,ROUND(0, 1),"")</f>
        <v/>
      </c>
      <c r="AC104" s="260" t="str">
        <f>IF(0 = 1,ROUND(3, 1),"")</f>
        <v/>
      </c>
      <c r="AD104" s="260"/>
      <c r="AE104" s="260"/>
      <c r="AF104" s="260"/>
      <c r="AG104" s="260"/>
      <c r="AH104" s="268"/>
      <c r="AI104" s="53" t="s">
        <v>6098</v>
      </c>
    </row>
    <row r="105" spans="1:35">
      <c r="A105" s="105" t="s">
        <v>6099</v>
      </c>
      <c r="B105" s="127" t="str">
        <f>IF(TRIM("BUS_CNODE_JCT__1350") = "", "BUS_CNODE_JCT__1350", "BUS_CNODE_JCT__1350")</f>
        <v>BUS_CNODE_JCT__1350</v>
      </c>
      <c r="C105" s="58" t="str">
        <f>IF(TRIM("BUS_线太平花苑#5环网柜_201") = "", "BUS_线太平花苑#5环网柜_201", "BUS_线太平花苑#5环网柜_201")</f>
        <v>BUS_线太平花苑#5环网柜_201</v>
      </c>
      <c r="D105" s="105" t="str">
        <f>IF(TRUE = TRUE, "Yes", "No")</f>
        <v>Yes</v>
      </c>
      <c r="E105" s="105" t="s">
        <v>5202</v>
      </c>
      <c r="F105" s="105" t="s">
        <v>5910</v>
      </c>
      <c r="G105" s="105"/>
      <c r="H105" s="105" t="str">
        <f>IF(0 = 0, "ANSI", "IEC")</f>
        <v>ANSI</v>
      </c>
      <c r="I105" s="105" t="str">
        <f>IF(1 = 0, "No", "Yes")</f>
        <v>Yes</v>
      </c>
      <c r="J105" s="105" t="str">
        <f>IF(0 = 1, "Yes", "No")</f>
        <v>No</v>
      </c>
      <c r="K105" s="105" t="str">
        <f>IF(0 = 0,"none","none")</f>
        <v>none</v>
      </c>
      <c r="L105" s="105" t="str">
        <f>IF(0 = 0,"none","none")</f>
        <v>none</v>
      </c>
      <c r="M105" s="105">
        <f>IF(0 = 0, ROUND(0, 1), "")</f>
        <v>0</v>
      </c>
      <c r="N105" s="105">
        <f>IF(0 = 0,ROUND(1.00999999, 3),"")</f>
        <v>1.01</v>
      </c>
      <c r="O105" s="266" t="str">
        <f>IF(0 = 0,IF(1 = 0, "Total", "Symmetrical"),"")</f>
        <v>Symmetrical</v>
      </c>
      <c r="P105" s="260">
        <f>IF(0 = 0,ROUND(0, 1),"")</f>
        <v>0</v>
      </c>
      <c r="Q105" s="105">
        <f>IF(0 = 0,ROUND(0, 1),"")</f>
        <v>0</v>
      </c>
      <c r="R105" s="105">
        <f>IF(0 = 0,ROUND(0, 1),"")</f>
        <v>0</v>
      </c>
      <c r="S105" s="260">
        <f>IF(0 = 0,ROUND(0, 1),"")</f>
        <v>0</v>
      </c>
      <c r="T105" s="242">
        <f>IF(0 = 0,CHOOSE(1 + 1, 3,5,8,2),"")</f>
        <v>5</v>
      </c>
      <c r="U105" s="267" t="str">
        <f>IF(0 = 0,"3","")</f>
        <v>3</v>
      </c>
      <c r="V105" s="260" t="str">
        <f>IF(0 = 1,ROUND(1250, 1),"")</f>
        <v/>
      </c>
      <c r="W105" s="260" t="str">
        <f>IF(0 = 1,ROUND(12, 3),"")</f>
        <v/>
      </c>
      <c r="X105" s="260" t="str">
        <f>IF(0 = 1,ROUND(100, 1),"")</f>
        <v/>
      </c>
      <c r="Y105" s="260" t="str">
        <f>IF(0 = 1,ROUND(0, 1),"")</f>
        <v/>
      </c>
      <c r="Z105" s="260" t="str">
        <f>IF(0 = 1,ROUND(0, 3),"")</f>
        <v/>
      </c>
      <c r="AA105" s="242" t="str">
        <f>IF(0 = 1,CHOOSE(0 + 1, 1.3,1.5),"")</f>
        <v/>
      </c>
      <c r="AB105" s="60" t="str">
        <f>IF(0 = 1,ROUND(0, 1),"")</f>
        <v/>
      </c>
      <c r="AC105" s="260" t="str">
        <f>IF(0 = 1,ROUND(3, 1),"")</f>
        <v/>
      </c>
      <c r="AD105" s="260"/>
      <c r="AE105" s="260"/>
      <c r="AF105" s="260"/>
      <c r="AG105" s="260"/>
      <c r="AH105" s="268"/>
      <c r="AI105" s="53" t="s">
        <v>6100</v>
      </c>
    </row>
    <row r="106" spans="1:35">
      <c r="A106" s="105" t="s">
        <v>6101</v>
      </c>
      <c r="B106" s="127" t="str">
        <f>IF(TRIM("BUS_CNODE_JCT__1319") = "", "BUS_CNODE_JCT__1319", "BUS_CNODE_JCT__1319")</f>
        <v>BUS_CNODE_JCT__1319</v>
      </c>
      <c r="C106" s="58" t="str">
        <f>IF(TRIM("BUS_涛线颐秀居#1环网柜_210") = "", "BUS_涛线颐秀居#1环网柜_210", "BUS_涛线颐秀居#1环网柜_210")</f>
        <v>BUS_涛线颐秀居#1环网柜_210</v>
      </c>
      <c r="D106" s="105" t="str">
        <f>IF(TRUE = TRUE, "Yes", "No")</f>
        <v>Yes</v>
      </c>
      <c r="E106" s="105" t="s">
        <v>5202</v>
      </c>
      <c r="F106" s="105" t="s">
        <v>5910</v>
      </c>
      <c r="G106" s="105"/>
      <c r="H106" s="105" t="str">
        <f>IF(0 = 0, "ANSI", "IEC")</f>
        <v>ANSI</v>
      </c>
      <c r="I106" s="105" t="str">
        <f>IF(1 = 0, "No", "Yes")</f>
        <v>Yes</v>
      </c>
      <c r="J106" s="105" t="str">
        <f>IF(0 = 1, "Yes", "No")</f>
        <v>No</v>
      </c>
      <c r="K106" s="105" t="str">
        <f>IF(0 = 0,"none","none")</f>
        <v>none</v>
      </c>
      <c r="L106" s="105" t="str">
        <f>IF(0 = 0,"none","none")</f>
        <v>none</v>
      </c>
      <c r="M106" s="105">
        <f>IF(0 = 0, ROUND(0, 1), "")</f>
        <v>0</v>
      </c>
      <c r="N106" s="105">
        <f>IF(0 = 0,ROUND(1.00999999, 3),"")</f>
        <v>1.01</v>
      </c>
      <c r="O106" s="266" t="str">
        <f>IF(0 = 0,IF(1 = 0, "Total", "Symmetrical"),"")</f>
        <v>Symmetrical</v>
      </c>
      <c r="P106" s="260">
        <f>IF(0 = 0,ROUND(0, 1),"")</f>
        <v>0</v>
      </c>
      <c r="Q106" s="105">
        <f>IF(0 = 0,ROUND(0, 1),"")</f>
        <v>0</v>
      </c>
      <c r="R106" s="105">
        <f>IF(0 = 0,ROUND(0, 1),"")</f>
        <v>0</v>
      </c>
      <c r="S106" s="260">
        <f>IF(0 = 0,ROUND(0, 1),"")</f>
        <v>0</v>
      </c>
      <c r="T106" s="242">
        <f>IF(0 = 0,CHOOSE(1 + 1, 3,5,8,2),"")</f>
        <v>5</v>
      </c>
      <c r="U106" s="267" t="str">
        <f>IF(0 = 0,"3","")</f>
        <v>3</v>
      </c>
      <c r="V106" s="260" t="str">
        <f>IF(0 = 1,ROUND(1250, 1),"")</f>
        <v/>
      </c>
      <c r="W106" s="260" t="str">
        <f>IF(0 = 1,ROUND(12, 3),"")</f>
        <v/>
      </c>
      <c r="X106" s="260" t="str">
        <f>IF(0 = 1,ROUND(100, 1),"")</f>
        <v/>
      </c>
      <c r="Y106" s="260" t="str">
        <f>IF(0 = 1,ROUND(0, 1),"")</f>
        <v/>
      </c>
      <c r="Z106" s="260" t="str">
        <f>IF(0 = 1,ROUND(0, 3),"")</f>
        <v/>
      </c>
      <c r="AA106" s="242" t="str">
        <f>IF(0 = 1,CHOOSE(0 + 1, 1.3,1.5),"")</f>
        <v/>
      </c>
      <c r="AB106" s="60" t="str">
        <f>IF(0 = 1,ROUND(0, 1),"")</f>
        <v/>
      </c>
      <c r="AC106" s="260" t="str">
        <f>IF(0 = 1,ROUND(3, 1),"")</f>
        <v/>
      </c>
      <c r="AD106" s="260"/>
      <c r="AE106" s="260"/>
      <c r="AF106" s="260"/>
      <c r="AG106" s="260"/>
      <c r="AH106" s="268"/>
      <c r="AI106" s="53" t="s">
        <v>6102</v>
      </c>
    </row>
    <row r="107" spans="1:35">
      <c r="A107" s="105" t="s">
        <v>6103</v>
      </c>
      <c r="B107" s="127" t="str">
        <f>IF(TRIM("BUS_号线2号环网柜（自）_241") = "", "BUS_号线2号环网柜（自）_241", "BUS_号线2号环网柜（自）_241")</f>
        <v>BUS_号线2号环网柜（自）_241</v>
      </c>
      <c r="C107" s="58" t="str">
        <f>IF(TRIM("BUS_CNODE_JCT__1467") = "", "BUS_CNODE_JCT__1467", "BUS_CNODE_JCT__1467")</f>
        <v>BUS_CNODE_JCT__1467</v>
      </c>
      <c r="D107" s="105" t="str">
        <f>IF(TRUE = TRUE, "Yes", "No")</f>
        <v>Yes</v>
      </c>
      <c r="E107" s="105" t="s">
        <v>5202</v>
      </c>
      <c r="F107" s="105" t="s">
        <v>5910</v>
      </c>
      <c r="G107" s="105"/>
      <c r="H107" s="105" t="str">
        <f>IF(0 = 0, "ANSI", "IEC")</f>
        <v>ANSI</v>
      </c>
      <c r="I107" s="105" t="str">
        <f>IF(1 = 0, "No", "Yes")</f>
        <v>Yes</v>
      </c>
      <c r="J107" s="105" t="str">
        <f>IF(0 = 1, "Yes", "No")</f>
        <v>No</v>
      </c>
      <c r="K107" s="105" t="str">
        <f>IF(0 = 0,"none","none")</f>
        <v>none</v>
      </c>
      <c r="L107" s="105" t="str">
        <f>IF(0 = 0,"none","none")</f>
        <v>none</v>
      </c>
      <c r="M107" s="105">
        <f>IF(0 = 0, ROUND(0, 1), "")</f>
        <v>0</v>
      </c>
      <c r="N107" s="105">
        <f>IF(0 = 0,ROUND(1.00999999, 3),"")</f>
        <v>1.01</v>
      </c>
      <c r="O107" s="266" t="str">
        <f>IF(0 = 0,IF(1 = 0, "Total", "Symmetrical"),"")</f>
        <v>Symmetrical</v>
      </c>
      <c r="P107" s="260">
        <f>IF(0 = 0,ROUND(0, 1),"")</f>
        <v>0</v>
      </c>
      <c r="Q107" s="105">
        <f>IF(0 = 0,ROUND(0, 1),"")</f>
        <v>0</v>
      </c>
      <c r="R107" s="105">
        <f>IF(0 = 0,ROUND(0, 1),"")</f>
        <v>0</v>
      </c>
      <c r="S107" s="260">
        <f>IF(0 = 0,ROUND(0, 1),"")</f>
        <v>0</v>
      </c>
      <c r="T107" s="242">
        <f>IF(0 = 0,CHOOSE(1 + 1, 3,5,8,2),"")</f>
        <v>5</v>
      </c>
      <c r="U107" s="267" t="str">
        <f>IF(0 = 0,"3","")</f>
        <v>3</v>
      </c>
      <c r="V107" s="260" t="str">
        <f>IF(0 = 1,ROUND(1250, 1),"")</f>
        <v/>
      </c>
      <c r="W107" s="260" t="str">
        <f>IF(0 = 1,ROUND(12, 3),"")</f>
        <v/>
      </c>
      <c r="X107" s="260" t="str">
        <f>IF(0 = 1,ROUND(630, 1),"")</f>
        <v/>
      </c>
      <c r="Y107" s="260" t="str">
        <f>IF(0 = 1,ROUND(0, 1),"")</f>
        <v/>
      </c>
      <c r="Z107" s="260" t="str">
        <f>IF(0 = 1,ROUND(0, 3),"")</f>
        <v/>
      </c>
      <c r="AA107" s="242" t="str">
        <f>IF(0 = 1,CHOOSE(0 + 1, 1.3,1.5),"")</f>
        <v/>
      </c>
      <c r="AB107" s="60" t="str">
        <f>IF(0 = 1,ROUND(0, 1),"")</f>
        <v/>
      </c>
      <c r="AC107" s="260" t="str">
        <f>IF(0 = 1,ROUND(3, 1),"")</f>
        <v/>
      </c>
      <c r="AD107" s="260"/>
      <c r="AE107" s="260"/>
      <c r="AF107" s="260"/>
      <c r="AG107" s="260"/>
      <c r="AH107" s="268"/>
      <c r="AI107" s="53" t="s">
        <v>6104</v>
      </c>
    </row>
    <row r="108" spans="1:35">
      <c r="A108" s="105" t="s">
        <v>6105</v>
      </c>
      <c r="B108" s="127" t="str">
        <f>IF(TRIM("") = "", "", "")</f>
        <v/>
      </c>
      <c r="C108" s="58" t="str">
        <f>IF(TRIM("BUS_西花园线13号环网柜_206") = "", "BUS_西花园线13号环网柜_206", "BUS_西花园线13号环网柜_206")</f>
        <v>BUS_西花园线13号环网柜_206</v>
      </c>
      <c r="D108" s="105" t="str">
        <f>IF(TRUE = TRUE, "Yes", "No")</f>
        <v>Yes</v>
      </c>
      <c r="E108" s="105" t="s">
        <v>5202</v>
      </c>
      <c r="F108" s="105" t="s">
        <v>5910</v>
      </c>
      <c r="G108" s="105"/>
      <c r="H108" s="105" t="str">
        <f>IF(0 = 0, "ANSI", "IEC")</f>
        <v>ANSI</v>
      </c>
      <c r="I108" s="105" t="str">
        <f>IF(1 = 0, "No", "Yes")</f>
        <v>Yes</v>
      </c>
      <c r="J108" s="105" t="str">
        <f>IF(0 = 1, "Yes", "No")</f>
        <v>No</v>
      </c>
      <c r="K108" s="105" t="str">
        <f>IF(0 = 0,"none","none")</f>
        <v>none</v>
      </c>
      <c r="L108" s="105" t="str">
        <f>IF(0 = 0,"none","none")</f>
        <v>none</v>
      </c>
      <c r="M108" s="105">
        <f>IF(0 = 0, ROUND(0, 1), "")</f>
        <v>0</v>
      </c>
      <c r="N108" s="105">
        <f>IF(0 = 0,ROUND(1.00999999, 3),"")</f>
        <v>1.01</v>
      </c>
      <c r="O108" s="266" t="str">
        <f>IF(0 = 0,IF(1 = 0, "Total", "Symmetrical"),"")</f>
        <v>Symmetrical</v>
      </c>
      <c r="P108" s="260">
        <f>IF(0 = 0,ROUND(0, 1),"")</f>
        <v>0</v>
      </c>
      <c r="Q108" s="105">
        <f>IF(0 = 0,ROUND(0, 1),"")</f>
        <v>0</v>
      </c>
      <c r="R108" s="105">
        <f>IF(0 = 0,ROUND(0, 1),"")</f>
        <v>0</v>
      </c>
      <c r="S108" s="260">
        <f>IF(0 = 0,ROUND(0, 1),"")</f>
        <v>0</v>
      </c>
      <c r="T108" s="242">
        <f>IF(0 = 0,CHOOSE(1 + 1, 3,5,8,2),"")</f>
        <v>5</v>
      </c>
      <c r="U108" s="267" t="str">
        <f>IF(0 = 0,"3","")</f>
        <v>3</v>
      </c>
      <c r="V108" s="260" t="str">
        <f>IF(0 = 1,ROUND(1250, 1),"")</f>
        <v/>
      </c>
      <c r="W108" s="260" t="str">
        <f>IF(0 = 1,ROUND(12, 3),"")</f>
        <v/>
      </c>
      <c r="X108" s="260" t="str">
        <f>IF(0 = 1,ROUND(100, 1),"")</f>
        <v/>
      </c>
      <c r="Y108" s="260" t="str">
        <f>IF(0 = 1,ROUND(0, 1),"")</f>
        <v/>
      </c>
      <c r="Z108" s="260" t="str">
        <f>IF(0 = 1,ROUND(0, 3),"")</f>
        <v/>
      </c>
      <c r="AA108" s="242" t="str">
        <f>IF(0 = 1,CHOOSE(0 + 1, 1.3,1.5),"")</f>
        <v/>
      </c>
      <c r="AB108" s="60" t="str">
        <f>IF(0 = 1,ROUND(0, 1),"")</f>
        <v/>
      </c>
      <c r="AC108" s="260" t="str">
        <f>IF(0 = 1,ROUND(3, 1),"")</f>
        <v/>
      </c>
      <c r="AD108" s="260"/>
      <c r="AE108" s="260"/>
      <c r="AF108" s="260"/>
      <c r="AG108" s="260"/>
      <c r="AH108" s="268"/>
      <c r="AI108" s="53" t="s">
        <v>6106</v>
      </c>
    </row>
    <row r="109" spans="1:35">
      <c r="A109" s="105" t="s">
        <v>6107</v>
      </c>
      <c r="B109" s="127" t="str">
        <f>IF(TRIM("") = "", "", "")</f>
        <v/>
      </c>
      <c r="C109" s="58" t="str">
        <f>IF(TRIM("BUS_V西花园线6号环网柜_209") = "", "BUS_V西花园线6号环网柜_209", "BUS_V西花园线6号环网柜_209")</f>
        <v>BUS_V西花园线6号环网柜_209</v>
      </c>
      <c r="D109" s="105" t="str">
        <f>IF(TRUE = TRUE, "Yes", "No")</f>
        <v>Yes</v>
      </c>
      <c r="E109" s="105" t="s">
        <v>5202</v>
      </c>
      <c r="F109" s="105" t="s">
        <v>5910</v>
      </c>
      <c r="G109" s="105"/>
      <c r="H109" s="105" t="str">
        <f>IF(0 = 0, "ANSI", "IEC")</f>
        <v>ANSI</v>
      </c>
      <c r="I109" s="105" t="str">
        <f>IF(1 = 0, "No", "Yes")</f>
        <v>Yes</v>
      </c>
      <c r="J109" s="105" t="str">
        <f>IF(0 = 1, "Yes", "No")</f>
        <v>No</v>
      </c>
      <c r="K109" s="105" t="str">
        <f>IF(0 = 0,"none","none")</f>
        <v>none</v>
      </c>
      <c r="L109" s="105" t="str">
        <f>IF(0 = 0,"none","none")</f>
        <v>none</v>
      </c>
      <c r="M109" s="105">
        <f>IF(0 = 0, ROUND(0, 1), "")</f>
        <v>0</v>
      </c>
      <c r="N109" s="105">
        <f>IF(0 = 0,ROUND(1.00999999, 3),"")</f>
        <v>1.01</v>
      </c>
      <c r="O109" s="266" t="str">
        <f>IF(0 = 0,IF(1 = 0, "Total", "Symmetrical"),"")</f>
        <v>Symmetrical</v>
      </c>
      <c r="P109" s="260">
        <f>IF(0 = 0,ROUND(0, 1),"")</f>
        <v>0</v>
      </c>
      <c r="Q109" s="105">
        <f>IF(0 = 0,ROUND(0, 1),"")</f>
        <v>0</v>
      </c>
      <c r="R109" s="105">
        <f>IF(0 = 0,ROUND(0, 1),"")</f>
        <v>0</v>
      </c>
      <c r="S109" s="260">
        <f>IF(0 = 0,ROUND(0, 1),"")</f>
        <v>0</v>
      </c>
      <c r="T109" s="242">
        <f>IF(0 = 0,CHOOSE(1 + 1, 3,5,8,2),"")</f>
        <v>5</v>
      </c>
      <c r="U109" s="267" t="str">
        <f>IF(0 = 0,"3","")</f>
        <v>3</v>
      </c>
      <c r="V109" s="260" t="str">
        <f>IF(0 = 1,ROUND(1250, 1),"")</f>
        <v/>
      </c>
      <c r="W109" s="260" t="str">
        <f>IF(0 = 1,ROUND(12, 3),"")</f>
        <v/>
      </c>
      <c r="X109" s="260" t="str">
        <f>IF(0 = 1,ROUND(100, 1),"")</f>
        <v/>
      </c>
      <c r="Y109" s="260" t="str">
        <f>IF(0 = 1,ROUND(0, 1),"")</f>
        <v/>
      </c>
      <c r="Z109" s="260" t="str">
        <f>IF(0 = 1,ROUND(0, 3),"")</f>
        <v/>
      </c>
      <c r="AA109" s="242" t="str">
        <f>IF(0 = 1,CHOOSE(0 + 1, 1.3,1.5),"")</f>
        <v/>
      </c>
      <c r="AB109" s="60" t="str">
        <f>IF(0 = 1,ROUND(0, 1),"")</f>
        <v/>
      </c>
      <c r="AC109" s="260" t="str">
        <f>IF(0 = 1,ROUND(3, 1),"")</f>
        <v/>
      </c>
      <c r="AD109" s="260"/>
      <c r="AE109" s="260"/>
      <c r="AF109" s="260"/>
      <c r="AG109" s="260"/>
      <c r="AH109" s="268"/>
      <c r="AI109" s="53" t="s">
        <v>6108</v>
      </c>
    </row>
    <row r="110" spans="1:35">
      <c r="A110" s="105" t="s">
        <v>6109</v>
      </c>
      <c r="B110" s="127" t="str">
        <f>IF(TRIM("BUS_CNODE_JCT__1431") = "", "BUS_CNODE_JCT__1431", "BUS_CNODE_JCT__1431")</f>
        <v>BUS_CNODE_JCT__1431</v>
      </c>
      <c r="C110" s="58" t="str">
        <f>IF(TRIM("BUS_涛线4号环网柜（自）_213") = "", "BUS_涛线4号环网柜（自）_213", "BUS_涛线4号环网柜（自）_213")</f>
        <v>BUS_涛线4号环网柜（自）_213</v>
      </c>
      <c r="D110" s="105" t="str">
        <f>IF(TRUE = TRUE, "Yes", "No")</f>
        <v>Yes</v>
      </c>
      <c r="E110" s="105" t="s">
        <v>5202</v>
      </c>
      <c r="F110" s="105" t="s">
        <v>5910</v>
      </c>
      <c r="G110" s="105"/>
      <c r="H110" s="105" t="str">
        <f>IF(0 = 0, "ANSI", "IEC")</f>
        <v>ANSI</v>
      </c>
      <c r="I110" s="105" t="str">
        <f>IF(1 = 0, "No", "Yes")</f>
        <v>Yes</v>
      </c>
      <c r="J110" s="105" t="str">
        <f>IF(0 = 1, "Yes", "No")</f>
        <v>No</v>
      </c>
      <c r="K110" s="105" t="str">
        <f>IF(0 = 0,"none","none")</f>
        <v>none</v>
      </c>
      <c r="L110" s="105" t="str">
        <f>IF(0 = 0,"none","none")</f>
        <v>none</v>
      </c>
      <c r="M110" s="105">
        <f>IF(0 = 0, ROUND(0, 1), "")</f>
        <v>0</v>
      </c>
      <c r="N110" s="105">
        <f>IF(0 = 0,ROUND(1.00999999, 3),"")</f>
        <v>1.01</v>
      </c>
      <c r="O110" s="266" t="str">
        <f>IF(0 = 0,IF(1 = 0, "Total", "Symmetrical"),"")</f>
        <v>Symmetrical</v>
      </c>
      <c r="P110" s="260">
        <f>IF(0 = 0,ROUND(0, 1),"")</f>
        <v>0</v>
      </c>
      <c r="Q110" s="105">
        <f>IF(0 = 0,ROUND(0, 1),"")</f>
        <v>0</v>
      </c>
      <c r="R110" s="105">
        <f>IF(0 = 0,ROUND(0, 1),"")</f>
        <v>0</v>
      </c>
      <c r="S110" s="260">
        <f>IF(0 = 0,ROUND(0, 1),"")</f>
        <v>0</v>
      </c>
      <c r="T110" s="242">
        <f>IF(0 = 0,CHOOSE(1 + 1, 3,5,8,2),"")</f>
        <v>5</v>
      </c>
      <c r="U110" s="267" t="str">
        <f>IF(0 = 0,"3","")</f>
        <v>3</v>
      </c>
      <c r="V110" s="260" t="str">
        <f>IF(0 = 1,ROUND(1250, 1),"")</f>
        <v/>
      </c>
      <c r="W110" s="260" t="str">
        <f>IF(0 = 1,ROUND(12, 3),"")</f>
        <v/>
      </c>
      <c r="X110" s="260" t="str">
        <f>IF(0 = 1,ROUND(630, 1),"")</f>
        <v/>
      </c>
      <c r="Y110" s="260" t="str">
        <f>IF(0 = 1,ROUND(0, 1),"")</f>
        <v/>
      </c>
      <c r="Z110" s="260" t="str">
        <f>IF(0 = 1,ROUND(0, 3),"")</f>
        <v/>
      </c>
      <c r="AA110" s="242" t="str">
        <f>IF(0 = 1,CHOOSE(0 + 1, 1.3,1.5),"")</f>
        <v/>
      </c>
      <c r="AB110" s="60" t="str">
        <f>IF(0 = 1,ROUND(0, 1),"")</f>
        <v/>
      </c>
      <c r="AC110" s="260" t="str">
        <f>IF(0 = 1,ROUND(3, 1),"")</f>
        <v/>
      </c>
      <c r="AD110" s="260"/>
      <c r="AE110" s="260"/>
      <c r="AF110" s="260"/>
      <c r="AG110" s="260"/>
      <c r="AH110" s="268"/>
      <c r="AI110" s="53" t="s">
        <v>6110</v>
      </c>
    </row>
    <row r="111" spans="1:35">
      <c r="A111" s="105" t="s">
        <v>6111</v>
      </c>
      <c r="B111" s="127" t="str">
        <f>IF(TRIM("BUS_kV爱涛线亚都环网柜_203") = "", "BUS_kV爱涛线亚都环网柜_203", "BUS_kV爱涛线亚都环网柜_203")</f>
        <v>BUS_kV爱涛线亚都环网柜_203</v>
      </c>
      <c r="C111" s="58" t="str">
        <f>IF(TRIM("BUS_CNODE_JCT__1360") = "", "BUS_CNODE_JCT__1360", "BUS_CNODE_JCT__1360")</f>
        <v>BUS_CNODE_JCT__1360</v>
      </c>
      <c r="D111" s="105" t="str">
        <f>IF(TRUE = TRUE, "Yes", "No")</f>
        <v>Yes</v>
      </c>
      <c r="E111" s="105" t="s">
        <v>5202</v>
      </c>
      <c r="F111" s="105" t="s">
        <v>5910</v>
      </c>
      <c r="G111" s="105"/>
      <c r="H111" s="105" t="str">
        <f>IF(0 = 0, "ANSI", "IEC")</f>
        <v>ANSI</v>
      </c>
      <c r="I111" s="105" t="str">
        <f>IF(1 = 0, "No", "Yes")</f>
        <v>Yes</v>
      </c>
      <c r="J111" s="105" t="str">
        <f>IF(0 = 1, "Yes", "No")</f>
        <v>No</v>
      </c>
      <c r="K111" s="105" t="str">
        <f>IF(0 = 0,"none","none")</f>
        <v>none</v>
      </c>
      <c r="L111" s="105" t="str">
        <f>IF(0 = 0,"none","none")</f>
        <v>none</v>
      </c>
      <c r="M111" s="105">
        <f>IF(0 = 0, ROUND(0, 1), "")</f>
        <v>0</v>
      </c>
      <c r="N111" s="105">
        <f>IF(0 = 0,ROUND(1.00999999, 3),"")</f>
        <v>1.01</v>
      </c>
      <c r="O111" s="266" t="str">
        <f>IF(0 = 0,IF(1 = 0, "Total", "Symmetrical"),"")</f>
        <v>Symmetrical</v>
      </c>
      <c r="P111" s="260">
        <f>IF(0 = 0,ROUND(0, 1),"")</f>
        <v>0</v>
      </c>
      <c r="Q111" s="105">
        <f>IF(0 = 0,ROUND(0, 1),"")</f>
        <v>0</v>
      </c>
      <c r="R111" s="105">
        <f>IF(0 = 0,ROUND(0, 1),"")</f>
        <v>0</v>
      </c>
      <c r="S111" s="260">
        <f>IF(0 = 0,ROUND(0, 1),"")</f>
        <v>0</v>
      </c>
      <c r="T111" s="242">
        <f>IF(0 = 0,CHOOSE(1 + 1, 3,5,8,2),"")</f>
        <v>5</v>
      </c>
      <c r="U111" s="267" t="str">
        <f>IF(0 = 0,"3","")</f>
        <v>3</v>
      </c>
      <c r="V111" s="260" t="str">
        <f>IF(0 = 1,ROUND(1250, 1),"")</f>
        <v/>
      </c>
      <c r="W111" s="260" t="str">
        <f>IF(0 = 1,ROUND(12, 3),"")</f>
        <v/>
      </c>
      <c r="X111" s="260" t="str">
        <f>IF(0 = 1,ROUND(630, 1),"")</f>
        <v/>
      </c>
      <c r="Y111" s="260" t="str">
        <f>IF(0 = 1,ROUND(0, 1),"")</f>
        <v/>
      </c>
      <c r="Z111" s="260" t="str">
        <f>IF(0 = 1,ROUND(0, 3),"")</f>
        <v/>
      </c>
      <c r="AA111" s="242" t="str">
        <f>IF(0 = 1,CHOOSE(0 + 1, 1.3,1.5),"")</f>
        <v/>
      </c>
      <c r="AB111" s="60" t="str">
        <f>IF(0 = 1,ROUND(0, 1),"")</f>
        <v/>
      </c>
      <c r="AC111" s="260" t="str">
        <f>IF(0 = 1,ROUND(3, 1),"")</f>
        <v/>
      </c>
      <c r="AD111" s="260"/>
      <c r="AE111" s="260"/>
      <c r="AF111" s="260"/>
      <c r="AG111" s="260"/>
      <c r="AH111" s="268"/>
      <c r="AI111" s="53" t="s">
        <v>6112</v>
      </c>
    </row>
    <row r="112" spans="1:35">
      <c r="A112" s="105" t="s">
        <v>6113</v>
      </c>
      <c r="B112" s="127" t="str">
        <f>IF(TRIM("BUS_CNODE_JCT__1295") = "", "BUS_CNODE_JCT__1295", "BUS_CNODE_JCT__1295")</f>
        <v>BUS_CNODE_JCT__1295</v>
      </c>
      <c r="C112" s="58" t="str">
        <f>IF(TRIM("BUS_爱涛线太平南区环网柜_208") = "", "BUS_爱涛线太平南区环网柜_208", "BUS_爱涛线太平南区环网柜_208")</f>
        <v>BUS_爱涛线太平南区环网柜_208</v>
      </c>
      <c r="D112" s="105" t="str">
        <f>IF(TRUE = TRUE, "Yes", "No")</f>
        <v>Yes</v>
      </c>
      <c r="E112" s="105" t="s">
        <v>5202</v>
      </c>
      <c r="F112" s="105" t="s">
        <v>5910</v>
      </c>
      <c r="G112" s="105"/>
      <c r="H112" s="105" t="str">
        <f>IF(0 = 0, "ANSI", "IEC")</f>
        <v>ANSI</v>
      </c>
      <c r="I112" s="105" t="str">
        <f>IF(1 = 0, "No", "Yes")</f>
        <v>Yes</v>
      </c>
      <c r="J112" s="105" t="str">
        <f>IF(0 = 1, "Yes", "No")</f>
        <v>No</v>
      </c>
      <c r="K112" s="105" t="str">
        <f>IF(0 = 0,"none","none")</f>
        <v>none</v>
      </c>
      <c r="L112" s="105" t="str">
        <f>IF(0 = 0,"none","none")</f>
        <v>none</v>
      </c>
      <c r="M112" s="105">
        <f>IF(0 = 0, ROUND(0, 1), "")</f>
        <v>0</v>
      </c>
      <c r="N112" s="105">
        <f>IF(0 = 0,ROUND(1.00999999, 3),"")</f>
        <v>1.01</v>
      </c>
      <c r="O112" s="266" t="str">
        <f>IF(0 = 0,IF(1 = 0, "Total", "Symmetrical"),"")</f>
        <v>Symmetrical</v>
      </c>
      <c r="P112" s="260">
        <f>IF(0 = 0,ROUND(0, 1),"")</f>
        <v>0</v>
      </c>
      <c r="Q112" s="105">
        <f>IF(0 = 0,ROUND(0, 1),"")</f>
        <v>0</v>
      </c>
      <c r="R112" s="105">
        <f>IF(0 = 0,ROUND(0, 1),"")</f>
        <v>0</v>
      </c>
      <c r="S112" s="260">
        <f>IF(0 = 0,ROUND(0, 1),"")</f>
        <v>0</v>
      </c>
      <c r="T112" s="242">
        <f>IF(0 = 0,CHOOSE(1 + 1, 3,5,8,2),"")</f>
        <v>5</v>
      </c>
      <c r="U112" s="267" t="str">
        <f>IF(0 = 0,"3","")</f>
        <v>3</v>
      </c>
      <c r="V112" s="260" t="str">
        <f>IF(0 = 1,ROUND(1250, 1),"")</f>
        <v/>
      </c>
      <c r="W112" s="260" t="str">
        <f>IF(0 = 1,ROUND(12, 3),"")</f>
        <v/>
      </c>
      <c r="X112" s="260" t="str">
        <f>IF(0 = 1,ROUND(100, 1),"")</f>
        <v/>
      </c>
      <c r="Y112" s="260" t="str">
        <f>IF(0 = 1,ROUND(0, 1),"")</f>
        <v/>
      </c>
      <c r="Z112" s="260" t="str">
        <f>IF(0 = 1,ROUND(0, 3),"")</f>
        <v/>
      </c>
      <c r="AA112" s="242" t="str">
        <f>IF(0 = 1,CHOOSE(0 + 1, 1.3,1.5),"")</f>
        <v/>
      </c>
      <c r="AB112" s="60" t="str">
        <f>IF(0 = 1,ROUND(0, 1),"")</f>
        <v/>
      </c>
      <c r="AC112" s="260" t="str">
        <f>IF(0 = 1,ROUND(3, 1),"")</f>
        <v/>
      </c>
      <c r="AD112" s="260"/>
      <c r="AE112" s="260"/>
      <c r="AF112" s="260"/>
      <c r="AG112" s="260"/>
      <c r="AH112" s="268"/>
      <c r="AI112" s="53" t="s">
        <v>6114</v>
      </c>
    </row>
    <row r="113" spans="1:35">
      <c r="A113" s="105" t="s">
        <v>6115</v>
      </c>
      <c r="B113" s="127" t="str">
        <f>IF(TRIM("BUS_CNODE_JCT__1390") = "", "BUS_CNODE_JCT__1390", "BUS_CNODE_JCT__1390")</f>
        <v>BUS_CNODE_JCT__1390</v>
      </c>
      <c r="C113" s="58" t="str">
        <f>IF(TRIM("BUS_CNODE_JCT__1328") = "", "BUS_CNODE_JCT__1328", "BUS_CNODE_JCT__1328")</f>
        <v>BUS_CNODE_JCT__1328</v>
      </c>
      <c r="D113" s="105" t="str">
        <f>IF(TRUE = TRUE, "Yes", "No")</f>
        <v>Yes</v>
      </c>
      <c r="E113" s="105" t="s">
        <v>5202</v>
      </c>
      <c r="F113" s="105" t="s">
        <v>5910</v>
      </c>
      <c r="G113" s="105"/>
      <c r="H113" s="105" t="str">
        <f>IF(0 = 0, "ANSI", "IEC")</f>
        <v>ANSI</v>
      </c>
      <c r="I113" s="105" t="str">
        <f>IF(1 = 0, "No", "Yes")</f>
        <v>Yes</v>
      </c>
      <c r="J113" s="105" t="str">
        <f>IF(0 = 1, "Yes", "No")</f>
        <v>No</v>
      </c>
      <c r="K113" s="105" t="str">
        <f>IF(0 = 0,"none","none")</f>
        <v>none</v>
      </c>
      <c r="L113" s="105" t="str">
        <f>IF(0 = 0,"none","none")</f>
        <v>none</v>
      </c>
      <c r="M113" s="105">
        <f>IF(0 = 0, ROUND(0, 1), "")</f>
        <v>0</v>
      </c>
      <c r="N113" s="105">
        <f>IF(0 = 0,ROUND(1.00999999, 3),"")</f>
        <v>1.01</v>
      </c>
      <c r="O113" s="266" t="str">
        <f>IF(0 = 0,IF(1 = 0, "Total", "Symmetrical"),"")</f>
        <v>Symmetrical</v>
      </c>
      <c r="P113" s="260">
        <f>IF(0 = 0,ROUND(0, 1),"")</f>
        <v>0</v>
      </c>
      <c r="Q113" s="105">
        <f>IF(0 = 0,ROUND(0, 1),"")</f>
        <v>0</v>
      </c>
      <c r="R113" s="105">
        <f>IF(0 = 0,ROUND(0, 1),"")</f>
        <v>0</v>
      </c>
      <c r="S113" s="260">
        <f>IF(0 = 0,ROUND(0, 1),"")</f>
        <v>0</v>
      </c>
      <c r="T113" s="242">
        <f>IF(0 = 0,CHOOSE(1 + 1, 3,5,8,2),"")</f>
        <v>5</v>
      </c>
      <c r="U113" s="267" t="str">
        <f>IF(0 = 0,"3","")</f>
        <v>3</v>
      </c>
      <c r="V113" s="260" t="str">
        <f>IF(0 = 1,ROUND(1250, 1),"")</f>
        <v/>
      </c>
      <c r="W113" s="260" t="str">
        <f>IF(0 = 1,ROUND(12, 3),"")</f>
        <v/>
      </c>
      <c r="X113" s="260" t="str">
        <f>IF(0 = 1,ROUND(100, 1),"")</f>
        <v/>
      </c>
      <c r="Y113" s="260" t="str">
        <f>IF(0 = 1,ROUND(0, 1),"")</f>
        <v/>
      </c>
      <c r="Z113" s="260" t="str">
        <f>IF(0 = 1,ROUND(0, 3),"")</f>
        <v/>
      </c>
      <c r="AA113" s="242" t="str">
        <f>IF(0 = 1,CHOOSE(0 + 1, 1.3,1.5),"")</f>
        <v/>
      </c>
      <c r="AB113" s="60" t="str">
        <f>IF(0 = 1,ROUND(0, 1),"")</f>
        <v/>
      </c>
      <c r="AC113" s="260" t="str">
        <f>IF(0 = 1,ROUND(3, 1),"")</f>
        <v/>
      </c>
      <c r="AD113" s="260"/>
      <c r="AE113" s="260"/>
      <c r="AF113" s="260"/>
      <c r="AG113" s="260"/>
      <c r="AH113" s="268"/>
      <c r="AI113" s="53" t="s">
        <v>6116</v>
      </c>
    </row>
    <row r="114" spans="1:35">
      <c r="A114" s="105" t="s">
        <v>6117</v>
      </c>
      <c r="B114" s="127" t="str">
        <f>IF(TRIM("BUS_CNODE_JCT__1382") = "", "BUS_CNODE_JCT__1382", "BUS_CNODE_JCT__1382")</f>
        <v>BUS_CNODE_JCT__1382</v>
      </c>
      <c r="C114" s="58" t="str">
        <f>IF(TRIM("BUS_CNODE_JCT__1462") = "", "BUS_CNODE_JCT__1462", "BUS_CNODE_JCT__1462")</f>
        <v>BUS_CNODE_JCT__1462</v>
      </c>
      <c r="D114" s="105" t="str">
        <f>IF(TRUE = TRUE, "Yes", "No")</f>
        <v>Yes</v>
      </c>
      <c r="E114" s="105" t="s">
        <v>5202</v>
      </c>
      <c r="F114" s="105" t="s">
        <v>5910</v>
      </c>
      <c r="G114" s="105"/>
      <c r="H114" s="105" t="str">
        <f>IF(0 = 0, "ANSI", "IEC")</f>
        <v>ANSI</v>
      </c>
      <c r="I114" s="105" t="str">
        <f>IF(1 = 0, "No", "Yes")</f>
        <v>Yes</v>
      </c>
      <c r="J114" s="105" t="str">
        <f>IF(0 = 1, "Yes", "No")</f>
        <v>No</v>
      </c>
      <c r="K114" s="105" t="str">
        <f>IF(0 = 0,"none","none")</f>
        <v>none</v>
      </c>
      <c r="L114" s="105" t="str">
        <f>IF(0 = 0,"none","none")</f>
        <v>none</v>
      </c>
      <c r="M114" s="105">
        <f>IF(0 = 0, ROUND(0, 1), "")</f>
        <v>0</v>
      </c>
      <c r="N114" s="105">
        <f>IF(0 = 0,ROUND(1.00999999, 3),"")</f>
        <v>1.01</v>
      </c>
      <c r="O114" s="266" t="str">
        <f>IF(0 = 0,IF(1 = 0, "Total", "Symmetrical"),"")</f>
        <v>Symmetrical</v>
      </c>
      <c r="P114" s="260">
        <f>IF(0 = 0,ROUND(0, 1),"")</f>
        <v>0</v>
      </c>
      <c r="Q114" s="105">
        <f>IF(0 = 0,ROUND(0, 1),"")</f>
        <v>0</v>
      </c>
      <c r="R114" s="105">
        <f>IF(0 = 0,ROUND(0, 1),"")</f>
        <v>0</v>
      </c>
      <c r="S114" s="260">
        <f>IF(0 = 0,ROUND(0, 1),"")</f>
        <v>0</v>
      </c>
      <c r="T114" s="242">
        <f>IF(0 = 0,CHOOSE(1 + 1, 3,5,8,2),"")</f>
        <v>5</v>
      </c>
      <c r="U114" s="267" t="str">
        <f>IF(0 = 0,"3","")</f>
        <v>3</v>
      </c>
      <c r="V114" s="260" t="str">
        <f>IF(0 = 1,ROUND(1250, 1),"")</f>
        <v/>
      </c>
      <c r="W114" s="260" t="str">
        <f>IF(0 = 1,ROUND(12, 3),"")</f>
        <v/>
      </c>
      <c r="X114" s="260" t="str">
        <f>IF(0 = 1,ROUND(100, 1),"")</f>
        <v/>
      </c>
      <c r="Y114" s="260" t="str">
        <f>IF(0 = 1,ROUND(0, 1),"")</f>
        <v/>
      </c>
      <c r="Z114" s="260" t="str">
        <f>IF(0 = 1,ROUND(0, 3),"")</f>
        <v/>
      </c>
      <c r="AA114" s="242" t="str">
        <f>IF(0 = 1,CHOOSE(0 + 1, 1.3,1.5),"")</f>
        <v/>
      </c>
      <c r="AB114" s="60" t="str">
        <f>IF(0 = 1,ROUND(0, 1),"")</f>
        <v/>
      </c>
      <c r="AC114" s="260" t="str">
        <f>IF(0 = 1,ROUND(3, 1),"")</f>
        <v/>
      </c>
      <c r="AD114" s="260"/>
      <c r="AE114" s="260"/>
      <c r="AF114" s="260"/>
      <c r="AG114" s="260"/>
      <c r="AH114" s="268"/>
      <c r="AI114" s="53" t="s">
        <v>6118</v>
      </c>
    </row>
    <row r="115" spans="1:35">
      <c r="A115" s="105" t="s">
        <v>6119</v>
      </c>
      <c r="B115" s="127" t="str">
        <f>IF(TRIM("BUS_CNODE_JCT__1388") = "", "BUS_CNODE_JCT__1388", "BUS_CNODE_JCT__1388")</f>
        <v>BUS_CNODE_JCT__1388</v>
      </c>
      <c r="C115" s="58" t="str">
        <f>IF(TRIM("BUS_CNODE_JCT__1287") = "", "BUS_CNODE_JCT__1287", "BUS_CNODE_JCT__1287")</f>
        <v>BUS_CNODE_JCT__1287</v>
      </c>
      <c r="D115" s="105" t="str">
        <f>IF(TRUE = TRUE, "Yes", "No")</f>
        <v>Yes</v>
      </c>
      <c r="E115" s="105" t="s">
        <v>5202</v>
      </c>
      <c r="F115" s="105" t="s">
        <v>5910</v>
      </c>
      <c r="G115" s="105"/>
      <c r="H115" s="105" t="str">
        <f>IF(0 = 0, "ANSI", "IEC")</f>
        <v>ANSI</v>
      </c>
      <c r="I115" s="105" t="str">
        <f>IF(1 = 0, "No", "Yes")</f>
        <v>Yes</v>
      </c>
      <c r="J115" s="105" t="str">
        <f>IF(0 = 1, "Yes", "No")</f>
        <v>No</v>
      </c>
      <c r="K115" s="105" t="str">
        <f>IF(0 = 0,"none","none")</f>
        <v>none</v>
      </c>
      <c r="L115" s="105" t="str">
        <f>IF(0 = 0,"none","none")</f>
        <v>none</v>
      </c>
      <c r="M115" s="105">
        <f>IF(0 = 0, ROUND(0, 1), "")</f>
        <v>0</v>
      </c>
      <c r="N115" s="105">
        <f>IF(0 = 0,ROUND(1.00999999, 3),"")</f>
        <v>1.01</v>
      </c>
      <c r="O115" s="266" t="str">
        <f>IF(0 = 0,IF(1 = 0, "Total", "Symmetrical"),"")</f>
        <v>Symmetrical</v>
      </c>
      <c r="P115" s="260">
        <f>IF(0 = 0,ROUND(0, 1),"")</f>
        <v>0</v>
      </c>
      <c r="Q115" s="105">
        <f>IF(0 = 0,ROUND(0, 1),"")</f>
        <v>0</v>
      </c>
      <c r="R115" s="105">
        <f>IF(0 = 0,ROUND(0, 1),"")</f>
        <v>0</v>
      </c>
      <c r="S115" s="260">
        <f>IF(0 = 0,ROUND(0, 1),"")</f>
        <v>0</v>
      </c>
      <c r="T115" s="242">
        <f>IF(0 = 0,CHOOSE(1 + 1, 3,5,8,2),"")</f>
        <v>5</v>
      </c>
      <c r="U115" s="267" t="str">
        <f>IF(0 = 0,"3","")</f>
        <v>3</v>
      </c>
      <c r="V115" s="260" t="str">
        <f>IF(0 = 1,ROUND(1250, 1),"")</f>
        <v/>
      </c>
      <c r="W115" s="260" t="str">
        <f>IF(0 = 1,ROUND(12, 3),"")</f>
        <v/>
      </c>
      <c r="X115" s="260" t="str">
        <f>IF(0 = 1,ROUND(100, 1),"")</f>
        <v/>
      </c>
      <c r="Y115" s="260" t="str">
        <f>IF(0 = 1,ROUND(0, 1),"")</f>
        <v/>
      </c>
      <c r="Z115" s="260" t="str">
        <f>IF(0 = 1,ROUND(0, 3),"")</f>
        <v/>
      </c>
      <c r="AA115" s="242" t="str">
        <f>IF(0 = 1,CHOOSE(0 + 1, 1.3,1.5),"")</f>
        <v/>
      </c>
      <c r="AB115" s="60" t="str">
        <f>IF(0 = 1,ROUND(0, 1),"")</f>
        <v/>
      </c>
      <c r="AC115" s="260" t="str">
        <f>IF(0 = 1,ROUND(3, 1),"")</f>
        <v/>
      </c>
      <c r="AD115" s="260"/>
      <c r="AE115" s="260"/>
      <c r="AF115" s="260"/>
      <c r="AG115" s="260"/>
      <c r="AH115" s="268"/>
      <c r="AI115" s="53" t="s">
        <v>6120</v>
      </c>
    </row>
    <row r="116" spans="1:35">
      <c r="A116" s="105" t="s">
        <v>6121</v>
      </c>
      <c r="B116" s="127" t="str">
        <f>IF(TRIM("BUS_CNODE_JCT__1445") = "", "BUS_CNODE_JCT__1445", "BUS_CNODE_JCT__1445")</f>
        <v>BUS_CNODE_JCT__1445</v>
      </c>
      <c r="C116" s="58" t="str">
        <f>IF(TRIM("BUS_逸翠居小区#1箱变_226") = "", "BUS_逸翠居小区#1箱变_226", "BUS_逸翠居小区#1箱变_226")</f>
        <v>BUS_逸翠居小区#1箱变_226</v>
      </c>
      <c r="D116" s="105" t="str">
        <f>IF(TRUE = TRUE, "Yes", "No")</f>
        <v>Yes</v>
      </c>
      <c r="E116" s="105" t="s">
        <v>5202</v>
      </c>
      <c r="F116" s="105" t="s">
        <v>5910</v>
      </c>
      <c r="G116" s="105"/>
      <c r="H116" s="105" t="str">
        <f>IF(0 = 0, "ANSI", "IEC")</f>
        <v>ANSI</v>
      </c>
      <c r="I116" s="105" t="str">
        <f>IF(1 = 0, "No", "Yes")</f>
        <v>Yes</v>
      </c>
      <c r="J116" s="105" t="str">
        <f>IF(0 = 1, "Yes", "No")</f>
        <v>No</v>
      </c>
      <c r="K116" s="105" t="str">
        <f>IF(0 = 0,"none","none")</f>
        <v>none</v>
      </c>
      <c r="L116" s="105" t="str">
        <f>IF(0 = 0,"none","none")</f>
        <v>none</v>
      </c>
      <c r="M116" s="105">
        <f>IF(0 = 0, ROUND(0, 1), "")</f>
        <v>0</v>
      </c>
      <c r="N116" s="105">
        <f>IF(0 = 0,ROUND(1.00999999, 3),"")</f>
        <v>1.01</v>
      </c>
      <c r="O116" s="266" t="str">
        <f>IF(0 = 0,IF(1 = 0, "Total", "Symmetrical"),"")</f>
        <v>Symmetrical</v>
      </c>
      <c r="P116" s="260">
        <f>IF(0 = 0,ROUND(0, 1),"")</f>
        <v>0</v>
      </c>
      <c r="Q116" s="105">
        <f>IF(0 = 0,ROUND(0, 1),"")</f>
        <v>0</v>
      </c>
      <c r="R116" s="105">
        <f>IF(0 = 0,ROUND(0, 1),"")</f>
        <v>0</v>
      </c>
      <c r="S116" s="260">
        <f>IF(0 = 0,ROUND(0, 1),"")</f>
        <v>0</v>
      </c>
      <c r="T116" s="242">
        <f>IF(0 = 0,CHOOSE(1 + 1, 3,5,8,2),"")</f>
        <v>5</v>
      </c>
      <c r="U116" s="267" t="str">
        <f>IF(0 = 0,"3","")</f>
        <v>3</v>
      </c>
      <c r="V116" s="260" t="str">
        <f>IF(0 = 1,ROUND(1250, 1),"")</f>
        <v/>
      </c>
      <c r="W116" s="260" t="str">
        <f>IF(0 = 1,ROUND(12, 3),"")</f>
        <v/>
      </c>
      <c r="X116" s="260" t="str">
        <f>IF(0 = 1,ROUND(630, 1),"")</f>
        <v/>
      </c>
      <c r="Y116" s="260" t="str">
        <f>IF(0 = 1,ROUND(0, 1),"")</f>
        <v/>
      </c>
      <c r="Z116" s="260" t="str">
        <f>IF(0 = 1,ROUND(0, 3),"")</f>
        <v/>
      </c>
      <c r="AA116" s="242" t="str">
        <f>IF(0 = 1,CHOOSE(0 + 1, 1.3,1.5),"")</f>
        <v/>
      </c>
      <c r="AB116" s="60" t="str">
        <f>IF(0 = 1,ROUND(0, 1),"")</f>
        <v/>
      </c>
      <c r="AC116" s="260" t="str">
        <f>IF(0 = 1,ROUND(3, 1),"")</f>
        <v/>
      </c>
      <c r="AD116" s="260"/>
      <c r="AE116" s="260"/>
      <c r="AF116" s="260"/>
      <c r="AG116" s="260"/>
      <c r="AH116" s="268"/>
      <c r="AI116" s="53" t="s">
        <v>6122</v>
      </c>
    </row>
    <row r="117" spans="1:35">
      <c r="A117" s="105" t="s">
        <v>6123</v>
      </c>
      <c r="B117" s="127" t="str">
        <f>IF(TRIM("BUS_CNODE_JCT__1444") = "", "BUS_CNODE_JCT__1444", "BUS_CNODE_JCT__1444")</f>
        <v>BUS_CNODE_JCT__1444</v>
      </c>
      <c r="C117" s="58" t="str">
        <f>IF(TRIM("BUS_逸翠居小区#2箱变_225") = "", "BUS_逸翠居小区#2箱变_225", "BUS_逸翠居小区#2箱变_225")</f>
        <v>BUS_逸翠居小区#2箱变_225</v>
      </c>
      <c r="D117" s="105" t="str">
        <f>IF(TRUE = TRUE, "Yes", "No")</f>
        <v>Yes</v>
      </c>
      <c r="E117" s="105" t="s">
        <v>5202</v>
      </c>
      <c r="F117" s="105" t="s">
        <v>5910</v>
      </c>
      <c r="G117" s="105"/>
      <c r="H117" s="105" t="str">
        <f>IF(0 = 0, "ANSI", "IEC")</f>
        <v>ANSI</v>
      </c>
      <c r="I117" s="105" t="str">
        <f>IF(1 = 0, "No", "Yes")</f>
        <v>Yes</v>
      </c>
      <c r="J117" s="105" t="str">
        <f>IF(0 = 1, "Yes", "No")</f>
        <v>No</v>
      </c>
      <c r="K117" s="105" t="str">
        <f>IF(0 = 0,"none","none")</f>
        <v>none</v>
      </c>
      <c r="L117" s="105" t="str">
        <f>IF(0 = 0,"none","none")</f>
        <v>none</v>
      </c>
      <c r="M117" s="105">
        <f>IF(0 = 0, ROUND(0, 1), "")</f>
        <v>0</v>
      </c>
      <c r="N117" s="105">
        <f>IF(0 = 0,ROUND(1.00999999, 3),"")</f>
        <v>1.01</v>
      </c>
      <c r="O117" s="266" t="str">
        <f>IF(0 = 0,IF(1 = 0, "Total", "Symmetrical"),"")</f>
        <v>Symmetrical</v>
      </c>
      <c r="P117" s="260">
        <f>IF(0 = 0,ROUND(0, 1),"")</f>
        <v>0</v>
      </c>
      <c r="Q117" s="105">
        <f>IF(0 = 0,ROUND(0, 1),"")</f>
        <v>0</v>
      </c>
      <c r="R117" s="105">
        <f>IF(0 = 0,ROUND(0, 1),"")</f>
        <v>0</v>
      </c>
      <c r="S117" s="260">
        <f>IF(0 = 0,ROUND(0, 1),"")</f>
        <v>0</v>
      </c>
      <c r="T117" s="242">
        <f>IF(0 = 0,CHOOSE(1 + 1, 3,5,8,2),"")</f>
        <v>5</v>
      </c>
      <c r="U117" s="267" t="str">
        <f>IF(0 = 0,"3","")</f>
        <v>3</v>
      </c>
      <c r="V117" s="260" t="str">
        <f>IF(0 = 1,ROUND(1250, 1),"")</f>
        <v/>
      </c>
      <c r="W117" s="260" t="str">
        <f>IF(0 = 1,ROUND(12, 3),"")</f>
        <v/>
      </c>
      <c r="X117" s="260" t="str">
        <f>IF(0 = 1,ROUND(630, 1),"")</f>
        <v/>
      </c>
      <c r="Y117" s="260" t="str">
        <f>IF(0 = 1,ROUND(0, 1),"")</f>
        <v/>
      </c>
      <c r="Z117" s="260" t="str">
        <f>IF(0 = 1,ROUND(0, 3),"")</f>
        <v/>
      </c>
      <c r="AA117" s="242" t="str">
        <f>IF(0 = 1,CHOOSE(0 + 1, 1.3,1.5),"")</f>
        <v/>
      </c>
      <c r="AB117" s="60" t="str">
        <f>IF(0 = 1,ROUND(0, 1),"")</f>
        <v/>
      </c>
      <c r="AC117" s="260" t="str">
        <f>IF(0 = 1,ROUND(3, 1),"")</f>
        <v/>
      </c>
      <c r="AD117" s="260"/>
      <c r="AE117" s="260"/>
      <c r="AF117" s="260"/>
      <c r="AG117" s="260"/>
      <c r="AH117" s="268"/>
      <c r="AI117" s="53" t="s">
        <v>6124</v>
      </c>
    </row>
    <row r="118" spans="1:35">
      <c r="A118" s="105" t="s">
        <v>6125</v>
      </c>
      <c r="B118" s="127" t="str">
        <f>IF(TRIM("BUS_号线2号环网柜（自）_241") = "", "BUS_号线2号环网柜（自）_241", "BUS_号线2号环网柜（自）_241")</f>
        <v>BUS_号线2号环网柜（自）_241</v>
      </c>
      <c r="C118" s="58" t="str">
        <f>IF(TRIM("BUS_CNODE_JCT__1472") = "", "BUS_CNODE_JCT__1472", "BUS_CNODE_JCT__1472")</f>
        <v>BUS_CNODE_JCT__1472</v>
      </c>
      <c r="D118" s="105" t="str">
        <f>IF(TRUE = TRUE, "Yes", "No")</f>
        <v>Yes</v>
      </c>
      <c r="E118" s="105" t="s">
        <v>5202</v>
      </c>
      <c r="F118" s="105" t="s">
        <v>5910</v>
      </c>
      <c r="G118" s="105"/>
      <c r="H118" s="105" t="str">
        <f>IF(0 = 0, "ANSI", "IEC")</f>
        <v>ANSI</v>
      </c>
      <c r="I118" s="105" t="str">
        <f>IF(1 = 0, "No", "Yes")</f>
        <v>Yes</v>
      </c>
      <c r="J118" s="105" t="str">
        <f>IF(0 = 1, "Yes", "No")</f>
        <v>No</v>
      </c>
      <c r="K118" s="105" t="str">
        <f>IF(0 = 0,"none","none")</f>
        <v>none</v>
      </c>
      <c r="L118" s="105" t="str">
        <f>IF(0 = 0,"none","none")</f>
        <v>none</v>
      </c>
      <c r="M118" s="105">
        <f>IF(0 = 0, ROUND(0, 1), "")</f>
        <v>0</v>
      </c>
      <c r="N118" s="105">
        <f>IF(0 = 0,ROUND(1.00999999, 3),"")</f>
        <v>1.01</v>
      </c>
      <c r="O118" s="266" t="str">
        <f>IF(0 = 0,IF(1 = 0, "Total", "Symmetrical"),"")</f>
        <v>Symmetrical</v>
      </c>
      <c r="P118" s="260">
        <f>IF(0 = 0,ROUND(0, 1),"")</f>
        <v>0</v>
      </c>
      <c r="Q118" s="105">
        <f>IF(0 = 0,ROUND(0, 1),"")</f>
        <v>0</v>
      </c>
      <c r="R118" s="105">
        <f>IF(0 = 0,ROUND(0, 1),"")</f>
        <v>0</v>
      </c>
      <c r="S118" s="260">
        <f>IF(0 = 0,ROUND(0, 1),"")</f>
        <v>0</v>
      </c>
      <c r="T118" s="242">
        <f>IF(0 = 0,CHOOSE(1 + 1, 3,5,8,2),"")</f>
        <v>5</v>
      </c>
      <c r="U118" s="267" t="str">
        <f>IF(0 = 0,"3","")</f>
        <v>3</v>
      </c>
      <c r="V118" s="260" t="str">
        <f>IF(0 = 1,ROUND(1250, 1),"")</f>
        <v/>
      </c>
      <c r="W118" s="260" t="str">
        <f>IF(0 = 1,ROUND(12, 3),"")</f>
        <v/>
      </c>
      <c r="X118" s="260" t="str">
        <f>IF(0 = 1,ROUND(630, 1),"")</f>
        <v/>
      </c>
      <c r="Y118" s="260" t="str">
        <f>IF(0 = 1,ROUND(0, 1),"")</f>
        <v/>
      </c>
      <c r="Z118" s="260" t="str">
        <f>IF(0 = 1,ROUND(0, 3),"")</f>
        <v/>
      </c>
      <c r="AA118" s="242" t="str">
        <f>IF(0 = 1,CHOOSE(0 + 1, 1.3,1.5),"")</f>
        <v/>
      </c>
      <c r="AB118" s="60" t="str">
        <f>IF(0 = 1,ROUND(0, 1),"")</f>
        <v/>
      </c>
      <c r="AC118" s="260" t="str">
        <f>IF(0 = 1,ROUND(3, 1),"")</f>
        <v/>
      </c>
      <c r="AD118" s="260"/>
      <c r="AE118" s="260"/>
      <c r="AF118" s="260"/>
      <c r="AG118" s="260"/>
      <c r="AH118" s="268"/>
      <c r="AI118" s="53" t="s">
        <v>6126</v>
      </c>
    </row>
    <row r="119" spans="1:35">
      <c r="A119" s="105" t="s">
        <v>6127</v>
      </c>
      <c r="B119" s="127" t="str">
        <f>IF(TRIM("") = "", "", "")</f>
        <v/>
      </c>
      <c r="C119" s="58" t="str">
        <f>IF(TRIM("BUS_航线#4环网柜（自）_200") = "", "BUS_航线#4环网柜（自）_200", "BUS_航线#4环网柜（自）_200")</f>
        <v>BUS_航线#4环网柜（自）_200</v>
      </c>
      <c r="D119" s="105" t="str">
        <f>IF(TRUE = TRUE, "Yes", "No")</f>
        <v>Yes</v>
      </c>
      <c r="E119" s="105" t="s">
        <v>5202</v>
      </c>
      <c r="F119" s="105" t="s">
        <v>5921</v>
      </c>
      <c r="G119" s="105"/>
      <c r="H119" s="105" t="str">
        <f>IF(0 = 0, "ANSI", "IEC")</f>
        <v>ANSI</v>
      </c>
      <c r="I119" s="105" t="str">
        <f>IF(1 = 0, "No", "Yes")</f>
        <v>Yes</v>
      </c>
      <c r="J119" s="105" t="str">
        <f>IF(0 = 1, "Yes", "No")</f>
        <v>No</v>
      </c>
      <c r="K119" s="105" t="str">
        <f>IF(0 = 0,"none","none")</f>
        <v>none</v>
      </c>
      <c r="L119" s="105" t="str">
        <f>IF(0 = 0,"none","none")</f>
        <v>none</v>
      </c>
      <c r="M119" s="105">
        <f>IF(0 = 0, ROUND(0, 1), "")</f>
        <v>0</v>
      </c>
      <c r="N119" s="105">
        <f>IF(0 = 0,ROUND(1.00999999, 3),"")</f>
        <v>1.01</v>
      </c>
      <c r="O119" s="266" t="str">
        <f>IF(0 = 0,IF(1 = 0, "Total", "Symmetrical"),"")</f>
        <v>Symmetrical</v>
      </c>
      <c r="P119" s="260">
        <f>IF(0 = 0,ROUND(0, 1),"")</f>
        <v>0</v>
      </c>
      <c r="Q119" s="105">
        <f>IF(0 = 0,ROUND(0, 1),"")</f>
        <v>0</v>
      </c>
      <c r="R119" s="105">
        <f>IF(0 = 0,ROUND(0, 1),"")</f>
        <v>0</v>
      </c>
      <c r="S119" s="260">
        <f>IF(0 = 0,ROUND(0, 1),"")</f>
        <v>0</v>
      </c>
      <c r="T119" s="242">
        <f>IF(0 = 0,CHOOSE(1 + 1, 3,5,8,2),"")</f>
        <v>5</v>
      </c>
      <c r="U119" s="267" t="str">
        <f>IF(0 = 0,"3","")</f>
        <v>3</v>
      </c>
      <c r="V119" s="260" t="str">
        <f>IF(0 = 1,ROUND(1250, 1),"")</f>
        <v/>
      </c>
      <c r="W119" s="260" t="str">
        <f>IF(0 = 1,ROUND(12, 3),"")</f>
        <v/>
      </c>
      <c r="X119" s="260" t="str">
        <f>IF(0 = 1,ROUND(100, 1),"")</f>
        <v/>
      </c>
      <c r="Y119" s="260" t="str">
        <f>IF(0 = 1,ROUND(0, 1),"")</f>
        <v/>
      </c>
      <c r="Z119" s="260" t="str">
        <f>IF(0 = 1,ROUND(0, 3),"")</f>
        <v/>
      </c>
      <c r="AA119" s="242" t="str">
        <f>IF(0 = 1,CHOOSE(0 + 1, 1.3,1.5),"")</f>
        <v/>
      </c>
      <c r="AB119" s="60" t="str">
        <f>IF(0 = 1,ROUND(0, 1),"")</f>
        <v/>
      </c>
      <c r="AC119" s="260" t="str">
        <f>IF(0 = 1,ROUND(3, 1),"")</f>
        <v/>
      </c>
      <c r="AD119" s="260"/>
      <c r="AE119" s="260"/>
      <c r="AF119" s="260"/>
      <c r="AG119" s="260"/>
      <c r="AH119" s="268"/>
      <c r="AI119" s="53" t="s">
        <v>6128</v>
      </c>
    </row>
    <row r="120" spans="1:35">
      <c r="A120" s="105" t="s">
        <v>6129</v>
      </c>
      <c r="B120" s="127" t="str">
        <f>IF(TRIM("BUS_航线#4环网柜（自）_200") = "", "BUS_航线#4环网柜（自）_200", "BUS_航线#4环网柜（自）_200")</f>
        <v>BUS_航线#4环网柜（自）_200</v>
      </c>
      <c r="C120" s="58" t="str">
        <f>IF(TRIM("") = "", "", "")</f>
        <v/>
      </c>
      <c r="D120" s="105" t="str">
        <f>IF(TRUE = TRUE, "Yes", "No")</f>
        <v>Yes</v>
      </c>
      <c r="E120" s="105" t="s">
        <v>5202</v>
      </c>
      <c r="F120" s="105" t="s">
        <v>5910</v>
      </c>
      <c r="G120" s="105"/>
      <c r="H120" s="105" t="str">
        <f>IF(0 = 0, "ANSI", "IEC")</f>
        <v>ANSI</v>
      </c>
      <c r="I120" s="105" t="str">
        <f>IF(1 = 0, "No", "Yes")</f>
        <v>Yes</v>
      </c>
      <c r="J120" s="105" t="str">
        <f>IF(0 = 1, "Yes", "No")</f>
        <v>No</v>
      </c>
      <c r="K120" s="105" t="str">
        <f>IF(0 = 0,"none","none")</f>
        <v>none</v>
      </c>
      <c r="L120" s="105" t="str">
        <f>IF(0 = 0,"none","none")</f>
        <v>none</v>
      </c>
      <c r="M120" s="105">
        <f>IF(0 = 0, ROUND(0, 1), "")</f>
        <v>0</v>
      </c>
      <c r="N120" s="105">
        <f>IF(0 = 0,ROUND(1.00999999, 3),"")</f>
        <v>1.01</v>
      </c>
      <c r="O120" s="266" t="str">
        <f>IF(0 = 0,IF(1 = 0, "Total", "Symmetrical"),"")</f>
        <v>Symmetrical</v>
      </c>
      <c r="P120" s="260">
        <f>IF(0 = 0,ROUND(0, 1),"")</f>
        <v>0</v>
      </c>
      <c r="Q120" s="105">
        <f>IF(0 = 0,ROUND(0, 1),"")</f>
        <v>0</v>
      </c>
      <c r="R120" s="105">
        <f>IF(0 = 0,ROUND(0, 1),"")</f>
        <v>0</v>
      </c>
      <c r="S120" s="260">
        <f>IF(0 = 0,ROUND(0, 1),"")</f>
        <v>0</v>
      </c>
      <c r="T120" s="242">
        <f>IF(0 = 0,CHOOSE(1 + 1, 3,5,8,2),"")</f>
        <v>5</v>
      </c>
      <c r="U120" s="267" t="str">
        <f>IF(0 = 0,"3","")</f>
        <v>3</v>
      </c>
      <c r="V120" s="260" t="str">
        <f>IF(0 = 1,ROUND(1250, 1),"")</f>
        <v/>
      </c>
      <c r="W120" s="260" t="str">
        <f>IF(0 = 1,ROUND(12, 3),"")</f>
        <v/>
      </c>
      <c r="X120" s="260" t="str">
        <f>IF(0 = 1,ROUND(100, 1),"")</f>
        <v/>
      </c>
      <c r="Y120" s="260" t="str">
        <f>IF(0 = 1,ROUND(0, 1),"")</f>
        <v/>
      </c>
      <c r="Z120" s="260" t="str">
        <f>IF(0 = 1,ROUND(0, 3),"")</f>
        <v/>
      </c>
      <c r="AA120" s="242" t="str">
        <f>IF(0 = 1,CHOOSE(0 + 1, 1.3,1.5),"")</f>
        <v/>
      </c>
      <c r="AB120" s="60" t="str">
        <f>IF(0 = 1,ROUND(0, 1),"")</f>
        <v/>
      </c>
      <c r="AC120" s="260" t="str">
        <f>IF(0 = 1,ROUND(3, 1),"")</f>
        <v/>
      </c>
      <c r="AD120" s="260"/>
      <c r="AE120" s="260"/>
      <c r="AF120" s="260"/>
      <c r="AG120" s="260"/>
      <c r="AH120" s="268"/>
      <c r="AI120" s="53" t="s">
        <v>6130</v>
      </c>
    </row>
    <row r="121" spans="1:35">
      <c r="A121" s="105" t="s">
        <v>6131</v>
      </c>
      <c r="B121" s="127" t="str">
        <f>IF(TRIM("BUS_涛线3号环网柜（自）_242") = "", "BUS_涛线3号环网柜（自）_242", "BUS_涛线3号环网柜（自）_242")</f>
        <v>BUS_涛线3号环网柜（自）_242</v>
      </c>
      <c r="C121" s="58" t="str">
        <f>IF(TRIM("BUS_CNODE_JCT__1480") = "", "BUS_CNODE_JCT__1480", "BUS_CNODE_JCT__1480")</f>
        <v>BUS_CNODE_JCT__1480</v>
      </c>
      <c r="D121" s="105" t="str">
        <f>IF(TRUE = TRUE, "Yes", "No")</f>
        <v>Yes</v>
      </c>
      <c r="E121" s="105" t="s">
        <v>5202</v>
      </c>
      <c r="F121" s="105" t="s">
        <v>5910</v>
      </c>
      <c r="G121" s="105"/>
      <c r="H121" s="105" t="str">
        <f>IF(0 = 0, "ANSI", "IEC")</f>
        <v>ANSI</v>
      </c>
      <c r="I121" s="105" t="str">
        <f>IF(1 = 0, "No", "Yes")</f>
        <v>Yes</v>
      </c>
      <c r="J121" s="105" t="str">
        <f>IF(0 = 1, "Yes", "No")</f>
        <v>No</v>
      </c>
      <c r="K121" s="105" t="str">
        <f>IF(0 = 0,"none","none")</f>
        <v>none</v>
      </c>
      <c r="L121" s="105" t="str">
        <f>IF(0 = 0,"none","none")</f>
        <v>none</v>
      </c>
      <c r="M121" s="105">
        <f>IF(0 = 0, ROUND(0, 1), "")</f>
        <v>0</v>
      </c>
      <c r="N121" s="105">
        <f>IF(0 = 0,ROUND(1.00999999, 3),"")</f>
        <v>1.01</v>
      </c>
      <c r="O121" s="266" t="str">
        <f>IF(0 = 0,IF(1 = 0, "Total", "Symmetrical"),"")</f>
        <v>Symmetrical</v>
      </c>
      <c r="P121" s="260">
        <f>IF(0 = 0,ROUND(0, 1),"")</f>
        <v>0</v>
      </c>
      <c r="Q121" s="105">
        <f>IF(0 = 0,ROUND(0, 1),"")</f>
        <v>0</v>
      </c>
      <c r="R121" s="105">
        <f>IF(0 = 0,ROUND(0, 1),"")</f>
        <v>0</v>
      </c>
      <c r="S121" s="260">
        <f>IF(0 = 0,ROUND(0, 1),"")</f>
        <v>0</v>
      </c>
      <c r="T121" s="242">
        <f>IF(0 = 0,CHOOSE(1 + 1, 3,5,8,2),"")</f>
        <v>5</v>
      </c>
      <c r="U121" s="267" t="str">
        <f>IF(0 = 0,"3","")</f>
        <v>3</v>
      </c>
      <c r="V121" s="260" t="str">
        <f>IF(0 = 1,ROUND(1250, 1),"")</f>
        <v/>
      </c>
      <c r="W121" s="260" t="str">
        <f>IF(0 = 1,ROUND(12, 3),"")</f>
        <v/>
      </c>
      <c r="X121" s="260" t="str">
        <f>IF(0 = 1,ROUND(630, 1),"")</f>
        <v/>
      </c>
      <c r="Y121" s="260" t="str">
        <f>IF(0 = 1,ROUND(0, 1),"")</f>
        <v/>
      </c>
      <c r="Z121" s="260" t="str">
        <f>IF(0 = 1,ROUND(0, 3),"")</f>
        <v/>
      </c>
      <c r="AA121" s="242" t="str">
        <f>IF(0 = 1,CHOOSE(0 + 1, 1.3,1.5),"")</f>
        <v/>
      </c>
      <c r="AB121" s="60" t="str">
        <f>IF(0 = 1,ROUND(0, 1),"")</f>
        <v/>
      </c>
      <c r="AC121" s="260" t="str">
        <f>IF(0 = 1,ROUND(3, 1),"")</f>
        <v/>
      </c>
      <c r="AD121" s="260"/>
      <c r="AE121" s="260"/>
      <c r="AF121" s="260"/>
      <c r="AG121" s="260"/>
      <c r="AH121" s="268"/>
      <c r="AI121" s="53" t="s">
        <v>6132</v>
      </c>
    </row>
    <row r="122" spans="1:35">
      <c r="A122" s="105" t="s">
        <v>6133</v>
      </c>
      <c r="B122" s="127" t="str">
        <f>IF(TRIM("BUS_涛线3号环网柜（自）_242") = "", "BUS_涛线3号环网柜（自）_242", "BUS_涛线3号环网柜（自）_242")</f>
        <v>BUS_涛线3号环网柜（自）_242</v>
      </c>
      <c r="C122" s="58" t="str">
        <f>IF(TRIM("BUS_CNODE_JCT__1478") = "", "BUS_CNODE_JCT__1478", "BUS_CNODE_JCT__1478")</f>
        <v>BUS_CNODE_JCT__1478</v>
      </c>
      <c r="D122" s="105" t="str">
        <f>IF(TRUE = TRUE, "Yes", "No")</f>
        <v>Yes</v>
      </c>
      <c r="E122" s="105" t="s">
        <v>5202</v>
      </c>
      <c r="F122" s="105" t="s">
        <v>5910</v>
      </c>
      <c r="G122" s="105"/>
      <c r="H122" s="105" t="str">
        <f>IF(0 = 0, "ANSI", "IEC")</f>
        <v>ANSI</v>
      </c>
      <c r="I122" s="105" t="str">
        <f>IF(1 = 0, "No", "Yes")</f>
        <v>Yes</v>
      </c>
      <c r="J122" s="105" t="str">
        <f>IF(0 = 1, "Yes", "No")</f>
        <v>No</v>
      </c>
      <c r="K122" s="105" t="str">
        <f>IF(0 = 0,"none","none")</f>
        <v>none</v>
      </c>
      <c r="L122" s="105" t="str">
        <f>IF(0 = 0,"none","none")</f>
        <v>none</v>
      </c>
      <c r="M122" s="105">
        <f>IF(0 = 0, ROUND(0, 1), "")</f>
        <v>0</v>
      </c>
      <c r="N122" s="105">
        <f>IF(0 = 0,ROUND(1.00999999, 3),"")</f>
        <v>1.01</v>
      </c>
      <c r="O122" s="266" t="str">
        <f>IF(0 = 0,IF(1 = 0, "Total", "Symmetrical"),"")</f>
        <v>Symmetrical</v>
      </c>
      <c r="P122" s="260">
        <f>IF(0 = 0,ROUND(0, 1),"")</f>
        <v>0</v>
      </c>
      <c r="Q122" s="105">
        <f>IF(0 = 0,ROUND(0, 1),"")</f>
        <v>0</v>
      </c>
      <c r="R122" s="105">
        <f>IF(0 = 0,ROUND(0, 1),"")</f>
        <v>0</v>
      </c>
      <c r="S122" s="260">
        <f>IF(0 = 0,ROUND(0, 1),"")</f>
        <v>0</v>
      </c>
      <c r="T122" s="242">
        <f>IF(0 = 0,CHOOSE(1 + 1, 3,5,8,2),"")</f>
        <v>5</v>
      </c>
      <c r="U122" s="267" t="str">
        <f>IF(0 = 0,"3","")</f>
        <v>3</v>
      </c>
      <c r="V122" s="260" t="str">
        <f>IF(0 = 1,ROUND(1250, 1),"")</f>
        <v/>
      </c>
      <c r="W122" s="260" t="str">
        <f>IF(0 = 1,ROUND(12, 3),"")</f>
        <v/>
      </c>
      <c r="X122" s="260" t="str">
        <f>IF(0 = 1,ROUND(630, 1),"")</f>
        <v/>
      </c>
      <c r="Y122" s="260" t="str">
        <f>IF(0 = 1,ROUND(0, 1),"")</f>
        <v/>
      </c>
      <c r="Z122" s="260" t="str">
        <f>IF(0 = 1,ROUND(0, 3),"")</f>
        <v/>
      </c>
      <c r="AA122" s="242" t="str">
        <f>IF(0 = 1,CHOOSE(0 + 1, 1.3,1.5),"")</f>
        <v/>
      </c>
      <c r="AB122" s="60" t="str">
        <f>IF(0 = 1,ROUND(0, 1),"")</f>
        <v/>
      </c>
      <c r="AC122" s="260" t="str">
        <f>IF(0 = 1,ROUND(3, 1),"")</f>
        <v/>
      </c>
      <c r="AD122" s="260"/>
      <c r="AE122" s="260"/>
      <c r="AF122" s="260"/>
      <c r="AG122" s="260"/>
      <c r="AH122" s="268"/>
      <c r="AI122" s="53" t="s">
        <v>6134</v>
      </c>
    </row>
    <row r="123" spans="1:35">
      <c r="A123" s="105" t="s">
        <v>6135</v>
      </c>
      <c r="B123" s="127" t="str">
        <f>IF(TRIM("BUS_涛线3号环网柜（自）_242") = "", "BUS_涛线3号环网柜（自）_242", "BUS_涛线3号环网柜（自）_242")</f>
        <v>BUS_涛线3号环网柜（自）_242</v>
      </c>
      <c r="C123" s="58" t="str">
        <f>IF(TRIM("BUS_CNODE_JCT__1479") = "", "BUS_CNODE_JCT__1479", "BUS_CNODE_JCT__1479")</f>
        <v>BUS_CNODE_JCT__1479</v>
      </c>
      <c r="D123" s="105" t="str">
        <f>IF(TRUE = TRUE, "Yes", "No")</f>
        <v>Yes</v>
      </c>
      <c r="E123" s="105" t="s">
        <v>5202</v>
      </c>
      <c r="F123" s="105" t="s">
        <v>5910</v>
      </c>
      <c r="G123" s="105"/>
      <c r="H123" s="105" t="str">
        <f>IF(0 = 0, "ANSI", "IEC")</f>
        <v>ANSI</v>
      </c>
      <c r="I123" s="105" t="str">
        <f>IF(1 = 0, "No", "Yes")</f>
        <v>Yes</v>
      </c>
      <c r="J123" s="105" t="str">
        <f>IF(0 = 1, "Yes", "No")</f>
        <v>No</v>
      </c>
      <c r="K123" s="105" t="str">
        <f>IF(0 = 0,"none","none")</f>
        <v>none</v>
      </c>
      <c r="L123" s="105" t="str">
        <f>IF(0 = 0,"none","none")</f>
        <v>none</v>
      </c>
      <c r="M123" s="105">
        <f>IF(0 = 0, ROUND(0, 1), "")</f>
        <v>0</v>
      </c>
      <c r="N123" s="105">
        <f>IF(0 = 0,ROUND(1.00999999, 3),"")</f>
        <v>1.01</v>
      </c>
      <c r="O123" s="266" t="str">
        <f>IF(0 = 0,IF(1 = 0, "Total", "Symmetrical"),"")</f>
        <v>Symmetrical</v>
      </c>
      <c r="P123" s="260">
        <f>IF(0 = 0,ROUND(0, 1),"")</f>
        <v>0</v>
      </c>
      <c r="Q123" s="105">
        <f>IF(0 = 0,ROUND(0, 1),"")</f>
        <v>0</v>
      </c>
      <c r="R123" s="105">
        <f>IF(0 = 0,ROUND(0, 1),"")</f>
        <v>0</v>
      </c>
      <c r="S123" s="260">
        <f>IF(0 = 0,ROUND(0, 1),"")</f>
        <v>0</v>
      </c>
      <c r="T123" s="242">
        <f>IF(0 = 0,CHOOSE(1 + 1, 3,5,8,2),"")</f>
        <v>5</v>
      </c>
      <c r="U123" s="267" t="str">
        <f>IF(0 = 0,"3","")</f>
        <v>3</v>
      </c>
      <c r="V123" s="260" t="str">
        <f>IF(0 = 1,ROUND(1250, 1),"")</f>
        <v/>
      </c>
      <c r="W123" s="260" t="str">
        <f>IF(0 = 1,ROUND(12, 3),"")</f>
        <v/>
      </c>
      <c r="X123" s="260" t="str">
        <f>IF(0 = 1,ROUND(630, 1),"")</f>
        <v/>
      </c>
      <c r="Y123" s="260" t="str">
        <f>IF(0 = 1,ROUND(0, 1),"")</f>
        <v/>
      </c>
      <c r="Z123" s="260" t="str">
        <f>IF(0 = 1,ROUND(0, 3),"")</f>
        <v/>
      </c>
      <c r="AA123" s="242" t="str">
        <f>IF(0 = 1,CHOOSE(0 + 1, 1.3,1.5),"")</f>
        <v/>
      </c>
      <c r="AB123" s="60" t="str">
        <f>IF(0 = 1,ROUND(0, 1),"")</f>
        <v/>
      </c>
      <c r="AC123" s="260" t="str">
        <f>IF(0 = 1,ROUND(3, 1),"")</f>
        <v/>
      </c>
      <c r="AD123" s="260"/>
      <c r="AE123" s="260"/>
      <c r="AF123" s="260"/>
      <c r="AG123" s="260"/>
      <c r="AH123" s="268"/>
      <c r="AI123" s="53" t="s">
        <v>6136</v>
      </c>
    </row>
    <row r="124" spans="1:35">
      <c r="A124" s="105" t="s">
        <v>6137</v>
      </c>
      <c r="B124" s="127" t="str">
        <f>IF(TRIM("BUS_CNODE_JCT__1334") = "", "BUS_CNODE_JCT__1334", "BUS_CNODE_JCT__1334")</f>
        <v>BUS_CNODE_JCT__1334</v>
      </c>
      <c r="C124" s="58" t="str">
        <f>IF(TRIM("BUS_爱涛线爱佛#2环网柜_212") = "", "BUS_爱涛线爱佛#2环网柜_212", "BUS_爱涛线爱佛#2环网柜_212")</f>
        <v>BUS_爱涛线爱佛#2环网柜_212</v>
      </c>
      <c r="D124" s="105" t="str">
        <f>IF(TRUE = TRUE, "Yes", "No")</f>
        <v>Yes</v>
      </c>
      <c r="E124" s="105" t="s">
        <v>5202</v>
      </c>
      <c r="F124" s="105" t="s">
        <v>5910</v>
      </c>
      <c r="G124" s="105"/>
      <c r="H124" s="105" t="str">
        <f>IF(0 = 0, "ANSI", "IEC")</f>
        <v>ANSI</v>
      </c>
      <c r="I124" s="105" t="str">
        <f>IF(1 = 0, "No", "Yes")</f>
        <v>Yes</v>
      </c>
      <c r="J124" s="105" t="str">
        <f>IF(0 = 1, "Yes", "No")</f>
        <v>No</v>
      </c>
      <c r="K124" s="105" t="str">
        <f>IF(0 = 0,"none","none")</f>
        <v>none</v>
      </c>
      <c r="L124" s="105" t="str">
        <f>IF(0 = 0,"none","none")</f>
        <v>none</v>
      </c>
      <c r="M124" s="105">
        <f>IF(0 = 0, ROUND(0, 1), "")</f>
        <v>0</v>
      </c>
      <c r="N124" s="105">
        <f>IF(0 = 0,ROUND(1.00999999, 3),"")</f>
        <v>1.01</v>
      </c>
      <c r="O124" s="266" t="str">
        <f>IF(0 = 0,IF(1 = 0, "Total", "Symmetrical"),"")</f>
        <v>Symmetrical</v>
      </c>
      <c r="P124" s="260">
        <f>IF(0 = 0,ROUND(0, 1),"")</f>
        <v>0</v>
      </c>
      <c r="Q124" s="105">
        <f>IF(0 = 0,ROUND(0, 1),"")</f>
        <v>0</v>
      </c>
      <c r="R124" s="105">
        <f>IF(0 = 0,ROUND(0, 1),"")</f>
        <v>0</v>
      </c>
      <c r="S124" s="260">
        <f>IF(0 = 0,ROUND(0, 1),"")</f>
        <v>0</v>
      </c>
      <c r="T124" s="242">
        <f>IF(0 = 0,CHOOSE(1 + 1, 3,5,8,2),"")</f>
        <v>5</v>
      </c>
      <c r="U124" s="267" t="str">
        <f>IF(0 = 0,"3","")</f>
        <v>3</v>
      </c>
      <c r="V124" s="260" t="str">
        <f>IF(0 = 1,ROUND(1250, 1),"")</f>
        <v/>
      </c>
      <c r="W124" s="260" t="str">
        <f>IF(0 = 1,ROUND(12, 3),"")</f>
        <v/>
      </c>
      <c r="X124" s="260" t="str">
        <f>IF(0 = 1,ROUND(100, 1),"")</f>
        <v/>
      </c>
      <c r="Y124" s="260" t="str">
        <f>IF(0 = 1,ROUND(0, 1),"")</f>
        <v/>
      </c>
      <c r="Z124" s="260" t="str">
        <f>IF(0 = 1,ROUND(0, 3),"")</f>
        <v/>
      </c>
      <c r="AA124" s="242" t="str">
        <f>IF(0 = 1,CHOOSE(0 + 1, 1.3,1.5),"")</f>
        <v/>
      </c>
      <c r="AB124" s="60" t="str">
        <f>IF(0 = 1,ROUND(0, 1),"")</f>
        <v/>
      </c>
      <c r="AC124" s="260" t="str">
        <f>IF(0 = 1,ROUND(3, 1),"")</f>
        <v/>
      </c>
      <c r="AD124" s="260"/>
      <c r="AE124" s="260"/>
      <c r="AF124" s="260"/>
      <c r="AG124" s="260"/>
      <c r="AH124" s="268"/>
      <c r="AI124" s="53" t="s">
        <v>6138</v>
      </c>
    </row>
    <row r="125" spans="1:35">
      <c r="A125" s="105" t="s">
        <v>6139</v>
      </c>
      <c r="B125" s="127" t="str">
        <f>IF(TRIM("BUS_号线2号环网柜（自）_241") = "", "BUS_号线2号环网柜（自）_241", "BUS_号线2号环网柜（自）_241")</f>
        <v>BUS_号线2号环网柜（自）_241</v>
      </c>
      <c r="C125" s="58" t="str">
        <f>IF(TRIM("BUS_CNODE_JCT__1469") = "", "BUS_CNODE_JCT__1469", "BUS_CNODE_JCT__1469")</f>
        <v>BUS_CNODE_JCT__1469</v>
      </c>
      <c r="D125" s="105" t="str">
        <f>IF(TRUE = TRUE, "Yes", "No")</f>
        <v>Yes</v>
      </c>
      <c r="E125" s="105" t="s">
        <v>5202</v>
      </c>
      <c r="F125" s="105" t="s">
        <v>5921</v>
      </c>
      <c r="G125" s="105"/>
      <c r="H125" s="105" t="str">
        <f>IF(0 = 0, "ANSI", "IEC")</f>
        <v>ANSI</v>
      </c>
      <c r="I125" s="105" t="str">
        <f>IF(1 = 0, "No", "Yes")</f>
        <v>Yes</v>
      </c>
      <c r="J125" s="105" t="str">
        <f>IF(0 = 1, "Yes", "No")</f>
        <v>No</v>
      </c>
      <c r="K125" s="105" t="str">
        <f>IF(0 = 0,"none","none")</f>
        <v>none</v>
      </c>
      <c r="L125" s="105" t="str">
        <f>IF(0 = 0,"none","none")</f>
        <v>none</v>
      </c>
      <c r="M125" s="105">
        <f>IF(0 = 0, ROUND(0, 1), "")</f>
        <v>0</v>
      </c>
      <c r="N125" s="105">
        <f>IF(0 = 0,ROUND(1.00999999, 3),"")</f>
        <v>1.01</v>
      </c>
      <c r="O125" s="266" t="str">
        <f>IF(0 = 0,IF(1 = 0, "Total", "Symmetrical"),"")</f>
        <v>Symmetrical</v>
      </c>
      <c r="P125" s="260">
        <f>IF(0 = 0,ROUND(0, 1),"")</f>
        <v>0</v>
      </c>
      <c r="Q125" s="105">
        <f>IF(0 = 0,ROUND(0, 1),"")</f>
        <v>0</v>
      </c>
      <c r="R125" s="105">
        <f>IF(0 = 0,ROUND(0, 1),"")</f>
        <v>0</v>
      </c>
      <c r="S125" s="260">
        <f>IF(0 = 0,ROUND(0, 1),"")</f>
        <v>0</v>
      </c>
      <c r="T125" s="242">
        <f>IF(0 = 0,CHOOSE(1 + 1, 3,5,8,2),"")</f>
        <v>5</v>
      </c>
      <c r="U125" s="267" t="str">
        <f>IF(0 = 0,"3","")</f>
        <v>3</v>
      </c>
      <c r="V125" s="260" t="str">
        <f>IF(0 = 1,ROUND(1250, 1),"")</f>
        <v/>
      </c>
      <c r="W125" s="260" t="str">
        <f>IF(0 = 1,ROUND(12, 3),"")</f>
        <v/>
      </c>
      <c r="X125" s="260" t="str">
        <f>IF(0 = 1,ROUND(630, 1),"")</f>
        <v/>
      </c>
      <c r="Y125" s="260" t="str">
        <f>IF(0 = 1,ROUND(0, 1),"")</f>
        <v/>
      </c>
      <c r="Z125" s="260" t="str">
        <f>IF(0 = 1,ROUND(0, 3),"")</f>
        <v/>
      </c>
      <c r="AA125" s="242" t="str">
        <f>IF(0 = 1,CHOOSE(0 + 1, 1.3,1.5),"")</f>
        <v/>
      </c>
      <c r="AB125" s="60" t="str">
        <f>IF(0 = 1,ROUND(0, 1),"")</f>
        <v/>
      </c>
      <c r="AC125" s="260" t="str">
        <f>IF(0 = 1,ROUND(3, 1),"")</f>
        <v/>
      </c>
      <c r="AD125" s="260"/>
      <c r="AE125" s="260"/>
      <c r="AF125" s="260"/>
      <c r="AG125" s="260"/>
      <c r="AH125" s="268"/>
      <c r="AI125" s="53" t="s">
        <v>6140</v>
      </c>
    </row>
    <row r="126" spans="1:35">
      <c r="A126" s="105" t="s">
        <v>6141</v>
      </c>
      <c r="B126" s="127" t="str">
        <f>IF(TRIM("BUS_CNODE_JCT__1371") = "", "BUS_CNODE_JCT__1371", "BUS_CNODE_JCT__1371")</f>
        <v>BUS_CNODE_JCT__1371</v>
      </c>
      <c r="C126" s="58" t="str">
        <f>IF(TRIM("BUS_涛线#2环网柜（自）_211") = "", "BUS_涛线#2环网柜（自）_211", "BUS_涛线#2环网柜（自）_211")</f>
        <v>BUS_涛线#2环网柜（自）_211</v>
      </c>
      <c r="D126" s="105" t="str">
        <f>IF(TRUE = TRUE, "Yes", "No")</f>
        <v>Yes</v>
      </c>
      <c r="E126" s="105" t="s">
        <v>5202</v>
      </c>
      <c r="F126" s="105" t="s">
        <v>5910</v>
      </c>
      <c r="G126" s="105"/>
      <c r="H126" s="105" t="str">
        <f>IF(0 = 0, "ANSI", "IEC")</f>
        <v>ANSI</v>
      </c>
      <c r="I126" s="105" t="str">
        <f>IF(1 = 0, "No", "Yes")</f>
        <v>Yes</v>
      </c>
      <c r="J126" s="105" t="str">
        <f>IF(0 = 1, "Yes", "No")</f>
        <v>No</v>
      </c>
      <c r="K126" s="105" t="str">
        <f>IF(0 = 0,"none","none")</f>
        <v>none</v>
      </c>
      <c r="L126" s="105" t="str">
        <f>IF(0 = 0,"none","none")</f>
        <v>none</v>
      </c>
      <c r="M126" s="105">
        <f>IF(0 = 0, ROUND(0, 1), "")</f>
        <v>0</v>
      </c>
      <c r="N126" s="105">
        <f>IF(0 = 0,ROUND(1.00999999, 3),"")</f>
        <v>1.01</v>
      </c>
      <c r="O126" s="266" t="str">
        <f>IF(0 = 0,IF(1 = 0, "Total", "Symmetrical"),"")</f>
        <v>Symmetrical</v>
      </c>
      <c r="P126" s="260">
        <f>IF(0 = 0,ROUND(0, 1),"")</f>
        <v>0</v>
      </c>
      <c r="Q126" s="105">
        <f>IF(0 = 0,ROUND(0, 1),"")</f>
        <v>0</v>
      </c>
      <c r="R126" s="105">
        <f>IF(0 = 0,ROUND(0, 1),"")</f>
        <v>0</v>
      </c>
      <c r="S126" s="260">
        <f>IF(0 = 0,ROUND(0, 1),"")</f>
        <v>0</v>
      </c>
      <c r="T126" s="242">
        <f>IF(0 = 0,CHOOSE(1 + 1, 3,5,8,2),"")</f>
        <v>5</v>
      </c>
      <c r="U126" s="267" t="str">
        <f>IF(0 = 0,"3","")</f>
        <v>3</v>
      </c>
      <c r="V126" s="260" t="str">
        <f>IF(0 = 1,ROUND(1250, 1),"")</f>
        <v/>
      </c>
      <c r="W126" s="260" t="str">
        <f>IF(0 = 1,ROUND(12, 3),"")</f>
        <v/>
      </c>
      <c r="X126" s="260" t="str">
        <f>IF(0 = 1,ROUND(100, 1),"")</f>
        <v/>
      </c>
      <c r="Y126" s="260" t="str">
        <f>IF(0 = 1,ROUND(0, 1),"")</f>
        <v/>
      </c>
      <c r="Z126" s="260" t="str">
        <f>IF(0 = 1,ROUND(0, 3),"")</f>
        <v/>
      </c>
      <c r="AA126" s="242" t="str">
        <f>IF(0 = 1,CHOOSE(0 + 1, 1.3,1.5),"")</f>
        <v/>
      </c>
      <c r="AB126" s="60" t="str">
        <f>IF(0 = 1,ROUND(0, 1),"")</f>
        <v/>
      </c>
      <c r="AC126" s="260" t="str">
        <f>IF(0 = 1,ROUND(3, 1),"")</f>
        <v/>
      </c>
      <c r="AD126" s="260"/>
      <c r="AE126" s="260"/>
      <c r="AF126" s="260"/>
      <c r="AG126" s="260"/>
      <c r="AH126" s="268"/>
      <c r="AI126" s="53" t="s">
        <v>6142</v>
      </c>
    </row>
    <row r="127" spans="1:35">
      <c r="A127" s="105" t="s">
        <v>6143</v>
      </c>
      <c r="B127" s="127" t="str">
        <f>IF(TRIM("BUS_CNODE_JCT__1368") = "", "BUS_CNODE_JCT__1368", "BUS_CNODE_JCT__1368")</f>
        <v>BUS_CNODE_JCT__1368</v>
      </c>
      <c r="C127" s="58" t="str">
        <f>IF(TRIM("BUS_涛线#2环网柜（自）_211") = "", "BUS_涛线#2环网柜（自）_211", "BUS_涛线#2环网柜（自）_211")</f>
        <v>BUS_涛线#2环网柜（自）_211</v>
      </c>
      <c r="D127" s="105" t="str">
        <f>IF(TRUE = TRUE, "Yes", "No")</f>
        <v>Yes</v>
      </c>
      <c r="E127" s="105" t="s">
        <v>5202</v>
      </c>
      <c r="F127" s="105" t="s">
        <v>5910</v>
      </c>
      <c r="G127" s="105"/>
      <c r="H127" s="105" t="str">
        <f>IF(0 = 0, "ANSI", "IEC")</f>
        <v>ANSI</v>
      </c>
      <c r="I127" s="105" t="str">
        <f>IF(1 = 0, "No", "Yes")</f>
        <v>Yes</v>
      </c>
      <c r="J127" s="105" t="str">
        <f>IF(0 = 1, "Yes", "No")</f>
        <v>No</v>
      </c>
      <c r="K127" s="105" t="str">
        <f>IF(0 = 0,"none","none")</f>
        <v>none</v>
      </c>
      <c r="L127" s="105" t="str">
        <f>IF(0 = 0,"none","none")</f>
        <v>none</v>
      </c>
      <c r="M127" s="105">
        <f>IF(0 = 0, ROUND(0, 1), "")</f>
        <v>0</v>
      </c>
      <c r="N127" s="105">
        <f>IF(0 = 0,ROUND(1.00999999, 3),"")</f>
        <v>1.01</v>
      </c>
      <c r="O127" s="266" t="str">
        <f>IF(0 = 0,IF(1 = 0, "Total", "Symmetrical"),"")</f>
        <v>Symmetrical</v>
      </c>
      <c r="P127" s="260">
        <f>IF(0 = 0,ROUND(0, 1),"")</f>
        <v>0</v>
      </c>
      <c r="Q127" s="105">
        <f>IF(0 = 0,ROUND(0, 1),"")</f>
        <v>0</v>
      </c>
      <c r="R127" s="105">
        <f>IF(0 = 0,ROUND(0, 1),"")</f>
        <v>0</v>
      </c>
      <c r="S127" s="260">
        <f>IF(0 = 0,ROUND(0, 1),"")</f>
        <v>0</v>
      </c>
      <c r="T127" s="242">
        <f>IF(0 = 0,CHOOSE(1 + 1, 3,5,8,2),"")</f>
        <v>5</v>
      </c>
      <c r="U127" s="267" t="str">
        <f>IF(0 = 0,"3","")</f>
        <v>3</v>
      </c>
      <c r="V127" s="260" t="str">
        <f>IF(0 = 1,ROUND(1250, 1),"")</f>
        <v/>
      </c>
      <c r="W127" s="260" t="str">
        <f>IF(0 = 1,ROUND(12, 3),"")</f>
        <v/>
      </c>
      <c r="X127" s="260" t="str">
        <f>IF(0 = 1,ROUND(100, 1),"")</f>
        <v/>
      </c>
      <c r="Y127" s="260" t="str">
        <f>IF(0 = 1,ROUND(0, 1),"")</f>
        <v/>
      </c>
      <c r="Z127" s="260" t="str">
        <f>IF(0 = 1,ROUND(0, 3),"")</f>
        <v/>
      </c>
      <c r="AA127" s="242" t="str">
        <f>IF(0 = 1,CHOOSE(0 + 1, 1.3,1.5),"")</f>
        <v/>
      </c>
      <c r="AB127" s="60" t="str">
        <f>IF(0 = 1,ROUND(0, 1),"")</f>
        <v/>
      </c>
      <c r="AC127" s="260" t="str">
        <f>IF(0 = 1,ROUND(3, 1),"")</f>
        <v/>
      </c>
      <c r="AD127" s="260"/>
      <c r="AE127" s="260"/>
      <c r="AF127" s="260"/>
      <c r="AG127" s="260"/>
      <c r="AH127" s="268"/>
      <c r="AI127" s="53" t="s">
        <v>6144</v>
      </c>
    </row>
    <row r="128" spans="1:35">
      <c r="A128" s="105" t="s">
        <v>6145</v>
      </c>
      <c r="B128" s="127" t="str">
        <f>IF(TRIM("BUS_kV爱涛线亚都环网柜_203") = "", "BUS_kV爱涛线亚都环网柜_203", "BUS_kV爱涛线亚都环网柜_203")</f>
        <v>BUS_kV爱涛线亚都环网柜_203</v>
      </c>
      <c r="C128" s="58" t="str">
        <f>IF(TRIM("BUS_CNODE_JCT__1423") = "", "BUS_CNODE_JCT__1423", "BUS_CNODE_JCT__1423")</f>
        <v>BUS_CNODE_JCT__1423</v>
      </c>
      <c r="D128" s="105" t="str">
        <f>IF(TRUE = TRUE, "Yes", "No")</f>
        <v>Yes</v>
      </c>
      <c r="E128" s="105" t="s">
        <v>5202</v>
      </c>
      <c r="F128" s="105" t="s">
        <v>5910</v>
      </c>
      <c r="G128" s="105"/>
      <c r="H128" s="105" t="str">
        <f>IF(0 = 0, "ANSI", "IEC")</f>
        <v>ANSI</v>
      </c>
      <c r="I128" s="105" t="str">
        <f>IF(1 = 0, "No", "Yes")</f>
        <v>Yes</v>
      </c>
      <c r="J128" s="105" t="str">
        <f>IF(0 = 1, "Yes", "No")</f>
        <v>No</v>
      </c>
      <c r="K128" s="105" t="str">
        <f>IF(0 = 0,"none","none")</f>
        <v>none</v>
      </c>
      <c r="L128" s="105" t="str">
        <f>IF(0 = 0,"none","none")</f>
        <v>none</v>
      </c>
      <c r="M128" s="105">
        <f>IF(0 = 0, ROUND(0, 1), "")</f>
        <v>0</v>
      </c>
      <c r="N128" s="105">
        <f>IF(0 = 0,ROUND(1.00999999, 3),"")</f>
        <v>1.01</v>
      </c>
      <c r="O128" s="266" t="str">
        <f>IF(0 = 0,IF(1 = 0, "Total", "Symmetrical"),"")</f>
        <v>Symmetrical</v>
      </c>
      <c r="P128" s="260">
        <f>IF(0 = 0,ROUND(0, 1),"")</f>
        <v>0</v>
      </c>
      <c r="Q128" s="105">
        <f>IF(0 = 0,ROUND(0, 1),"")</f>
        <v>0</v>
      </c>
      <c r="R128" s="105">
        <f>IF(0 = 0,ROUND(0, 1),"")</f>
        <v>0</v>
      </c>
      <c r="S128" s="260">
        <f>IF(0 = 0,ROUND(0, 1),"")</f>
        <v>0</v>
      </c>
      <c r="T128" s="242">
        <f>IF(0 = 0,CHOOSE(1 + 1, 3,5,8,2),"")</f>
        <v>5</v>
      </c>
      <c r="U128" s="267" t="str">
        <f>IF(0 = 0,"3","")</f>
        <v>3</v>
      </c>
      <c r="V128" s="260" t="str">
        <f>IF(0 = 1,ROUND(1250, 1),"")</f>
        <v/>
      </c>
      <c r="W128" s="260" t="str">
        <f>IF(0 = 1,ROUND(12, 3),"")</f>
        <v/>
      </c>
      <c r="X128" s="260" t="str">
        <f>IF(0 = 1,ROUND(630, 1),"")</f>
        <v/>
      </c>
      <c r="Y128" s="260" t="str">
        <f>IF(0 = 1,ROUND(0, 1),"")</f>
        <v/>
      </c>
      <c r="Z128" s="260" t="str">
        <f>IF(0 = 1,ROUND(0, 3),"")</f>
        <v/>
      </c>
      <c r="AA128" s="242" t="str">
        <f>IF(0 = 1,CHOOSE(0 + 1, 1.3,1.5),"")</f>
        <v/>
      </c>
      <c r="AB128" s="60" t="str">
        <f>IF(0 = 1,ROUND(0, 1),"")</f>
        <v/>
      </c>
      <c r="AC128" s="260" t="str">
        <f>IF(0 = 1,ROUND(3, 1),"")</f>
        <v/>
      </c>
      <c r="AD128" s="260"/>
      <c r="AE128" s="260"/>
      <c r="AF128" s="260"/>
      <c r="AG128" s="260"/>
      <c r="AH128" s="268"/>
      <c r="AI128" s="53" t="s">
        <v>6146</v>
      </c>
    </row>
    <row r="129" spans="1:35">
      <c r="A129" s="105" t="s">
        <v>6147</v>
      </c>
      <c r="B129" s="127" t="str">
        <f>IF(TRIM("BUS_kV爱涛线亚都环网柜_203") = "", "BUS_kV爱涛线亚都环网柜_203", "BUS_kV爱涛线亚都环网柜_203")</f>
        <v>BUS_kV爱涛线亚都环网柜_203</v>
      </c>
      <c r="C129" s="58" t="str">
        <f>IF(TRIM("BUS_CNODE_JCT__1330") = "", "BUS_CNODE_JCT__1330", "BUS_CNODE_JCT__1330")</f>
        <v>BUS_CNODE_JCT__1330</v>
      </c>
      <c r="D129" s="105" t="str">
        <f>IF(TRUE = TRUE, "Yes", "No")</f>
        <v>Yes</v>
      </c>
      <c r="E129" s="105" t="s">
        <v>5202</v>
      </c>
      <c r="F129" s="105" t="s">
        <v>5910</v>
      </c>
      <c r="G129" s="105"/>
      <c r="H129" s="105" t="str">
        <f>IF(0 = 0, "ANSI", "IEC")</f>
        <v>ANSI</v>
      </c>
      <c r="I129" s="105" t="str">
        <f>IF(1 = 0, "No", "Yes")</f>
        <v>Yes</v>
      </c>
      <c r="J129" s="105" t="str">
        <f>IF(0 = 1, "Yes", "No")</f>
        <v>No</v>
      </c>
      <c r="K129" s="105" t="str">
        <f>IF(0 = 0,"none","none")</f>
        <v>none</v>
      </c>
      <c r="L129" s="105" t="str">
        <f>IF(0 = 0,"none","none")</f>
        <v>none</v>
      </c>
      <c r="M129" s="105">
        <f>IF(0 = 0, ROUND(0, 1), "")</f>
        <v>0</v>
      </c>
      <c r="N129" s="105">
        <f>IF(0 = 0,ROUND(1.00999999, 3),"")</f>
        <v>1.01</v>
      </c>
      <c r="O129" s="266" t="str">
        <f>IF(0 = 0,IF(1 = 0, "Total", "Symmetrical"),"")</f>
        <v>Symmetrical</v>
      </c>
      <c r="P129" s="260">
        <f>IF(0 = 0,ROUND(0, 1),"")</f>
        <v>0</v>
      </c>
      <c r="Q129" s="105">
        <f>IF(0 = 0,ROUND(0, 1),"")</f>
        <v>0</v>
      </c>
      <c r="R129" s="105">
        <f>IF(0 = 0,ROUND(0, 1),"")</f>
        <v>0</v>
      </c>
      <c r="S129" s="260">
        <f>IF(0 = 0,ROUND(0, 1),"")</f>
        <v>0</v>
      </c>
      <c r="T129" s="242">
        <f>IF(0 = 0,CHOOSE(1 + 1, 3,5,8,2),"")</f>
        <v>5</v>
      </c>
      <c r="U129" s="267" t="str">
        <f>IF(0 = 0,"3","")</f>
        <v>3</v>
      </c>
      <c r="V129" s="260" t="str">
        <f>IF(0 = 1,ROUND(1250, 1),"")</f>
        <v/>
      </c>
      <c r="W129" s="260" t="str">
        <f>IF(0 = 1,ROUND(12, 3),"")</f>
        <v/>
      </c>
      <c r="X129" s="260" t="str">
        <f>IF(0 = 1,ROUND(630, 1),"")</f>
        <v/>
      </c>
      <c r="Y129" s="260" t="str">
        <f>IF(0 = 1,ROUND(0, 1),"")</f>
        <v/>
      </c>
      <c r="Z129" s="260" t="str">
        <f>IF(0 = 1,ROUND(0, 3),"")</f>
        <v/>
      </c>
      <c r="AA129" s="242" t="str">
        <f>IF(0 = 1,CHOOSE(0 + 1, 1.3,1.5),"")</f>
        <v/>
      </c>
      <c r="AB129" s="60" t="str">
        <f>IF(0 = 1,ROUND(0, 1),"")</f>
        <v/>
      </c>
      <c r="AC129" s="260" t="str">
        <f>IF(0 = 1,ROUND(3, 1),"")</f>
        <v/>
      </c>
      <c r="AD129" s="260"/>
      <c r="AE129" s="260"/>
      <c r="AF129" s="260"/>
      <c r="AG129" s="260"/>
      <c r="AH129" s="268"/>
      <c r="AI129" s="53" t="s">
        <v>6148</v>
      </c>
    </row>
    <row r="130" spans="1:35">
      <c r="A130" s="105" t="s">
        <v>6149</v>
      </c>
      <c r="B130" s="127" t="str">
        <f>IF(TRIM("BUS_kV爱涛线亚都环网柜_203") = "", "BUS_kV爱涛线亚都环网柜_203", "BUS_kV爱涛线亚都环网柜_203")</f>
        <v>BUS_kV爱涛线亚都环网柜_203</v>
      </c>
      <c r="C130" s="58" t="str">
        <f>IF(TRIM("BUS_CNODE_JCT__1331") = "", "BUS_CNODE_JCT__1331", "BUS_CNODE_JCT__1331")</f>
        <v>BUS_CNODE_JCT__1331</v>
      </c>
      <c r="D130" s="105" t="str">
        <f>IF(TRUE = TRUE, "Yes", "No")</f>
        <v>Yes</v>
      </c>
      <c r="E130" s="105" t="s">
        <v>5202</v>
      </c>
      <c r="F130" s="105" t="s">
        <v>5910</v>
      </c>
      <c r="G130" s="105"/>
      <c r="H130" s="105" t="str">
        <f>IF(0 = 0, "ANSI", "IEC")</f>
        <v>ANSI</v>
      </c>
      <c r="I130" s="105" t="str">
        <f>IF(1 = 0, "No", "Yes")</f>
        <v>Yes</v>
      </c>
      <c r="J130" s="105" t="str">
        <f>IF(0 = 1, "Yes", "No")</f>
        <v>No</v>
      </c>
      <c r="K130" s="105" t="str">
        <f>IF(0 = 0,"none","none")</f>
        <v>none</v>
      </c>
      <c r="L130" s="105" t="str">
        <f>IF(0 = 0,"none","none")</f>
        <v>none</v>
      </c>
      <c r="M130" s="105">
        <f>IF(0 = 0, ROUND(0, 1), "")</f>
        <v>0</v>
      </c>
      <c r="N130" s="105">
        <f>IF(0 = 0,ROUND(1.00999999, 3),"")</f>
        <v>1.01</v>
      </c>
      <c r="O130" s="266" t="str">
        <f>IF(0 = 0,IF(1 = 0, "Total", "Symmetrical"),"")</f>
        <v>Symmetrical</v>
      </c>
      <c r="P130" s="260">
        <f>IF(0 = 0,ROUND(0, 1),"")</f>
        <v>0</v>
      </c>
      <c r="Q130" s="105">
        <f>IF(0 = 0,ROUND(0, 1),"")</f>
        <v>0</v>
      </c>
      <c r="R130" s="105">
        <f>IF(0 = 0,ROUND(0, 1),"")</f>
        <v>0</v>
      </c>
      <c r="S130" s="260">
        <f>IF(0 = 0,ROUND(0, 1),"")</f>
        <v>0</v>
      </c>
      <c r="T130" s="242">
        <f>IF(0 = 0,CHOOSE(1 + 1, 3,5,8,2),"")</f>
        <v>5</v>
      </c>
      <c r="U130" s="267" t="str">
        <f>IF(0 = 0,"3","")</f>
        <v>3</v>
      </c>
      <c r="V130" s="260" t="str">
        <f>IF(0 = 1,ROUND(1250, 1),"")</f>
        <v/>
      </c>
      <c r="W130" s="260" t="str">
        <f>IF(0 = 1,ROUND(12, 3),"")</f>
        <v/>
      </c>
      <c r="X130" s="260" t="str">
        <f>IF(0 = 1,ROUND(630, 1),"")</f>
        <v/>
      </c>
      <c r="Y130" s="260" t="str">
        <f>IF(0 = 1,ROUND(0, 1),"")</f>
        <v/>
      </c>
      <c r="Z130" s="260" t="str">
        <f>IF(0 = 1,ROUND(0, 3),"")</f>
        <v/>
      </c>
      <c r="AA130" s="242" t="str">
        <f>IF(0 = 1,CHOOSE(0 + 1, 1.3,1.5),"")</f>
        <v/>
      </c>
      <c r="AB130" s="60" t="str">
        <f>IF(0 = 1,ROUND(0, 1),"")</f>
        <v/>
      </c>
      <c r="AC130" s="260" t="str">
        <f>IF(0 = 1,ROUND(3, 1),"")</f>
        <v/>
      </c>
      <c r="AD130" s="260"/>
      <c r="AE130" s="260"/>
      <c r="AF130" s="260"/>
      <c r="AG130" s="260"/>
      <c r="AH130" s="268"/>
      <c r="AI130" s="53" t="s">
        <v>6150</v>
      </c>
    </row>
    <row r="131" spans="1:35">
      <c r="A131" s="105" t="s">
        <v>6151</v>
      </c>
      <c r="B131" s="127" t="str">
        <f>IF(TRIM("BUS_CNODE_JCT__1349") = "", "BUS_CNODE_JCT__1349", "BUS_CNODE_JCT__1349")</f>
        <v>BUS_CNODE_JCT__1349</v>
      </c>
      <c r="C131" s="58" t="str">
        <f>IF(TRIM("BUS_线太平花苑#1环网柜_202") = "", "BUS_线太平花苑#1环网柜_202", "BUS_线太平花苑#1环网柜_202")</f>
        <v>BUS_线太平花苑#1环网柜_202</v>
      </c>
      <c r="D131" s="105" t="str">
        <f>IF(TRUE = TRUE, "Yes", "No")</f>
        <v>Yes</v>
      </c>
      <c r="E131" s="105" t="s">
        <v>5202</v>
      </c>
      <c r="F131" s="105" t="s">
        <v>5910</v>
      </c>
      <c r="G131" s="105"/>
      <c r="H131" s="105" t="str">
        <f>IF(0 = 0, "ANSI", "IEC")</f>
        <v>ANSI</v>
      </c>
      <c r="I131" s="105" t="str">
        <f>IF(1 = 0, "No", "Yes")</f>
        <v>Yes</v>
      </c>
      <c r="J131" s="105" t="str">
        <f>IF(0 = 1, "Yes", "No")</f>
        <v>No</v>
      </c>
      <c r="K131" s="105" t="str">
        <f>IF(0 = 0,"none","none")</f>
        <v>none</v>
      </c>
      <c r="L131" s="105" t="str">
        <f>IF(0 = 0,"none","none")</f>
        <v>none</v>
      </c>
      <c r="M131" s="105">
        <f>IF(0 = 0, ROUND(0, 1), "")</f>
        <v>0</v>
      </c>
      <c r="N131" s="105">
        <f>IF(0 = 0,ROUND(1.00999999, 3),"")</f>
        <v>1.01</v>
      </c>
      <c r="O131" s="266" t="str">
        <f>IF(0 = 0,IF(1 = 0, "Total", "Symmetrical"),"")</f>
        <v>Symmetrical</v>
      </c>
      <c r="P131" s="260">
        <f>IF(0 = 0,ROUND(0, 1),"")</f>
        <v>0</v>
      </c>
      <c r="Q131" s="105">
        <f>IF(0 = 0,ROUND(0, 1),"")</f>
        <v>0</v>
      </c>
      <c r="R131" s="105">
        <f>IF(0 = 0,ROUND(0, 1),"")</f>
        <v>0</v>
      </c>
      <c r="S131" s="260">
        <f>IF(0 = 0,ROUND(0, 1),"")</f>
        <v>0</v>
      </c>
      <c r="T131" s="242">
        <f>IF(0 = 0,CHOOSE(1 + 1, 3,5,8,2),"")</f>
        <v>5</v>
      </c>
      <c r="U131" s="267" t="str">
        <f>IF(0 = 0,"3","")</f>
        <v>3</v>
      </c>
      <c r="V131" s="260" t="str">
        <f>IF(0 = 1,ROUND(1250, 1),"")</f>
        <v/>
      </c>
      <c r="W131" s="260" t="str">
        <f>IF(0 = 1,ROUND(12, 3),"")</f>
        <v/>
      </c>
      <c r="X131" s="260" t="str">
        <f>IF(0 = 1,ROUND(100, 1),"")</f>
        <v/>
      </c>
      <c r="Y131" s="260" t="str">
        <f>IF(0 = 1,ROUND(0, 1),"")</f>
        <v/>
      </c>
      <c r="Z131" s="260" t="str">
        <f>IF(0 = 1,ROUND(0, 3),"")</f>
        <v/>
      </c>
      <c r="AA131" s="242" t="str">
        <f>IF(0 = 1,CHOOSE(0 + 1, 1.3,1.5),"")</f>
        <v/>
      </c>
      <c r="AB131" s="60" t="str">
        <f>IF(0 = 1,ROUND(0, 1),"")</f>
        <v/>
      </c>
      <c r="AC131" s="260" t="str">
        <f>IF(0 = 1,ROUND(3, 1),"")</f>
        <v/>
      </c>
      <c r="AD131" s="260"/>
      <c r="AE131" s="260"/>
      <c r="AF131" s="260"/>
      <c r="AG131" s="260"/>
      <c r="AH131" s="268"/>
      <c r="AI131" s="53" t="s">
        <v>6152</v>
      </c>
    </row>
    <row r="132" spans="1:35">
      <c r="A132" s="105" t="s">
        <v>6153</v>
      </c>
      <c r="B132" s="127" t="str">
        <f>IF(TRIM("BUS_CNODE_JCT__1432") = "", "BUS_CNODE_JCT__1432", "BUS_CNODE_JCT__1432")</f>
        <v>BUS_CNODE_JCT__1432</v>
      </c>
      <c r="C132" s="58" t="str">
        <f>IF(TRIM("BUS_涛线4号环网柜（自）_213") = "", "BUS_涛线4号环网柜（自）_213", "BUS_涛线4号环网柜（自）_213")</f>
        <v>BUS_涛线4号环网柜（自）_213</v>
      </c>
      <c r="D132" s="105" t="str">
        <f>IF(TRUE = TRUE, "Yes", "No")</f>
        <v>Yes</v>
      </c>
      <c r="E132" s="105" t="s">
        <v>5202</v>
      </c>
      <c r="F132" s="105" t="s">
        <v>5910</v>
      </c>
      <c r="G132" s="105"/>
      <c r="H132" s="105" t="str">
        <f>IF(0 = 0, "ANSI", "IEC")</f>
        <v>ANSI</v>
      </c>
      <c r="I132" s="105" t="str">
        <f>IF(1 = 0, "No", "Yes")</f>
        <v>Yes</v>
      </c>
      <c r="J132" s="105" t="str">
        <f>IF(0 = 1, "Yes", "No")</f>
        <v>No</v>
      </c>
      <c r="K132" s="105" t="str">
        <f>IF(0 = 0,"none","none")</f>
        <v>none</v>
      </c>
      <c r="L132" s="105" t="str">
        <f>IF(0 = 0,"none","none")</f>
        <v>none</v>
      </c>
      <c r="M132" s="105">
        <f>IF(0 = 0, ROUND(0, 1), "")</f>
        <v>0</v>
      </c>
      <c r="N132" s="105">
        <f>IF(0 = 0,ROUND(1.00999999, 3),"")</f>
        <v>1.01</v>
      </c>
      <c r="O132" s="266" t="str">
        <f>IF(0 = 0,IF(1 = 0, "Total", "Symmetrical"),"")</f>
        <v>Symmetrical</v>
      </c>
      <c r="P132" s="260">
        <f>IF(0 = 0,ROUND(0, 1),"")</f>
        <v>0</v>
      </c>
      <c r="Q132" s="105">
        <f>IF(0 = 0,ROUND(0, 1),"")</f>
        <v>0</v>
      </c>
      <c r="R132" s="105">
        <f>IF(0 = 0,ROUND(0, 1),"")</f>
        <v>0</v>
      </c>
      <c r="S132" s="260">
        <f>IF(0 = 0,ROUND(0, 1),"")</f>
        <v>0</v>
      </c>
      <c r="T132" s="242">
        <f>IF(0 = 0,CHOOSE(1 + 1, 3,5,8,2),"")</f>
        <v>5</v>
      </c>
      <c r="U132" s="267" t="str">
        <f>IF(0 = 0,"3","")</f>
        <v>3</v>
      </c>
      <c r="V132" s="260" t="str">
        <f>IF(0 = 1,ROUND(1250, 1),"")</f>
        <v/>
      </c>
      <c r="W132" s="260" t="str">
        <f>IF(0 = 1,ROUND(12, 3),"")</f>
        <v/>
      </c>
      <c r="X132" s="260" t="str">
        <f>IF(0 = 1,ROUND(630, 1),"")</f>
        <v/>
      </c>
      <c r="Y132" s="260" t="str">
        <f>IF(0 = 1,ROUND(0, 1),"")</f>
        <v/>
      </c>
      <c r="Z132" s="260" t="str">
        <f>IF(0 = 1,ROUND(0, 3),"")</f>
        <v/>
      </c>
      <c r="AA132" s="242" t="str">
        <f>IF(0 = 1,CHOOSE(0 + 1, 1.3,1.5),"")</f>
        <v/>
      </c>
      <c r="AB132" s="60" t="str">
        <f>IF(0 = 1,ROUND(0, 1),"")</f>
        <v/>
      </c>
      <c r="AC132" s="260" t="str">
        <f>IF(0 = 1,ROUND(3, 1),"")</f>
        <v/>
      </c>
      <c r="AD132" s="260"/>
      <c r="AE132" s="260"/>
      <c r="AF132" s="260"/>
      <c r="AG132" s="260"/>
      <c r="AH132" s="268"/>
      <c r="AI132" s="53" t="s">
        <v>6154</v>
      </c>
    </row>
    <row r="133" spans="1:35">
      <c r="A133" s="105" t="s">
        <v>6155</v>
      </c>
      <c r="B133" s="127" t="str">
        <f>IF(TRIM("BUS_CNODE_JCT__1283") = "", "BUS_CNODE_JCT__1283", "BUS_CNODE_JCT__1283")</f>
        <v>BUS_CNODE_JCT__1283</v>
      </c>
      <c r="C133" s="58" t="str">
        <f>IF(TRIM("BUS_西花园线13号环网柜_206") = "", "BUS_西花园线13号环网柜_206", "BUS_西花园线13号环网柜_206")</f>
        <v>BUS_西花园线13号环网柜_206</v>
      </c>
      <c r="D133" s="105" t="str">
        <f>IF(TRUE = TRUE, "Yes", "No")</f>
        <v>Yes</v>
      </c>
      <c r="E133" s="105" t="s">
        <v>5202</v>
      </c>
      <c r="F133" s="105" t="s">
        <v>5921</v>
      </c>
      <c r="G133" s="105"/>
      <c r="H133" s="105" t="str">
        <f>IF(0 = 0, "ANSI", "IEC")</f>
        <v>ANSI</v>
      </c>
      <c r="I133" s="105" t="str">
        <f>IF(1 = 0, "No", "Yes")</f>
        <v>Yes</v>
      </c>
      <c r="J133" s="105" t="str">
        <f>IF(0 = 1, "Yes", "No")</f>
        <v>No</v>
      </c>
      <c r="K133" s="105" t="str">
        <f>IF(0 = 0,"none","none")</f>
        <v>none</v>
      </c>
      <c r="L133" s="105" t="str">
        <f>IF(0 = 0,"none","none")</f>
        <v>none</v>
      </c>
      <c r="M133" s="105">
        <f>IF(0 = 0, ROUND(0, 1), "")</f>
        <v>0</v>
      </c>
      <c r="N133" s="105">
        <f>IF(0 = 0,ROUND(1.00999999, 3),"")</f>
        <v>1.01</v>
      </c>
      <c r="O133" s="266" t="str">
        <f>IF(0 = 0,IF(1 = 0, "Total", "Symmetrical"),"")</f>
        <v>Symmetrical</v>
      </c>
      <c r="P133" s="260">
        <f>IF(0 = 0,ROUND(0, 1),"")</f>
        <v>0</v>
      </c>
      <c r="Q133" s="105">
        <f>IF(0 = 0,ROUND(0, 1),"")</f>
        <v>0</v>
      </c>
      <c r="R133" s="105">
        <f>IF(0 = 0,ROUND(0, 1),"")</f>
        <v>0</v>
      </c>
      <c r="S133" s="260">
        <f>IF(0 = 0,ROUND(0, 1),"")</f>
        <v>0</v>
      </c>
      <c r="T133" s="242">
        <f>IF(0 = 0,CHOOSE(1 + 1, 3,5,8,2),"")</f>
        <v>5</v>
      </c>
      <c r="U133" s="267" t="str">
        <f>IF(0 = 0,"3","")</f>
        <v>3</v>
      </c>
      <c r="V133" s="260" t="str">
        <f>IF(0 = 1,ROUND(1250, 1),"")</f>
        <v/>
      </c>
      <c r="W133" s="260" t="str">
        <f>IF(0 = 1,ROUND(12, 3),"")</f>
        <v/>
      </c>
      <c r="X133" s="260" t="str">
        <f>IF(0 = 1,ROUND(100, 1),"")</f>
        <v/>
      </c>
      <c r="Y133" s="260" t="str">
        <f>IF(0 = 1,ROUND(0, 1),"")</f>
        <v/>
      </c>
      <c r="Z133" s="260" t="str">
        <f>IF(0 = 1,ROUND(0, 3),"")</f>
        <v/>
      </c>
      <c r="AA133" s="242" t="str">
        <f>IF(0 = 1,CHOOSE(0 + 1, 1.3,1.5),"")</f>
        <v/>
      </c>
      <c r="AB133" s="60" t="str">
        <f>IF(0 = 1,ROUND(0, 1),"")</f>
        <v/>
      </c>
      <c r="AC133" s="260" t="str">
        <f>IF(0 = 1,ROUND(3, 1),"")</f>
        <v/>
      </c>
      <c r="AD133" s="260"/>
      <c r="AE133" s="260"/>
      <c r="AF133" s="260"/>
      <c r="AG133" s="260"/>
      <c r="AH133" s="268"/>
      <c r="AI133" s="53" t="s">
        <v>6156</v>
      </c>
    </row>
    <row r="134" spans="1:35">
      <c r="A134" s="105" t="s">
        <v>6157</v>
      </c>
      <c r="B134" s="127" t="str">
        <f>IF(TRIM("BUS_CNODE_JCT__1427") = "", "BUS_CNODE_JCT__1427", "BUS_CNODE_JCT__1427")</f>
        <v>BUS_CNODE_JCT__1427</v>
      </c>
      <c r="C134" s="58" t="str">
        <f>IF(TRIM("BUS_CNODE_JCT__1357") = "", "BUS_CNODE_JCT__1357", "BUS_CNODE_JCT__1357")</f>
        <v>BUS_CNODE_JCT__1357</v>
      </c>
      <c r="D134" s="105" t="str">
        <f>IF(TRUE = TRUE, "Yes", "No")</f>
        <v>Yes</v>
      </c>
      <c r="E134" s="105" t="s">
        <v>5202</v>
      </c>
      <c r="F134" s="105" t="s">
        <v>5910</v>
      </c>
      <c r="G134" s="105"/>
      <c r="H134" s="105" t="str">
        <f>IF(0 = 0, "ANSI", "IEC")</f>
        <v>ANSI</v>
      </c>
      <c r="I134" s="105" t="str">
        <f>IF(1 = 0, "No", "Yes")</f>
        <v>Yes</v>
      </c>
      <c r="J134" s="105" t="str">
        <f>IF(0 = 1, "Yes", "No")</f>
        <v>No</v>
      </c>
      <c r="K134" s="105" t="str">
        <f>IF(0 = 0,"none","none")</f>
        <v>none</v>
      </c>
      <c r="L134" s="105" t="str">
        <f>IF(0 = 0,"none","none")</f>
        <v>none</v>
      </c>
      <c r="M134" s="105">
        <f>IF(0 = 0, ROUND(0, 1), "")</f>
        <v>0</v>
      </c>
      <c r="N134" s="105">
        <f>IF(0 = 0,ROUND(1.00999999, 3),"")</f>
        <v>1.01</v>
      </c>
      <c r="O134" s="266" t="str">
        <f>IF(0 = 0,IF(1 = 0, "Total", "Symmetrical"),"")</f>
        <v>Symmetrical</v>
      </c>
      <c r="P134" s="260">
        <f>IF(0 = 0,ROUND(0, 1),"")</f>
        <v>0</v>
      </c>
      <c r="Q134" s="105">
        <f>IF(0 = 0,ROUND(0, 1),"")</f>
        <v>0</v>
      </c>
      <c r="R134" s="105">
        <f>IF(0 = 0,ROUND(0, 1),"")</f>
        <v>0</v>
      </c>
      <c r="S134" s="260">
        <f>IF(0 = 0,ROUND(0, 1),"")</f>
        <v>0</v>
      </c>
      <c r="T134" s="242">
        <f>IF(0 = 0,CHOOSE(1 + 1, 3,5,8,2),"")</f>
        <v>5</v>
      </c>
      <c r="U134" s="267" t="str">
        <f>IF(0 = 0,"3","")</f>
        <v>3</v>
      </c>
      <c r="V134" s="260" t="str">
        <f>IF(0 = 1,ROUND(1250, 1),"")</f>
        <v/>
      </c>
      <c r="W134" s="260" t="str">
        <f>IF(0 = 1,ROUND(12, 3),"")</f>
        <v/>
      </c>
      <c r="X134" s="260" t="str">
        <f>IF(0 = 1,ROUND(630, 1),"")</f>
        <v/>
      </c>
      <c r="Y134" s="260" t="str">
        <f>IF(0 = 1,ROUND(0, 1),"")</f>
        <v/>
      </c>
      <c r="Z134" s="260" t="str">
        <f>IF(0 = 1,ROUND(0, 3),"")</f>
        <v/>
      </c>
      <c r="AA134" s="242" t="str">
        <f>IF(0 = 1,CHOOSE(0 + 1, 1.3,1.5),"")</f>
        <v/>
      </c>
      <c r="AB134" s="60" t="str">
        <f>IF(0 = 1,ROUND(0, 1),"")</f>
        <v/>
      </c>
      <c r="AC134" s="260" t="str">
        <f>IF(0 = 1,ROUND(3, 1),"")</f>
        <v/>
      </c>
      <c r="AD134" s="260"/>
      <c r="AE134" s="260"/>
      <c r="AF134" s="260"/>
      <c r="AG134" s="260"/>
      <c r="AH134" s="268"/>
      <c r="AI134" s="53" t="s">
        <v>6158</v>
      </c>
    </row>
    <row r="135" spans="1:35">
      <c r="A135" s="105" t="s">
        <v>6159</v>
      </c>
      <c r="B135" s="127" t="str">
        <f>IF(TRIM("BUS_号线2号环网柜（自）_241") = "", "BUS_号线2号环网柜（自）_241", "BUS_号线2号环网柜（自）_241")</f>
        <v>BUS_号线2号环网柜（自）_241</v>
      </c>
      <c r="C135" s="58" t="str">
        <f>IF(TRIM("BUS_CNODE_JCT__1470") = "", "BUS_CNODE_JCT__1470", "BUS_CNODE_JCT__1470")</f>
        <v>BUS_CNODE_JCT__1470</v>
      </c>
      <c r="D135" s="105" t="str">
        <f>IF(TRUE = TRUE, "Yes", "No")</f>
        <v>Yes</v>
      </c>
      <c r="E135" s="105" t="s">
        <v>5202</v>
      </c>
      <c r="F135" s="105" t="s">
        <v>5910</v>
      </c>
      <c r="G135" s="105"/>
      <c r="H135" s="105" t="str">
        <f>IF(0 = 0, "ANSI", "IEC")</f>
        <v>ANSI</v>
      </c>
      <c r="I135" s="105" t="str">
        <f>IF(1 = 0, "No", "Yes")</f>
        <v>Yes</v>
      </c>
      <c r="J135" s="105" t="str">
        <f>IF(0 = 1, "Yes", "No")</f>
        <v>No</v>
      </c>
      <c r="K135" s="105" t="str">
        <f>IF(0 = 0,"none","none")</f>
        <v>none</v>
      </c>
      <c r="L135" s="105" t="str">
        <f>IF(0 = 0,"none","none")</f>
        <v>none</v>
      </c>
      <c r="M135" s="105">
        <f>IF(0 = 0, ROUND(0, 1), "")</f>
        <v>0</v>
      </c>
      <c r="N135" s="105">
        <f>IF(0 = 0,ROUND(1.00999999, 3),"")</f>
        <v>1.01</v>
      </c>
      <c r="O135" s="266" t="str">
        <f>IF(0 = 0,IF(1 = 0, "Total", "Symmetrical"),"")</f>
        <v>Symmetrical</v>
      </c>
      <c r="P135" s="260">
        <f>IF(0 = 0,ROUND(0, 1),"")</f>
        <v>0</v>
      </c>
      <c r="Q135" s="105">
        <f>IF(0 = 0,ROUND(0, 1),"")</f>
        <v>0</v>
      </c>
      <c r="R135" s="105">
        <f>IF(0 = 0,ROUND(0, 1),"")</f>
        <v>0</v>
      </c>
      <c r="S135" s="260">
        <f>IF(0 = 0,ROUND(0, 1),"")</f>
        <v>0</v>
      </c>
      <c r="T135" s="242">
        <f>IF(0 = 0,CHOOSE(1 + 1, 3,5,8,2),"")</f>
        <v>5</v>
      </c>
      <c r="U135" s="267" t="str">
        <f>IF(0 = 0,"3","")</f>
        <v>3</v>
      </c>
      <c r="V135" s="260" t="str">
        <f>IF(0 = 1,ROUND(1250, 1),"")</f>
        <v/>
      </c>
      <c r="W135" s="260" t="str">
        <f>IF(0 = 1,ROUND(12, 3),"")</f>
        <v/>
      </c>
      <c r="X135" s="260" t="str">
        <f>IF(0 = 1,ROUND(630, 1),"")</f>
        <v/>
      </c>
      <c r="Y135" s="260" t="str">
        <f>IF(0 = 1,ROUND(0, 1),"")</f>
        <v/>
      </c>
      <c r="Z135" s="260" t="str">
        <f>IF(0 = 1,ROUND(0, 3),"")</f>
        <v/>
      </c>
      <c r="AA135" s="242" t="str">
        <f>IF(0 = 1,CHOOSE(0 + 1, 1.3,1.5),"")</f>
        <v/>
      </c>
      <c r="AB135" s="60" t="str">
        <f>IF(0 = 1,ROUND(0, 1),"")</f>
        <v/>
      </c>
      <c r="AC135" s="260" t="str">
        <f>IF(0 = 1,ROUND(3, 1),"")</f>
        <v/>
      </c>
      <c r="AD135" s="260"/>
      <c r="AE135" s="260"/>
      <c r="AF135" s="260"/>
      <c r="AG135" s="260"/>
      <c r="AH135" s="268"/>
      <c r="AI135" s="53" t="s">
        <v>6160</v>
      </c>
    </row>
    <row r="136" spans="1:35">
      <c r="A136" s="105" t="s">
        <v>6161</v>
      </c>
      <c r="B136" s="127" t="str">
        <f>IF(TRIM("BUS_号线2号环网柜（自）_241") = "", "BUS_号线2号环网柜（自）_241", "BUS_号线2号环网柜（自）_241")</f>
        <v>BUS_号线2号环网柜（自）_241</v>
      </c>
      <c r="C136" s="58" t="str">
        <f>IF(TRIM("BUS_CNODE_JCT__1471") = "", "BUS_CNODE_JCT__1471", "BUS_CNODE_JCT__1471")</f>
        <v>BUS_CNODE_JCT__1471</v>
      </c>
      <c r="D136" s="105" t="str">
        <f>IF(TRUE = TRUE, "Yes", "No")</f>
        <v>Yes</v>
      </c>
      <c r="E136" s="105" t="s">
        <v>5202</v>
      </c>
      <c r="F136" s="105" t="s">
        <v>5910</v>
      </c>
      <c r="G136" s="105"/>
      <c r="H136" s="105" t="str">
        <f>IF(0 = 0, "ANSI", "IEC")</f>
        <v>ANSI</v>
      </c>
      <c r="I136" s="105" t="str">
        <f>IF(1 = 0, "No", "Yes")</f>
        <v>Yes</v>
      </c>
      <c r="J136" s="105" t="str">
        <f>IF(0 = 1, "Yes", "No")</f>
        <v>No</v>
      </c>
      <c r="K136" s="105" t="str">
        <f>IF(0 = 0,"none","none")</f>
        <v>none</v>
      </c>
      <c r="L136" s="105" t="str">
        <f>IF(0 = 0,"none","none")</f>
        <v>none</v>
      </c>
      <c r="M136" s="105">
        <f>IF(0 = 0, ROUND(0, 1), "")</f>
        <v>0</v>
      </c>
      <c r="N136" s="105">
        <f>IF(0 = 0,ROUND(1.00999999, 3),"")</f>
        <v>1.01</v>
      </c>
      <c r="O136" s="266" t="str">
        <f>IF(0 = 0,IF(1 = 0, "Total", "Symmetrical"),"")</f>
        <v>Symmetrical</v>
      </c>
      <c r="P136" s="260">
        <f>IF(0 = 0,ROUND(0, 1),"")</f>
        <v>0</v>
      </c>
      <c r="Q136" s="105">
        <f>IF(0 = 0,ROUND(0, 1),"")</f>
        <v>0</v>
      </c>
      <c r="R136" s="105">
        <f>IF(0 = 0,ROUND(0, 1),"")</f>
        <v>0</v>
      </c>
      <c r="S136" s="260">
        <f>IF(0 = 0,ROUND(0, 1),"")</f>
        <v>0</v>
      </c>
      <c r="T136" s="242">
        <f>IF(0 = 0,CHOOSE(1 + 1, 3,5,8,2),"")</f>
        <v>5</v>
      </c>
      <c r="U136" s="267" t="str">
        <f>IF(0 = 0,"3","")</f>
        <v>3</v>
      </c>
      <c r="V136" s="260" t="str">
        <f>IF(0 = 1,ROUND(1250, 1),"")</f>
        <v/>
      </c>
      <c r="W136" s="260" t="str">
        <f>IF(0 = 1,ROUND(12, 3),"")</f>
        <v/>
      </c>
      <c r="X136" s="260" t="str">
        <f>IF(0 = 1,ROUND(630, 1),"")</f>
        <v/>
      </c>
      <c r="Y136" s="260" t="str">
        <f>IF(0 = 1,ROUND(0, 1),"")</f>
        <v/>
      </c>
      <c r="Z136" s="260" t="str">
        <f>IF(0 = 1,ROUND(0, 3),"")</f>
        <v/>
      </c>
      <c r="AA136" s="242" t="str">
        <f>IF(0 = 1,CHOOSE(0 + 1, 1.3,1.5),"")</f>
        <v/>
      </c>
      <c r="AB136" s="60" t="str">
        <f>IF(0 = 1,ROUND(0, 1),"")</f>
        <v/>
      </c>
      <c r="AC136" s="260" t="str">
        <f>IF(0 = 1,ROUND(3, 1),"")</f>
        <v/>
      </c>
      <c r="AD136" s="260"/>
      <c r="AE136" s="260"/>
      <c r="AF136" s="260"/>
      <c r="AG136" s="260"/>
      <c r="AH136" s="268"/>
      <c r="AI136" s="53" t="s">
        <v>6162</v>
      </c>
    </row>
    <row r="137" spans="1:35">
      <c r="A137" s="105" t="s">
        <v>6163</v>
      </c>
      <c r="B137" s="127" t="str">
        <f>IF(TRIM("BUS_kV爱涛线腾亚环网柜_207") = "", "BUS_kV爱涛线腾亚环网柜_207", "BUS_kV爱涛线腾亚环网柜_207")</f>
        <v>BUS_kV爱涛线腾亚环网柜_207</v>
      </c>
      <c r="C137" s="58" t="str">
        <f>IF(TRIM("BUS_CNODE_JCT__1284") = "", "BUS_CNODE_JCT__1284", "BUS_CNODE_JCT__1284")</f>
        <v>BUS_CNODE_JCT__1284</v>
      </c>
      <c r="D137" s="105" t="str">
        <f>IF(TRUE = TRUE, "Yes", "No")</f>
        <v>Yes</v>
      </c>
      <c r="E137" s="105" t="s">
        <v>5202</v>
      </c>
      <c r="F137" s="105" t="s">
        <v>5910</v>
      </c>
      <c r="G137" s="105"/>
      <c r="H137" s="105" t="str">
        <f>IF(0 = 0, "ANSI", "IEC")</f>
        <v>ANSI</v>
      </c>
      <c r="I137" s="105" t="str">
        <f>IF(1 = 0, "No", "Yes")</f>
        <v>Yes</v>
      </c>
      <c r="J137" s="105" t="str">
        <f>IF(0 = 1, "Yes", "No")</f>
        <v>No</v>
      </c>
      <c r="K137" s="105" t="str">
        <f>IF(0 = 0,"none","none")</f>
        <v>none</v>
      </c>
      <c r="L137" s="105" t="str">
        <f>IF(0 = 0,"none","none")</f>
        <v>none</v>
      </c>
      <c r="M137" s="105">
        <f>IF(0 = 0, ROUND(0, 1), "")</f>
        <v>0</v>
      </c>
      <c r="N137" s="105">
        <f>IF(0 = 0,ROUND(1.00999999, 3),"")</f>
        <v>1.01</v>
      </c>
      <c r="O137" s="266" t="str">
        <f>IF(0 = 0,IF(1 = 0, "Total", "Symmetrical"),"")</f>
        <v>Symmetrical</v>
      </c>
      <c r="P137" s="260">
        <f>IF(0 = 0,ROUND(0, 1),"")</f>
        <v>0</v>
      </c>
      <c r="Q137" s="105">
        <f>IF(0 = 0,ROUND(0, 1),"")</f>
        <v>0</v>
      </c>
      <c r="R137" s="105">
        <f>IF(0 = 0,ROUND(0, 1),"")</f>
        <v>0</v>
      </c>
      <c r="S137" s="260">
        <f>IF(0 = 0,ROUND(0, 1),"")</f>
        <v>0</v>
      </c>
      <c r="T137" s="242">
        <f>IF(0 = 0,CHOOSE(1 + 1, 3,5,8,2),"")</f>
        <v>5</v>
      </c>
      <c r="U137" s="267" t="str">
        <f>IF(0 = 0,"3","")</f>
        <v>3</v>
      </c>
      <c r="V137" s="260" t="str">
        <f>IF(0 = 1,ROUND(1250, 1),"")</f>
        <v/>
      </c>
      <c r="W137" s="260" t="str">
        <f>IF(0 = 1,ROUND(12, 3),"")</f>
        <v/>
      </c>
      <c r="X137" s="260" t="str">
        <f>IF(0 = 1,ROUND(630, 1),"")</f>
        <v/>
      </c>
      <c r="Y137" s="260" t="str">
        <f>IF(0 = 1,ROUND(0, 1),"")</f>
        <v/>
      </c>
      <c r="Z137" s="260" t="str">
        <f>IF(0 = 1,ROUND(0, 3),"")</f>
        <v/>
      </c>
      <c r="AA137" s="242" t="str">
        <f>IF(0 = 1,CHOOSE(0 + 1, 1.3,1.5),"")</f>
        <v/>
      </c>
      <c r="AB137" s="60" t="str">
        <f>IF(0 = 1,ROUND(0, 1),"")</f>
        <v/>
      </c>
      <c r="AC137" s="260" t="str">
        <f>IF(0 = 1,ROUND(3, 1),"")</f>
        <v/>
      </c>
      <c r="AD137" s="260"/>
      <c r="AE137" s="260"/>
      <c r="AF137" s="260"/>
      <c r="AG137" s="260"/>
      <c r="AH137" s="268"/>
      <c r="AI137" s="53" t="s">
        <v>6164</v>
      </c>
    </row>
    <row r="138" spans="1:35">
      <c r="A138" s="105" t="s">
        <v>6165</v>
      </c>
      <c r="B138" s="127" t="str">
        <f>IF(TRIM("") = "", "", "")</f>
        <v/>
      </c>
      <c r="C138" s="58" t="str">
        <f>IF(TRIM("BUS_西花园线13号环网柜_206") = "", "BUS_西花园线13号环网柜_206", "BUS_西花园线13号环网柜_206")</f>
        <v>BUS_西花园线13号环网柜_206</v>
      </c>
      <c r="D138" s="105" t="str">
        <f>IF(TRUE = TRUE, "Yes", "No")</f>
        <v>Yes</v>
      </c>
      <c r="E138" s="105" t="s">
        <v>5202</v>
      </c>
      <c r="F138" s="105" t="s">
        <v>5910</v>
      </c>
      <c r="G138" s="105"/>
      <c r="H138" s="105" t="str">
        <f>IF(0 = 0, "ANSI", "IEC")</f>
        <v>ANSI</v>
      </c>
      <c r="I138" s="105" t="str">
        <f>IF(1 = 0, "No", "Yes")</f>
        <v>Yes</v>
      </c>
      <c r="J138" s="105" t="str">
        <f>IF(0 = 1, "Yes", "No")</f>
        <v>No</v>
      </c>
      <c r="K138" s="105" t="str">
        <f>IF(0 = 0,"none","none")</f>
        <v>none</v>
      </c>
      <c r="L138" s="105" t="str">
        <f>IF(0 = 0,"none","none")</f>
        <v>none</v>
      </c>
      <c r="M138" s="105">
        <f>IF(0 = 0, ROUND(0, 1), "")</f>
        <v>0</v>
      </c>
      <c r="N138" s="105">
        <f>IF(0 = 0,ROUND(1.00999999, 3),"")</f>
        <v>1.01</v>
      </c>
      <c r="O138" s="266" t="str">
        <f>IF(0 = 0,IF(1 = 0, "Total", "Symmetrical"),"")</f>
        <v>Symmetrical</v>
      </c>
      <c r="P138" s="260">
        <f>IF(0 = 0,ROUND(0, 1),"")</f>
        <v>0</v>
      </c>
      <c r="Q138" s="105">
        <f>IF(0 = 0,ROUND(0, 1),"")</f>
        <v>0</v>
      </c>
      <c r="R138" s="105">
        <f>IF(0 = 0,ROUND(0, 1),"")</f>
        <v>0</v>
      </c>
      <c r="S138" s="260">
        <f>IF(0 = 0,ROUND(0, 1),"")</f>
        <v>0</v>
      </c>
      <c r="T138" s="242">
        <f>IF(0 = 0,CHOOSE(1 + 1, 3,5,8,2),"")</f>
        <v>5</v>
      </c>
      <c r="U138" s="267" t="str">
        <f>IF(0 = 0,"3","")</f>
        <v>3</v>
      </c>
      <c r="V138" s="260" t="str">
        <f>IF(0 = 1,ROUND(1250, 1),"")</f>
        <v/>
      </c>
      <c r="W138" s="260" t="str">
        <f>IF(0 = 1,ROUND(12, 3),"")</f>
        <v/>
      </c>
      <c r="X138" s="260" t="str">
        <f>IF(0 = 1,ROUND(100, 1),"")</f>
        <v/>
      </c>
      <c r="Y138" s="260" t="str">
        <f>IF(0 = 1,ROUND(0, 1),"")</f>
        <v/>
      </c>
      <c r="Z138" s="260" t="str">
        <f>IF(0 = 1,ROUND(0, 3),"")</f>
        <v/>
      </c>
      <c r="AA138" s="242" t="str">
        <f>IF(0 = 1,CHOOSE(0 + 1, 1.3,1.5),"")</f>
        <v/>
      </c>
      <c r="AB138" s="60" t="str">
        <f>IF(0 = 1,ROUND(0, 1),"")</f>
        <v/>
      </c>
      <c r="AC138" s="260" t="str">
        <f>IF(0 = 1,ROUND(3, 1),"")</f>
        <v/>
      </c>
      <c r="AD138" s="260"/>
      <c r="AE138" s="260"/>
      <c r="AF138" s="260"/>
      <c r="AG138" s="260"/>
      <c r="AH138" s="268"/>
      <c r="AI138" s="53" t="s">
        <v>6166</v>
      </c>
    </row>
    <row r="139" spans="1:35">
      <c r="A139" s="105" t="s">
        <v>6167</v>
      </c>
      <c r="B139" s="127" t="str">
        <f>IF(TRIM("BUS_CNODE_JCT__1426") = "", "BUS_CNODE_JCT__1426", "BUS_CNODE_JCT__1426")</f>
        <v>BUS_CNODE_JCT__1426</v>
      </c>
      <c r="C139" s="58" t="str">
        <f>IF(TRIM("BUS_CNODE_JCT__1324") = "", "BUS_CNODE_JCT__1324", "BUS_CNODE_JCT__1324")</f>
        <v>BUS_CNODE_JCT__1324</v>
      </c>
      <c r="D139" s="105" t="str">
        <f>IF(TRUE = TRUE, "Yes", "No")</f>
        <v>Yes</v>
      </c>
      <c r="E139" s="105" t="s">
        <v>5202</v>
      </c>
      <c r="F139" s="105" t="s">
        <v>5910</v>
      </c>
      <c r="G139" s="105"/>
      <c r="H139" s="105" t="str">
        <f>IF(0 = 0, "ANSI", "IEC")</f>
        <v>ANSI</v>
      </c>
      <c r="I139" s="105" t="str">
        <f>IF(1 = 0, "No", "Yes")</f>
        <v>Yes</v>
      </c>
      <c r="J139" s="105" t="str">
        <f>IF(0 = 1, "Yes", "No")</f>
        <v>No</v>
      </c>
      <c r="K139" s="105" t="str">
        <f>IF(0 = 0,"none","none")</f>
        <v>none</v>
      </c>
      <c r="L139" s="105" t="str">
        <f>IF(0 = 0,"none","none")</f>
        <v>none</v>
      </c>
      <c r="M139" s="105">
        <f>IF(0 = 0, ROUND(0, 1), "")</f>
        <v>0</v>
      </c>
      <c r="N139" s="105">
        <f>IF(0 = 0,ROUND(1.00999999, 3),"")</f>
        <v>1.01</v>
      </c>
      <c r="O139" s="266" t="str">
        <f>IF(0 = 0,IF(1 = 0, "Total", "Symmetrical"),"")</f>
        <v>Symmetrical</v>
      </c>
      <c r="P139" s="260">
        <f>IF(0 = 0,ROUND(0, 1),"")</f>
        <v>0</v>
      </c>
      <c r="Q139" s="105">
        <f>IF(0 = 0,ROUND(0, 1),"")</f>
        <v>0</v>
      </c>
      <c r="R139" s="105">
        <f>IF(0 = 0,ROUND(0, 1),"")</f>
        <v>0</v>
      </c>
      <c r="S139" s="260">
        <f>IF(0 = 0,ROUND(0, 1),"")</f>
        <v>0</v>
      </c>
      <c r="T139" s="242">
        <f>IF(0 = 0,CHOOSE(1 + 1, 3,5,8,2),"")</f>
        <v>5</v>
      </c>
      <c r="U139" s="267" t="str">
        <f>IF(0 = 0,"3","")</f>
        <v>3</v>
      </c>
      <c r="V139" s="260" t="str">
        <f>IF(0 = 1,ROUND(1250, 1),"")</f>
        <v/>
      </c>
      <c r="W139" s="260" t="str">
        <f>IF(0 = 1,ROUND(12, 3),"")</f>
        <v/>
      </c>
      <c r="X139" s="260" t="str">
        <f>IF(0 = 1,ROUND(630, 1),"")</f>
        <v/>
      </c>
      <c r="Y139" s="260" t="str">
        <f>IF(0 = 1,ROUND(0, 1),"")</f>
        <v/>
      </c>
      <c r="Z139" s="260" t="str">
        <f>IF(0 = 1,ROUND(0, 3),"")</f>
        <v/>
      </c>
      <c r="AA139" s="242" t="str">
        <f>IF(0 = 1,CHOOSE(0 + 1, 1.3,1.5),"")</f>
        <v/>
      </c>
      <c r="AB139" s="60" t="str">
        <f>IF(0 = 1,ROUND(0, 1),"")</f>
        <v/>
      </c>
      <c r="AC139" s="260" t="str">
        <f>IF(0 = 1,ROUND(3, 1),"")</f>
        <v/>
      </c>
      <c r="AD139" s="260"/>
      <c r="AE139" s="260"/>
      <c r="AF139" s="260"/>
      <c r="AG139" s="260"/>
      <c r="AH139" s="268"/>
      <c r="AI139" s="53" t="s">
        <v>6168</v>
      </c>
    </row>
    <row r="140" spans="1:35">
      <c r="A140" s="105" t="s">
        <v>6169</v>
      </c>
      <c r="B140" s="127" t="str">
        <f>IF(TRIM("BUS_涛线3号环网柜（自）_242") = "", "BUS_涛线3号环网柜（自）_242", "BUS_涛线3号环网柜（自）_242")</f>
        <v>BUS_涛线3号环网柜（自）_242</v>
      </c>
      <c r="C140" s="58" t="str">
        <f>IF(TRIM("BUS_CNODE_JCT__1475") = "", "BUS_CNODE_JCT__1475", "BUS_CNODE_JCT__1475")</f>
        <v>BUS_CNODE_JCT__1475</v>
      </c>
      <c r="D140" s="105" t="str">
        <f>IF(TRUE = TRUE, "Yes", "No")</f>
        <v>Yes</v>
      </c>
      <c r="E140" s="105" t="s">
        <v>5202</v>
      </c>
      <c r="F140" s="105" t="s">
        <v>5910</v>
      </c>
      <c r="G140" s="105"/>
      <c r="H140" s="105" t="str">
        <f>IF(0 = 0, "ANSI", "IEC")</f>
        <v>ANSI</v>
      </c>
      <c r="I140" s="105" t="str">
        <f>IF(1 = 0, "No", "Yes")</f>
        <v>Yes</v>
      </c>
      <c r="J140" s="105" t="str">
        <f>IF(0 = 1, "Yes", "No")</f>
        <v>No</v>
      </c>
      <c r="K140" s="105" t="str">
        <f>IF(0 = 0,"none","none")</f>
        <v>none</v>
      </c>
      <c r="L140" s="105" t="str">
        <f>IF(0 = 0,"none","none")</f>
        <v>none</v>
      </c>
      <c r="M140" s="105">
        <f>IF(0 = 0, ROUND(0, 1), "")</f>
        <v>0</v>
      </c>
      <c r="N140" s="105">
        <f>IF(0 = 0,ROUND(1.00999999, 3),"")</f>
        <v>1.01</v>
      </c>
      <c r="O140" s="266" t="str">
        <f>IF(0 = 0,IF(1 = 0, "Total", "Symmetrical"),"")</f>
        <v>Symmetrical</v>
      </c>
      <c r="P140" s="260">
        <f>IF(0 = 0,ROUND(0, 1),"")</f>
        <v>0</v>
      </c>
      <c r="Q140" s="105">
        <f>IF(0 = 0,ROUND(0, 1),"")</f>
        <v>0</v>
      </c>
      <c r="R140" s="105">
        <f>IF(0 = 0,ROUND(0, 1),"")</f>
        <v>0</v>
      </c>
      <c r="S140" s="260">
        <f>IF(0 = 0,ROUND(0, 1),"")</f>
        <v>0</v>
      </c>
      <c r="T140" s="242">
        <f>IF(0 = 0,CHOOSE(1 + 1, 3,5,8,2),"")</f>
        <v>5</v>
      </c>
      <c r="U140" s="267" t="str">
        <f>IF(0 = 0,"3","")</f>
        <v>3</v>
      </c>
      <c r="V140" s="260" t="str">
        <f>IF(0 = 1,ROUND(1250, 1),"")</f>
        <v/>
      </c>
      <c r="W140" s="260" t="str">
        <f>IF(0 = 1,ROUND(12, 3),"")</f>
        <v/>
      </c>
      <c r="X140" s="260" t="str">
        <f>IF(0 = 1,ROUND(630, 1),"")</f>
        <v/>
      </c>
      <c r="Y140" s="260" t="str">
        <f>IF(0 = 1,ROUND(0, 1),"")</f>
        <v/>
      </c>
      <c r="Z140" s="260" t="str">
        <f>IF(0 = 1,ROUND(0, 3),"")</f>
        <v/>
      </c>
      <c r="AA140" s="242" t="str">
        <f>IF(0 = 1,CHOOSE(0 + 1, 1.3,1.5),"")</f>
        <v/>
      </c>
      <c r="AB140" s="60" t="str">
        <f>IF(0 = 1,ROUND(0, 1),"")</f>
        <v/>
      </c>
      <c r="AC140" s="260" t="str">
        <f>IF(0 = 1,ROUND(3, 1),"")</f>
        <v/>
      </c>
      <c r="AD140" s="260"/>
      <c r="AE140" s="260"/>
      <c r="AF140" s="260"/>
      <c r="AG140" s="260"/>
      <c r="AH140" s="268"/>
      <c r="AI140" s="53" t="s">
        <v>6170</v>
      </c>
    </row>
    <row r="141" spans="1:35">
      <c r="A141" s="105" t="s">
        <v>6171</v>
      </c>
      <c r="B141" s="127" t="str">
        <f>IF(TRIM("BUS_CNODE_JCT__1424") = "", "BUS_CNODE_JCT__1424", "BUS_CNODE_JCT__1424")</f>
        <v>BUS_CNODE_JCT__1424</v>
      </c>
      <c r="C141" s="58" t="str">
        <f>IF(TRIM("BUS_CNODE_JCT__1326") = "", "BUS_CNODE_JCT__1326", "BUS_CNODE_JCT__1326")</f>
        <v>BUS_CNODE_JCT__1326</v>
      </c>
      <c r="D141" s="105" t="str">
        <f>IF(TRUE = TRUE, "Yes", "No")</f>
        <v>Yes</v>
      </c>
      <c r="E141" s="105" t="s">
        <v>5202</v>
      </c>
      <c r="F141" s="105" t="s">
        <v>5910</v>
      </c>
      <c r="G141" s="105"/>
      <c r="H141" s="105" t="str">
        <f>IF(0 = 0, "ANSI", "IEC")</f>
        <v>ANSI</v>
      </c>
      <c r="I141" s="105" t="str">
        <f>IF(1 = 0, "No", "Yes")</f>
        <v>Yes</v>
      </c>
      <c r="J141" s="105" t="str">
        <f>IF(0 = 1, "Yes", "No")</f>
        <v>No</v>
      </c>
      <c r="K141" s="105" t="str">
        <f>IF(0 = 0,"none","none")</f>
        <v>none</v>
      </c>
      <c r="L141" s="105" t="str">
        <f>IF(0 = 0,"none","none")</f>
        <v>none</v>
      </c>
      <c r="M141" s="105">
        <f>IF(0 = 0, ROUND(0, 1), "")</f>
        <v>0</v>
      </c>
      <c r="N141" s="105">
        <f>IF(0 = 0,ROUND(1.00999999, 3),"")</f>
        <v>1.01</v>
      </c>
      <c r="O141" s="266" t="str">
        <f>IF(0 = 0,IF(1 = 0, "Total", "Symmetrical"),"")</f>
        <v>Symmetrical</v>
      </c>
      <c r="P141" s="260">
        <f>IF(0 = 0,ROUND(0, 1),"")</f>
        <v>0</v>
      </c>
      <c r="Q141" s="105">
        <f>IF(0 = 0,ROUND(0, 1),"")</f>
        <v>0</v>
      </c>
      <c r="R141" s="105">
        <f>IF(0 = 0,ROUND(0, 1),"")</f>
        <v>0</v>
      </c>
      <c r="S141" s="260">
        <f>IF(0 = 0,ROUND(0, 1),"")</f>
        <v>0</v>
      </c>
      <c r="T141" s="242">
        <f>IF(0 = 0,CHOOSE(1 + 1, 3,5,8,2),"")</f>
        <v>5</v>
      </c>
      <c r="U141" s="267" t="str">
        <f>IF(0 = 0,"3","")</f>
        <v>3</v>
      </c>
      <c r="V141" s="260" t="str">
        <f>IF(0 = 1,ROUND(1250, 1),"")</f>
        <v/>
      </c>
      <c r="W141" s="260" t="str">
        <f>IF(0 = 1,ROUND(12, 3),"")</f>
        <v/>
      </c>
      <c r="X141" s="260" t="str">
        <f>IF(0 = 1,ROUND(630, 1),"")</f>
        <v/>
      </c>
      <c r="Y141" s="260" t="str">
        <f>IF(0 = 1,ROUND(0, 1),"")</f>
        <v/>
      </c>
      <c r="Z141" s="260" t="str">
        <f>IF(0 = 1,ROUND(0, 3),"")</f>
        <v/>
      </c>
      <c r="AA141" s="242" t="str">
        <f>IF(0 = 1,CHOOSE(0 + 1, 1.3,1.5),"")</f>
        <v/>
      </c>
      <c r="AB141" s="60" t="str">
        <f>IF(0 = 1,ROUND(0, 1),"")</f>
        <v/>
      </c>
      <c r="AC141" s="260" t="str">
        <f>IF(0 = 1,ROUND(3, 1),"")</f>
        <v/>
      </c>
      <c r="AD141" s="260"/>
      <c r="AE141" s="260"/>
      <c r="AF141" s="260"/>
      <c r="AG141" s="260"/>
      <c r="AH141" s="268"/>
      <c r="AI141" s="53" t="s">
        <v>6172</v>
      </c>
    </row>
    <row r="142" spans="1:35">
      <c r="A142" s="105" t="s">
        <v>6173</v>
      </c>
      <c r="B142" s="127" t="str">
        <f>IF(TRIM("BUS_CNODE_JCT__1292") = "", "BUS_CNODE_JCT__1292", "BUS_CNODE_JCT__1292")</f>
        <v>BUS_CNODE_JCT__1292</v>
      </c>
      <c r="C142" s="58" t="str">
        <f>IF(TRIM("BUS_爱涛线太平南区环网柜_208") = "", "BUS_爱涛线太平南区环网柜_208", "BUS_爱涛线太平南区环网柜_208")</f>
        <v>BUS_爱涛线太平南区环网柜_208</v>
      </c>
      <c r="D142" s="105" t="str">
        <f>IF(TRUE = TRUE, "Yes", "No")</f>
        <v>Yes</v>
      </c>
      <c r="E142" s="105" t="s">
        <v>5202</v>
      </c>
      <c r="F142" s="105" t="s">
        <v>5910</v>
      </c>
      <c r="G142" s="105"/>
      <c r="H142" s="105" t="str">
        <f>IF(0 = 0, "ANSI", "IEC")</f>
        <v>ANSI</v>
      </c>
      <c r="I142" s="105" t="str">
        <f>IF(1 = 0, "No", "Yes")</f>
        <v>Yes</v>
      </c>
      <c r="J142" s="105" t="str">
        <f>IF(0 = 1, "Yes", "No")</f>
        <v>No</v>
      </c>
      <c r="K142" s="105" t="str">
        <f>IF(0 = 0,"none","none")</f>
        <v>none</v>
      </c>
      <c r="L142" s="105" t="str">
        <f>IF(0 = 0,"none","none")</f>
        <v>none</v>
      </c>
      <c r="M142" s="105">
        <f>IF(0 = 0, ROUND(0, 1), "")</f>
        <v>0</v>
      </c>
      <c r="N142" s="105">
        <f>IF(0 = 0,ROUND(1.00999999, 3),"")</f>
        <v>1.01</v>
      </c>
      <c r="O142" s="266" t="str">
        <f>IF(0 = 0,IF(1 = 0, "Total", "Symmetrical"),"")</f>
        <v>Symmetrical</v>
      </c>
      <c r="P142" s="260">
        <f>IF(0 = 0,ROUND(0, 1),"")</f>
        <v>0</v>
      </c>
      <c r="Q142" s="105">
        <f>IF(0 = 0,ROUND(0, 1),"")</f>
        <v>0</v>
      </c>
      <c r="R142" s="105">
        <f>IF(0 = 0,ROUND(0, 1),"")</f>
        <v>0</v>
      </c>
      <c r="S142" s="260">
        <f>IF(0 = 0,ROUND(0, 1),"")</f>
        <v>0</v>
      </c>
      <c r="T142" s="242">
        <f>IF(0 = 0,CHOOSE(1 + 1, 3,5,8,2),"")</f>
        <v>5</v>
      </c>
      <c r="U142" s="267" t="str">
        <f>IF(0 = 0,"3","")</f>
        <v>3</v>
      </c>
      <c r="V142" s="260" t="str">
        <f>IF(0 = 1,ROUND(1250, 1),"")</f>
        <v/>
      </c>
      <c r="W142" s="260" t="str">
        <f>IF(0 = 1,ROUND(12, 3),"")</f>
        <v/>
      </c>
      <c r="X142" s="260" t="str">
        <f>IF(0 = 1,ROUND(100, 1),"")</f>
        <v/>
      </c>
      <c r="Y142" s="260" t="str">
        <f>IF(0 = 1,ROUND(0, 1),"")</f>
        <v/>
      </c>
      <c r="Z142" s="260" t="str">
        <f>IF(0 = 1,ROUND(0, 3),"")</f>
        <v/>
      </c>
      <c r="AA142" s="242" t="str">
        <f>IF(0 = 1,CHOOSE(0 + 1, 1.3,1.5),"")</f>
        <v/>
      </c>
      <c r="AB142" s="60" t="str">
        <f>IF(0 = 1,ROUND(0, 1),"")</f>
        <v/>
      </c>
      <c r="AC142" s="260" t="str">
        <f>IF(0 = 1,ROUND(3, 1),"")</f>
        <v/>
      </c>
      <c r="AD142" s="260"/>
      <c r="AE142" s="260"/>
      <c r="AF142" s="260"/>
      <c r="AG142" s="260"/>
      <c r="AH142" s="268"/>
      <c r="AI142" s="53" t="s">
        <v>6174</v>
      </c>
    </row>
    <row r="143" spans="1:35">
      <c r="A143" s="105" t="s">
        <v>6175</v>
      </c>
      <c r="B143" s="127" t="str">
        <f>IF(TRIM("BUS_CNODE_JCT__1293") = "", "BUS_CNODE_JCT__1293", "BUS_CNODE_JCT__1293")</f>
        <v>BUS_CNODE_JCT__1293</v>
      </c>
      <c r="C143" s="58" t="str">
        <f>IF(TRIM("BUS_爱涛线太平南区环网柜_208") = "", "BUS_爱涛线太平南区环网柜_208", "BUS_爱涛线太平南区环网柜_208")</f>
        <v>BUS_爱涛线太平南区环网柜_208</v>
      </c>
      <c r="D143" s="105" t="str">
        <f>IF(TRUE = TRUE, "Yes", "No")</f>
        <v>Yes</v>
      </c>
      <c r="E143" s="105" t="s">
        <v>5202</v>
      </c>
      <c r="F143" s="105" t="s">
        <v>5910</v>
      </c>
      <c r="G143" s="105"/>
      <c r="H143" s="105" t="str">
        <f>IF(0 = 0, "ANSI", "IEC")</f>
        <v>ANSI</v>
      </c>
      <c r="I143" s="105" t="str">
        <f>IF(1 = 0, "No", "Yes")</f>
        <v>Yes</v>
      </c>
      <c r="J143" s="105" t="str">
        <f>IF(0 = 1, "Yes", "No")</f>
        <v>No</v>
      </c>
      <c r="K143" s="105" t="str">
        <f>IF(0 = 0,"none","none")</f>
        <v>none</v>
      </c>
      <c r="L143" s="105" t="str">
        <f>IF(0 = 0,"none","none")</f>
        <v>none</v>
      </c>
      <c r="M143" s="105">
        <f>IF(0 = 0, ROUND(0, 1), "")</f>
        <v>0</v>
      </c>
      <c r="N143" s="105">
        <f>IF(0 = 0,ROUND(1.00999999, 3),"")</f>
        <v>1.01</v>
      </c>
      <c r="O143" s="266" t="str">
        <f>IF(0 = 0,IF(1 = 0, "Total", "Symmetrical"),"")</f>
        <v>Symmetrical</v>
      </c>
      <c r="P143" s="260">
        <f>IF(0 = 0,ROUND(0, 1),"")</f>
        <v>0</v>
      </c>
      <c r="Q143" s="105">
        <f>IF(0 = 0,ROUND(0, 1),"")</f>
        <v>0</v>
      </c>
      <c r="R143" s="105">
        <f>IF(0 = 0,ROUND(0, 1),"")</f>
        <v>0</v>
      </c>
      <c r="S143" s="260">
        <f>IF(0 = 0,ROUND(0, 1),"")</f>
        <v>0</v>
      </c>
      <c r="T143" s="242">
        <f>IF(0 = 0,CHOOSE(1 + 1, 3,5,8,2),"")</f>
        <v>5</v>
      </c>
      <c r="U143" s="267" t="str">
        <f>IF(0 = 0,"3","")</f>
        <v>3</v>
      </c>
      <c r="V143" s="260" t="str">
        <f>IF(0 = 1,ROUND(1250, 1),"")</f>
        <v/>
      </c>
      <c r="W143" s="260" t="str">
        <f>IF(0 = 1,ROUND(12, 3),"")</f>
        <v/>
      </c>
      <c r="X143" s="260" t="str">
        <f>IF(0 = 1,ROUND(100, 1),"")</f>
        <v/>
      </c>
      <c r="Y143" s="260" t="str">
        <f>IF(0 = 1,ROUND(0, 1),"")</f>
        <v/>
      </c>
      <c r="Z143" s="260" t="str">
        <f>IF(0 = 1,ROUND(0, 3),"")</f>
        <v/>
      </c>
      <c r="AA143" s="242" t="str">
        <f>IF(0 = 1,CHOOSE(0 + 1, 1.3,1.5),"")</f>
        <v/>
      </c>
      <c r="AB143" s="60" t="str">
        <f>IF(0 = 1,ROUND(0, 1),"")</f>
        <v/>
      </c>
      <c r="AC143" s="260" t="str">
        <f>IF(0 = 1,ROUND(3, 1),"")</f>
        <v/>
      </c>
      <c r="AD143" s="260"/>
      <c r="AE143" s="260"/>
      <c r="AF143" s="260"/>
      <c r="AG143" s="260"/>
      <c r="AH143" s="268"/>
      <c r="AI143" s="53" t="s">
        <v>6176</v>
      </c>
    </row>
    <row r="144" spans="1:35">
      <c r="A144" s="105" t="s">
        <v>6177</v>
      </c>
      <c r="B144" s="127" t="str">
        <f>IF(TRIM("BUS_CNODE_JCT__1351") = "", "BUS_CNODE_JCT__1351", "BUS_CNODE_JCT__1351")</f>
        <v>BUS_CNODE_JCT__1351</v>
      </c>
      <c r="C144" s="58" t="str">
        <f>IF(TRIM("BUS_线太平花苑#1环网柜_202") = "", "BUS_线太平花苑#1环网柜_202", "BUS_线太平花苑#1环网柜_202")</f>
        <v>BUS_线太平花苑#1环网柜_202</v>
      </c>
      <c r="D144" s="105" t="str">
        <f>IF(TRUE = TRUE, "Yes", "No")</f>
        <v>Yes</v>
      </c>
      <c r="E144" s="105" t="s">
        <v>5202</v>
      </c>
      <c r="F144" s="105" t="s">
        <v>5910</v>
      </c>
      <c r="G144" s="105"/>
      <c r="H144" s="105" t="str">
        <f>IF(0 = 0, "ANSI", "IEC")</f>
        <v>ANSI</v>
      </c>
      <c r="I144" s="105" t="str">
        <f>IF(1 = 0, "No", "Yes")</f>
        <v>Yes</v>
      </c>
      <c r="J144" s="105" t="str">
        <f>IF(0 = 1, "Yes", "No")</f>
        <v>No</v>
      </c>
      <c r="K144" s="105" t="str">
        <f>IF(0 = 0,"none","none")</f>
        <v>none</v>
      </c>
      <c r="L144" s="105" t="str">
        <f>IF(0 = 0,"none","none")</f>
        <v>none</v>
      </c>
      <c r="M144" s="105">
        <f>IF(0 = 0, ROUND(0, 1), "")</f>
        <v>0</v>
      </c>
      <c r="N144" s="105">
        <f>IF(0 = 0,ROUND(1.00999999, 3),"")</f>
        <v>1.01</v>
      </c>
      <c r="O144" s="266" t="str">
        <f>IF(0 = 0,IF(1 = 0, "Total", "Symmetrical"),"")</f>
        <v>Symmetrical</v>
      </c>
      <c r="P144" s="260">
        <f>IF(0 = 0,ROUND(0, 1),"")</f>
        <v>0</v>
      </c>
      <c r="Q144" s="105">
        <f>IF(0 = 0,ROUND(0, 1),"")</f>
        <v>0</v>
      </c>
      <c r="R144" s="105">
        <f>IF(0 = 0,ROUND(0, 1),"")</f>
        <v>0</v>
      </c>
      <c r="S144" s="260">
        <f>IF(0 = 0,ROUND(0, 1),"")</f>
        <v>0</v>
      </c>
      <c r="T144" s="242">
        <f>IF(0 = 0,CHOOSE(1 + 1, 3,5,8,2),"")</f>
        <v>5</v>
      </c>
      <c r="U144" s="267" t="str">
        <f>IF(0 = 0,"3","")</f>
        <v>3</v>
      </c>
      <c r="V144" s="260" t="str">
        <f>IF(0 = 1,ROUND(1250, 1),"")</f>
        <v/>
      </c>
      <c r="W144" s="260" t="str">
        <f>IF(0 = 1,ROUND(12, 3),"")</f>
        <v/>
      </c>
      <c r="X144" s="260" t="str">
        <f>IF(0 = 1,ROUND(100, 1),"")</f>
        <v/>
      </c>
      <c r="Y144" s="260" t="str">
        <f>IF(0 = 1,ROUND(0, 1),"")</f>
        <v/>
      </c>
      <c r="Z144" s="260" t="str">
        <f>IF(0 = 1,ROUND(0, 3),"")</f>
        <v/>
      </c>
      <c r="AA144" s="242" t="str">
        <f>IF(0 = 1,CHOOSE(0 + 1, 1.3,1.5),"")</f>
        <v/>
      </c>
      <c r="AB144" s="60" t="str">
        <f>IF(0 = 1,ROUND(0, 1),"")</f>
        <v/>
      </c>
      <c r="AC144" s="260" t="str">
        <f>IF(0 = 1,ROUND(3, 1),"")</f>
        <v/>
      </c>
      <c r="AD144" s="260"/>
      <c r="AE144" s="260"/>
      <c r="AF144" s="260"/>
      <c r="AG144" s="260"/>
      <c r="AH144" s="268"/>
      <c r="AI144" s="53" t="s">
        <v>6178</v>
      </c>
    </row>
    <row r="145" spans="1:35">
      <c r="A145" s="105" t="s">
        <v>6179</v>
      </c>
      <c r="B145" s="127" t="str">
        <f>IF(TRIM("BUS_CNODE_JCT__1348") = "", "BUS_CNODE_JCT__1348", "BUS_CNODE_JCT__1348")</f>
        <v>BUS_CNODE_JCT__1348</v>
      </c>
      <c r="C145" s="58" t="str">
        <f>IF(TRIM("BUS_线太平花苑#5环网柜_201") = "", "BUS_线太平花苑#5环网柜_201", "BUS_线太平花苑#5环网柜_201")</f>
        <v>BUS_线太平花苑#5环网柜_201</v>
      </c>
      <c r="D145" s="105" t="str">
        <f>IF(TRUE = TRUE, "Yes", "No")</f>
        <v>Yes</v>
      </c>
      <c r="E145" s="105" t="s">
        <v>5202</v>
      </c>
      <c r="F145" s="105" t="s">
        <v>5910</v>
      </c>
      <c r="G145" s="105"/>
      <c r="H145" s="105" t="str">
        <f>IF(0 = 0, "ANSI", "IEC")</f>
        <v>ANSI</v>
      </c>
      <c r="I145" s="105" t="str">
        <f>IF(1 = 0, "No", "Yes")</f>
        <v>Yes</v>
      </c>
      <c r="J145" s="105" t="str">
        <f>IF(0 = 1, "Yes", "No")</f>
        <v>No</v>
      </c>
      <c r="K145" s="105" t="str">
        <f>IF(0 = 0,"none","none")</f>
        <v>none</v>
      </c>
      <c r="L145" s="105" t="str">
        <f>IF(0 = 0,"none","none")</f>
        <v>none</v>
      </c>
      <c r="M145" s="105">
        <f>IF(0 = 0, ROUND(0, 1), "")</f>
        <v>0</v>
      </c>
      <c r="N145" s="105">
        <f>IF(0 = 0,ROUND(1.00999999, 3),"")</f>
        <v>1.01</v>
      </c>
      <c r="O145" s="266" t="str">
        <f>IF(0 = 0,IF(1 = 0, "Total", "Symmetrical"),"")</f>
        <v>Symmetrical</v>
      </c>
      <c r="P145" s="260">
        <f>IF(0 = 0,ROUND(0, 1),"")</f>
        <v>0</v>
      </c>
      <c r="Q145" s="105">
        <f>IF(0 = 0,ROUND(0, 1),"")</f>
        <v>0</v>
      </c>
      <c r="R145" s="105">
        <f>IF(0 = 0,ROUND(0, 1),"")</f>
        <v>0</v>
      </c>
      <c r="S145" s="260">
        <f>IF(0 = 0,ROUND(0, 1),"")</f>
        <v>0</v>
      </c>
      <c r="T145" s="242">
        <f>IF(0 = 0,CHOOSE(1 + 1, 3,5,8,2),"")</f>
        <v>5</v>
      </c>
      <c r="U145" s="267" t="str">
        <f>IF(0 = 0,"3","")</f>
        <v>3</v>
      </c>
      <c r="V145" s="260" t="str">
        <f>IF(0 = 1,ROUND(1250, 1),"")</f>
        <v/>
      </c>
      <c r="W145" s="260" t="str">
        <f>IF(0 = 1,ROUND(12, 3),"")</f>
        <v/>
      </c>
      <c r="X145" s="260" t="str">
        <f>IF(0 = 1,ROUND(100, 1),"")</f>
        <v/>
      </c>
      <c r="Y145" s="260" t="str">
        <f>IF(0 = 1,ROUND(0, 1),"")</f>
        <v/>
      </c>
      <c r="Z145" s="260" t="str">
        <f>IF(0 = 1,ROUND(0, 3),"")</f>
        <v/>
      </c>
      <c r="AA145" s="242" t="str">
        <f>IF(0 = 1,CHOOSE(0 + 1, 1.3,1.5),"")</f>
        <v/>
      </c>
      <c r="AB145" s="60" t="str">
        <f>IF(0 = 1,ROUND(0, 1),"")</f>
        <v/>
      </c>
      <c r="AC145" s="260" t="str">
        <f>IF(0 = 1,ROUND(3, 1),"")</f>
        <v/>
      </c>
      <c r="AD145" s="260"/>
      <c r="AE145" s="260"/>
      <c r="AF145" s="260"/>
      <c r="AG145" s="260"/>
      <c r="AH145" s="268"/>
      <c r="AI145" s="53" t="s">
        <v>6180</v>
      </c>
    </row>
    <row r="146" spans="1:35">
      <c r="A146" s="105" t="s">
        <v>6181</v>
      </c>
      <c r="B146" s="127" t="str">
        <f>IF(TRIM("BUS_CNODE_JCT__1347") = "", "BUS_CNODE_JCT__1347", "BUS_CNODE_JCT__1347")</f>
        <v>BUS_CNODE_JCT__1347</v>
      </c>
      <c r="C146" s="58" t="str">
        <f>IF(TRIM("BUS_线太平花苑#5环网柜_201") = "", "BUS_线太平花苑#5环网柜_201", "BUS_线太平花苑#5环网柜_201")</f>
        <v>BUS_线太平花苑#5环网柜_201</v>
      </c>
      <c r="D146" s="105" t="str">
        <f>IF(TRUE = TRUE, "Yes", "No")</f>
        <v>Yes</v>
      </c>
      <c r="E146" s="105" t="s">
        <v>5202</v>
      </c>
      <c r="F146" s="105" t="s">
        <v>5910</v>
      </c>
      <c r="G146" s="105"/>
      <c r="H146" s="105" t="str">
        <f>IF(0 = 0, "ANSI", "IEC")</f>
        <v>ANSI</v>
      </c>
      <c r="I146" s="105" t="str">
        <f>IF(1 = 0, "No", "Yes")</f>
        <v>Yes</v>
      </c>
      <c r="J146" s="105" t="str">
        <f>IF(0 = 1, "Yes", "No")</f>
        <v>No</v>
      </c>
      <c r="K146" s="105" t="str">
        <f>IF(0 = 0,"none","none")</f>
        <v>none</v>
      </c>
      <c r="L146" s="105" t="str">
        <f>IF(0 = 0,"none","none")</f>
        <v>none</v>
      </c>
      <c r="M146" s="105">
        <f>IF(0 = 0, ROUND(0, 1), "")</f>
        <v>0</v>
      </c>
      <c r="N146" s="105">
        <f>IF(0 = 0,ROUND(1.00999999, 3),"")</f>
        <v>1.01</v>
      </c>
      <c r="O146" s="266" t="str">
        <f>IF(0 = 0,IF(1 = 0, "Total", "Symmetrical"),"")</f>
        <v>Symmetrical</v>
      </c>
      <c r="P146" s="260">
        <f>IF(0 = 0,ROUND(0, 1),"")</f>
        <v>0</v>
      </c>
      <c r="Q146" s="105">
        <f>IF(0 = 0,ROUND(0, 1),"")</f>
        <v>0</v>
      </c>
      <c r="R146" s="105">
        <f>IF(0 = 0,ROUND(0, 1),"")</f>
        <v>0</v>
      </c>
      <c r="S146" s="260">
        <f>IF(0 = 0,ROUND(0, 1),"")</f>
        <v>0</v>
      </c>
      <c r="T146" s="242">
        <f>IF(0 = 0,CHOOSE(1 + 1, 3,5,8,2),"")</f>
        <v>5</v>
      </c>
      <c r="U146" s="267" t="str">
        <f>IF(0 = 0,"3","")</f>
        <v>3</v>
      </c>
      <c r="V146" s="260" t="str">
        <f>IF(0 = 1,ROUND(1250, 1),"")</f>
        <v/>
      </c>
      <c r="W146" s="260" t="str">
        <f>IF(0 = 1,ROUND(12, 3),"")</f>
        <v/>
      </c>
      <c r="X146" s="260" t="str">
        <f>IF(0 = 1,ROUND(100, 1),"")</f>
        <v/>
      </c>
      <c r="Y146" s="260" t="str">
        <f>IF(0 = 1,ROUND(0, 1),"")</f>
        <v/>
      </c>
      <c r="Z146" s="260" t="str">
        <f>IF(0 = 1,ROUND(0, 3),"")</f>
        <v/>
      </c>
      <c r="AA146" s="242" t="str">
        <f>IF(0 = 1,CHOOSE(0 + 1, 1.3,1.5),"")</f>
        <v/>
      </c>
      <c r="AB146" s="60" t="str">
        <f>IF(0 = 1,ROUND(0, 1),"")</f>
        <v/>
      </c>
      <c r="AC146" s="260" t="str">
        <f>IF(0 = 1,ROUND(3, 1),"")</f>
        <v/>
      </c>
      <c r="AD146" s="260"/>
      <c r="AE146" s="260"/>
      <c r="AF146" s="260"/>
      <c r="AG146" s="260"/>
      <c r="AH146" s="268"/>
      <c r="AI146" s="53" t="s">
        <v>6182</v>
      </c>
    </row>
    <row r="147" spans="1:35">
      <c r="A147" s="105" t="s">
        <v>6183</v>
      </c>
      <c r="B147" s="127" t="str">
        <f>IF(TRIM("BUS_CNODE_JCT__1346") = "", "BUS_CNODE_JCT__1346", "BUS_CNODE_JCT__1346")</f>
        <v>BUS_CNODE_JCT__1346</v>
      </c>
      <c r="C147" s="58" t="str">
        <f>IF(TRIM("BUS_线太平花苑#1环网柜_202") = "", "BUS_线太平花苑#1环网柜_202", "BUS_线太平花苑#1环网柜_202")</f>
        <v>BUS_线太平花苑#1环网柜_202</v>
      </c>
      <c r="D147" s="105" t="str">
        <f>IF(TRUE = TRUE, "Yes", "No")</f>
        <v>Yes</v>
      </c>
      <c r="E147" s="105" t="s">
        <v>5202</v>
      </c>
      <c r="F147" s="105" t="s">
        <v>5910</v>
      </c>
      <c r="G147" s="105"/>
      <c r="H147" s="105" t="str">
        <f>IF(0 = 0, "ANSI", "IEC")</f>
        <v>ANSI</v>
      </c>
      <c r="I147" s="105" t="str">
        <f>IF(1 = 0, "No", "Yes")</f>
        <v>Yes</v>
      </c>
      <c r="J147" s="105" t="str">
        <f>IF(0 = 1, "Yes", "No")</f>
        <v>No</v>
      </c>
      <c r="K147" s="105" t="str">
        <f>IF(0 = 0,"none","none")</f>
        <v>none</v>
      </c>
      <c r="L147" s="105" t="str">
        <f>IF(0 = 0,"none","none")</f>
        <v>none</v>
      </c>
      <c r="M147" s="105">
        <f>IF(0 = 0, ROUND(0, 1), "")</f>
        <v>0</v>
      </c>
      <c r="N147" s="105">
        <f>IF(0 = 0,ROUND(1.00999999, 3),"")</f>
        <v>1.01</v>
      </c>
      <c r="O147" s="266" t="str">
        <f>IF(0 = 0,IF(1 = 0, "Total", "Symmetrical"),"")</f>
        <v>Symmetrical</v>
      </c>
      <c r="P147" s="260">
        <f>IF(0 = 0,ROUND(0, 1),"")</f>
        <v>0</v>
      </c>
      <c r="Q147" s="105">
        <f>IF(0 = 0,ROUND(0, 1),"")</f>
        <v>0</v>
      </c>
      <c r="R147" s="105">
        <f>IF(0 = 0,ROUND(0, 1),"")</f>
        <v>0</v>
      </c>
      <c r="S147" s="260">
        <f>IF(0 = 0,ROUND(0, 1),"")</f>
        <v>0</v>
      </c>
      <c r="T147" s="242">
        <f>IF(0 = 0,CHOOSE(1 + 1, 3,5,8,2),"")</f>
        <v>5</v>
      </c>
      <c r="U147" s="267" t="str">
        <f>IF(0 = 0,"3","")</f>
        <v>3</v>
      </c>
      <c r="V147" s="260" t="str">
        <f>IF(0 = 1,ROUND(1250, 1),"")</f>
        <v/>
      </c>
      <c r="W147" s="260" t="str">
        <f>IF(0 = 1,ROUND(12, 3),"")</f>
        <v/>
      </c>
      <c r="X147" s="260" t="str">
        <f>IF(0 = 1,ROUND(100, 1),"")</f>
        <v/>
      </c>
      <c r="Y147" s="260" t="str">
        <f>IF(0 = 1,ROUND(0, 1),"")</f>
        <v/>
      </c>
      <c r="Z147" s="260" t="str">
        <f>IF(0 = 1,ROUND(0, 3),"")</f>
        <v/>
      </c>
      <c r="AA147" s="242" t="str">
        <f>IF(0 = 1,CHOOSE(0 + 1, 1.3,1.5),"")</f>
        <v/>
      </c>
      <c r="AB147" s="60" t="str">
        <f>IF(0 = 1,ROUND(0, 1),"")</f>
        <v/>
      </c>
      <c r="AC147" s="260" t="str">
        <f>IF(0 = 1,ROUND(3, 1),"")</f>
        <v/>
      </c>
      <c r="AD147" s="260"/>
      <c r="AE147" s="260"/>
      <c r="AF147" s="260"/>
      <c r="AG147" s="260"/>
      <c r="AH147" s="268"/>
      <c r="AI147" s="53" t="s">
        <v>6184</v>
      </c>
    </row>
    <row r="148" spans="1:35">
      <c r="A148" s="105" t="s">
        <v>6185</v>
      </c>
      <c r="B148" s="127" t="str">
        <f>IF(TRIM("BUS_V爱涛线路灯所环网柜_204") = "", "BUS_V爱涛线路灯所环网柜_204", "BUS_V爱涛线路灯所环网柜_204")</f>
        <v>BUS_V爱涛线路灯所环网柜_204</v>
      </c>
      <c r="C148" s="58" t="str">
        <f>IF(TRIM("BUS_CNODE_JCT__1322") = "", "BUS_CNODE_JCT__1322", "BUS_CNODE_JCT__1322")</f>
        <v>BUS_CNODE_JCT__1322</v>
      </c>
      <c r="D148" s="105" t="str">
        <f>IF(TRUE = TRUE, "Yes", "No")</f>
        <v>Yes</v>
      </c>
      <c r="E148" s="105" t="s">
        <v>5202</v>
      </c>
      <c r="F148" s="105" t="s">
        <v>5910</v>
      </c>
      <c r="G148" s="105"/>
      <c r="H148" s="105" t="str">
        <f>IF(0 = 0, "ANSI", "IEC")</f>
        <v>ANSI</v>
      </c>
      <c r="I148" s="105" t="str">
        <f>IF(1 = 0, "No", "Yes")</f>
        <v>Yes</v>
      </c>
      <c r="J148" s="105" t="str">
        <f>IF(0 = 1, "Yes", "No")</f>
        <v>No</v>
      </c>
      <c r="K148" s="105" t="str">
        <f>IF(0 = 0,"none","none")</f>
        <v>none</v>
      </c>
      <c r="L148" s="105" t="str">
        <f>IF(0 = 0,"none","none")</f>
        <v>none</v>
      </c>
      <c r="M148" s="105">
        <f>IF(0 = 0, ROUND(0, 1), "")</f>
        <v>0</v>
      </c>
      <c r="N148" s="105">
        <f>IF(0 = 0,ROUND(1.00999999, 3),"")</f>
        <v>1.01</v>
      </c>
      <c r="O148" s="266" t="str">
        <f>IF(0 = 0,IF(1 = 0, "Total", "Symmetrical"),"")</f>
        <v>Symmetrical</v>
      </c>
      <c r="P148" s="260">
        <f>IF(0 = 0,ROUND(0, 1),"")</f>
        <v>0</v>
      </c>
      <c r="Q148" s="105">
        <f>IF(0 = 0,ROUND(0, 1),"")</f>
        <v>0</v>
      </c>
      <c r="R148" s="105">
        <f>IF(0 = 0,ROUND(0, 1),"")</f>
        <v>0</v>
      </c>
      <c r="S148" s="260">
        <f>IF(0 = 0,ROUND(0, 1),"")</f>
        <v>0</v>
      </c>
      <c r="T148" s="242">
        <f>IF(0 = 0,CHOOSE(1 + 1, 3,5,8,2),"")</f>
        <v>5</v>
      </c>
      <c r="U148" s="267" t="str">
        <f>IF(0 = 0,"3","")</f>
        <v>3</v>
      </c>
      <c r="V148" s="260" t="str">
        <f>IF(0 = 1,ROUND(1250, 1),"")</f>
        <v/>
      </c>
      <c r="W148" s="260" t="str">
        <f>IF(0 = 1,ROUND(12, 3),"")</f>
        <v/>
      </c>
      <c r="X148" s="260" t="str">
        <f>IF(0 = 1,ROUND(100, 1),"")</f>
        <v/>
      </c>
      <c r="Y148" s="260" t="str">
        <f>IF(0 = 1,ROUND(0, 1),"")</f>
        <v/>
      </c>
      <c r="Z148" s="260" t="str">
        <f>IF(0 = 1,ROUND(0, 3),"")</f>
        <v/>
      </c>
      <c r="AA148" s="242" t="str">
        <f>IF(0 = 1,CHOOSE(0 + 1, 1.3,1.5),"")</f>
        <v/>
      </c>
      <c r="AB148" s="60" t="str">
        <f>IF(0 = 1,ROUND(0, 1),"")</f>
        <v/>
      </c>
      <c r="AC148" s="260" t="str">
        <f>IF(0 = 1,ROUND(3, 1),"")</f>
        <v/>
      </c>
      <c r="AD148" s="260"/>
      <c r="AE148" s="260"/>
      <c r="AF148" s="260"/>
      <c r="AG148" s="260"/>
      <c r="AH148" s="268"/>
      <c r="AI148" s="53" t="s">
        <v>6186</v>
      </c>
    </row>
    <row r="149" spans="1:35">
      <c r="A149" s="105" t="s">
        <v>6187</v>
      </c>
      <c r="B149" s="127" t="str">
        <f>IF(TRIM("BUS_逸翠居小区#1箱变_226") = "", "BUS_逸翠居小区#1箱变_226", "BUS_逸翠居小区#1箱变_226")</f>
        <v>BUS_逸翠居小区#1箱变_226</v>
      </c>
      <c r="C149" s="58" t="str">
        <f>IF(TRIM("BUS_CNODE_JCT__1281") = "", "BUS_CNODE_JCT__1281", "BUS_CNODE_JCT__1281")</f>
        <v>BUS_CNODE_JCT__1281</v>
      </c>
      <c r="D149" s="105" t="str">
        <f>IF(TRUE = TRUE, "Yes", "No")</f>
        <v>Yes</v>
      </c>
      <c r="E149" s="105" t="s">
        <v>5202</v>
      </c>
      <c r="F149" s="105" t="s">
        <v>5910</v>
      </c>
      <c r="G149" s="105"/>
      <c r="H149" s="105" t="str">
        <f>IF(0 = 0, "ANSI", "IEC")</f>
        <v>ANSI</v>
      </c>
      <c r="I149" s="105" t="str">
        <f>IF(1 = 0, "No", "Yes")</f>
        <v>Yes</v>
      </c>
      <c r="J149" s="105" t="str">
        <f>IF(0 = 1, "Yes", "No")</f>
        <v>No</v>
      </c>
      <c r="K149" s="105" t="str">
        <f>IF(0 = 0,"none","none")</f>
        <v>none</v>
      </c>
      <c r="L149" s="105" t="str">
        <f>IF(0 = 0,"none","none")</f>
        <v>none</v>
      </c>
      <c r="M149" s="105">
        <f>IF(0 = 0, ROUND(0, 1), "")</f>
        <v>0</v>
      </c>
      <c r="N149" s="105">
        <f>IF(0 = 0,ROUND(1.00999999, 3),"")</f>
        <v>1.01</v>
      </c>
      <c r="O149" s="266" t="str">
        <f>IF(0 = 0,IF(1 = 0, "Total", "Symmetrical"),"")</f>
        <v>Symmetrical</v>
      </c>
      <c r="P149" s="260">
        <f>IF(0 = 0,ROUND(0, 1),"")</f>
        <v>0</v>
      </c>
      <c r="Q149" s="105">
        <f>IF(0 = 0,ROUND(0, 1),"")</f>
        <v>0</v>
      </c>
      <c r="R149" s="105">
        <f>IF(0 = 0,ROUND(0, 1),"")</f>
        <v>0</v>
      </c>
      <c r="S149" s="260">
        <f>IF(0 = 0,ROUND(0, 1),"")</f>
        <v>0</v>
      </c>
      <c r="T149" s="242">
        <f>IF(0 = 0,CHOOSE(1 + 1, 3,5,8,2),"")</f>
        <v>5</v>
      </c>
      <c r="U149" s="267" t="str">
        <f>IF(0 = 0,"3","")</f>
        <v>3</v>
      </c>
      <c r="V149" s="260" t="str">
        <f>IF(0 = 1,ROUND(1250, 1),"")</f>
        <v/>
      </c>
      <c r="W149" s="260" t="str">
        <f>IF(0 = 1,ROUND(12, 3),"")</f>
        <v/>
      </c>
      <c r="X149" s="260" t="str">
        <f>IF(0 = 1,ROUND(630, 1),"")</f>
        <v/>
      </c>
      <c r="Y149" s="260" t="str">
        <f>IF(0 = 1,ROUND(0, 1),"")</f>
        <v/>
      </c>
      <c r="Z149" s="260" t="str">
        <f>IF(0 = 1,ROUND(0, 3),"")</f>
        <v/>
      </c>
      <c r="AA149" s="242" t="str">
        <f>IF(0 = 1,CHOOSE(0 + 1, 1.3,1.5),"")</f>
        <v/>
      </c>
      <c r="AB149" s="60" t="str">
        <f>IF(0 = 1,ROUND(0, 1),"")</f>
        <v/>
      </c>
      <c r="AC149" s="260" t="str">
        <f>IF(0 = 1,ROUND(3, 1),"")</f>
        <v/>
      </c>
      <c r="AD149" s="260"/>
      <c r="AE149" s="260"/>
      <c r="AF149" s="260"/>
      <c r="AG149" s="260"/>
      <c r="AH149" s="268"/>
      <c r="AI149" s="53" t="s">
        <v>6188</v>
      </c>
    </row>
    <row r="150" spans="1:35">
      <c r="A150" s="105" t="s">
        <v>6189</v>
      </c>
      <c r="B150" s="127" t="str">
        <f>IF(TRIM("BUS_逸翠居小区#2箱变_225") = "", "BUS_逸翠居小区#2箱变_225", "BUS_逸翠居小区#2箱变_225")</f>
        <v>BUS_逸翠居小区#2箱变_225</v>
      </c>
      <c r="C150" s="58" t="str">
        <f>IF(TRIM("BUS_CNODE_JCT__1279") = "", "BUS_CNODE_JCT__1279", "BUS_CNODE_JCT__1279")</f>
        <v>BUS_CNODE_JCT__1279</v>
      </c>
      <c r="D150" s="105" t="str">
        <f>IF(TRUE = TRUE, "Yes", "No")</f>
        <v>Yes</v>
      </c>
      <c r="E150" s="105" t="s">
        <v>5202</v>
      </c>
      <c r="F150" s="105" t="s">
        <v>5910</v>
      </c>
      <c r="G150" s="105"/>
      <c r="H150" s="105" t="str">
        <f>IF(0 = 0, "ANSI", "IEC")</f>
        <v>ANSI</v>
      </c>
      <c r="I150" s="105" t="str">
        <f>IF(1 = 0, "No", "Yes")</f>
        <v>Yes</v>
      </c>
      <c r="J150" s="105" t="str">
        <f>IF(0 = 1, "Yes", "No")</f>
        <v>No</v>
      </c>
      <c r="K150" s="105" t="str">
        <f>IF(0 = 0,"none","none")</f>
        <v>none</v>
      </c>
      <c r="L150" s="105" t="str">
        <f>IF(0 = 0,"none","none")</f>
        <v>none</v>
      </c>
      <c r="M150" s="105">
        <f>IF(0 = 0, ROUND(0, 1), "")</f>
        <v>0</v>
      </c>
      <c r="N150" s="105">
        <f>IF(0 = 0,ROUND(1.00999999, 3),"")</f>
        <v>1.01</v>
      </c>
      <c r="O150" s="266" t="str">
        <f>IF(0 = 0,IF(1 = 0, "Total", "Symmetrical"),"")</f>
        <v>Symmetrical</v>
      </c>
      <c r="P150" s="260">
        <f>IF(0 = 0,ROUND(0, 1),"")</f>
        <v>0</v>
      </c>
      <c r="Q150" s="105">
        <f>IF(0 = 0,ROUND(0, 1),"")</f>
        <v>0</v>
      </c>
      <c r="R150" s="105">
        <f>IF(0 = 0,ROUND(0, 1),"")</f>
        <v>0</v>
      </c>
      <c r="S150" s="260">
        <f>IF(0 = 0,ROUND(0, 1),"")</f>
        <v>0</v>
      </c>
      <c r="T150" s="242">
        <f>IF(0 = 0,CHOOSE(1 + 1, 3,5,8,2),"")</f>
        <v>5</v>
      </c>
      <c r="U150" s="267" t="str">
        <f>IF(0 = 0,"3","")</f>
        <v>3</v>
      </c>
      <c r="V150" s="260" t="str">
        <f>IF(0 = 1,ROUND(1250, 1),"")</f>
        <v/>
      </c>
      <c r="W150" s="260" t="str">
        <f>IF(0 = 1,ROUND(12, 3),"")</f>
        <v/>
      </c>
      <c r="X150" s="260" t="str">
        <f>IF(0 = 1,ROUND(100, 1),"")</f>
        <v/>
      </c>
      <c r="Y150" s="260" t="str">
        <f>IF(0 = 1,ROUND(0, 1),"")</f>
        <v/>
      </c>
      <c r="Z150" s="260" t="str">
        <f>IF(0 = 1,ROUND(0, 3),"")</f>
        <v/>
      </c>
      <c r="AA150" s="242" t="str">
        <f>IF(0 = 1,CHOOSE(0 + 1, 1.3,1.5),"")</f>
        <v/>
      </c>
      <c r="AB150" s="60" t="str">
        <f>IF(0 = 1,ROUND(0, 1),"")</f>
        <v/>
      </c>
      <c r="AC150" s="260" t="str">
        <f>IF(0 = 1,ROUND(3, 1),"")</f>
        <v/>
      </c>
      <c r="AD150" s="260"/>
      <c r="AE150" s="260"/>
      <c r="AF150" s="260"/>
      <c r="AG150" s="260"/>
      <c r="AH150" s="268"/>
      <c r="AI150" s="53" t="s">
        <v>6190</v>
      </c>
    </row>
    <row r="151" spans="1:35">
      <c r="A151" s="105" t="s">
        <v>6191</v>
      </c>
      <c r="B151" s="127" t="str">
        <f>IF(TRIM("BUS_CNODE_JCT__1297") = "", "BUS_CNODE_JCT__1297", "BUS_CNODE_JCT__1297")</f>
        <v>BUS_CNODE_JCT__1297</v>
      </c>
      <c r="C151" s="58" t="str">
        <f>IF(TRIM("BUS_V西花园线6号环网柜_209") = "", "BUS_V西花园线6号环网柜_209", "BUS_V西花园线6号环网柜_209")</f>
        <v>BUS_V西花园线6号环网柜_209</v>
      </c>
      <c r="D151" s="105" t="str">
        <f>IF(TRUE = TRUE, "Yes", "No")</f>
        <v>Yes</v>
      </c>
      <c r="E151" s="105" t="s">
        <v>5202</v>
      </c>
      <c r="F151" s="105" t="s">
        <v>5921</v>
      </c>
      <c r="G151" s="105"/>
      <c r="H151" s="105" t="str">
        <f>IF(0 = 0, "ANSI", "IEC")</f>
        <v>ANSI</v>
      </c>
      <c r="I151" s="105" t="str">
        <f>IF(1 = 0, "No", "Yes")</f>
        <v>Yes</v>
      </c>
      <c r="J151" s="105" t="str">
        <f>IF(0 = 1, "Yes", "No")</f>
        <v>No</v>
      </c>
      <c r="K151" s="105" t="str">
        <f>IF(0 = 0,"none","none")</f>
        <v>none</v>
      </c>
      <c r="L151" s="105" t="str">
        <f>IF(0 = 0,"none","none")</f>
        <v>none</v>
      </c>
      <c r="M151" s="105">
        <f>IF(0 = 0, ROUND(0, 1), "")</f>
        <v>0</v>
      </c>
      <c r="N151" s="105">
        <f>IF(0 = 0,ROUND(1.00999999, 3),"")</f>
        <v>1.01</v>
      </c>
      <c r="O151" s="266" t="str">
        <f>IF(0 = 0,IF(1 = 0, "Total", "Symmetrical"),"")</f>
        <v>Symmetrical</v>
      </c>
      <c r="P151" s="260">
        <f>IF(0 = 0,ROUND(0, 1),"")</f>
        <v>0</v>
      </c>
      <c r="Q151" s="105">
        <f>IF(0 = 0,ROUND(0, 1),"")</f>
        <v>0</v>
      </c>
      <c r="R151" s="105">
        <f>IF(0 = 0,ROUND(0, 1),"")</f>
        <v>0</v>
      </c>
      <c r="S151" s="260">
        <f>IF(0 = 0,ROUND(0, 1),"")</f>
        <v>0</v>
      </c>
      <c r="T151" s="242">
        <f>IF(0 = 0,CHOOSE(1 + 1, 3,5,8,2),"")</f>
        <v>5</v>
      </c>
      <c r="U151" s="267" t="str">
        <f>IF(0 = 0,"3","")</f>
        <v>3</v>
      </c>
      <c r="V151" s="260" t="str">
        <f>IF(0 = 1,ROUND(1250, 1),"")</f>
        <v/>
      </c>
      <c r="W151" s="260" t="str">
        <f>IF(0 = 1,ROUND(12, 3),"")</f>
        <v/>
      </c>
      <c r="X151" s="260" t="str">
        <f>IF(0 = 1,ROUND(100, 1),"")</f>
        <v/>
      </c>
      <c r="Y151" s="260" t="str">
        <f>IF(0 = 1,ROUND(0, 1),"")</f>
        <v/>
      </c>
      <c r="Z151" s="260" t="str">
        <f>IF(0 = 1,ROUND(0, 3),"")</f>
        <v/>
      </c>
      <c r="AA151" s="242" t="str">
        <f>IF(0 = 1,CHOOSE(0 + 1, 1.3,1.5),"")</f>
        <v/>
      </c>
      <c r="AB151" s="60" t="str">
        <f>IF(0 = 1,ROUND(0, 1),"")</f>
        <v/>
      </c>
      <c r="AC151" s="260" t="str">
        <f>IF(0 = 1,ROUND(3, 1),"")</f>
        <v/>
      </c>
      <c r="AD151" s="260"/>
      <c r="AE151" s="260"/>
      <c r="AF151" s="260"/>
      <c r="AG151" s="260"/>
      <c r="AH151" s="268"/>
      <c r="AI151" s="53" t="s">
        <v>6192</v>
      </c>
    </row>
    <row r="152" spans="1:35">
      <c r="A152" s="105" t="s">
        <v>6193</v>
      </c>
      <c r="B152" s="127" t="str">
        <f>IF(TRIM("BUS_V爱涛线路灯所环网柜_204") = "", "BUS_V爱涛线路灯所环网柜_204", "BUS_V爱涛线路灯所环网柜_204")</f>
        <v>BUS_V爱涛线路灯所环网柜_204</v>
      </c>
      <c r="C152" s="58" t="str">
        <f>IF(TRIM("BUS_CNODE_JCT__1355") = "", "BUS_CNODE_JCT__1355", "BUS_CNODE_JCT__1355")</f>
        <v>BUS_CNODE_JCT__1355</v>
      </c>
      <c r="D152" s="105" t="str">
        <f>IF(TRUE = TRUE, "Yes", "No")</f>
        <v>Yes</v>
      </c>
      <c r="E152" s="105" t="s">
        <v>5202</v>
      </c>
      <c r="F152" s="105" t="s">
        <v>5910</v>
      </c>
      <c r="G152" s="105"/>
      <c r="H152" s="105" t="str">
        <f>IF(0 = 0, "ANSI", "IEC")</f>
        <v>ANSI</v>
      </c>
      <c r="I152" s="105" t="str">
        <f>IF(1 = 0, "No", "Yes")</f>
        <v>Yes</v>
      </c>
      <c r="J152" s="105" t="str">
        <f>IF(0 = 1, "Yes", "No")</f>
        <v>No</v>
      </c>
      <c r="K152" s="105" t="str">
        <f>IF(0 = 0,"none","none")</f>
        <v>none</v>
      </c>
      <c r="L152" s="105" t="str">
        <f>IF(0 = 0,"none","none")</f>
        <v>none</v>
      </c>
      <c r="M152" s="105">
        <f>IF(0 = 0, ROUND(0, 1), "")</f>
        <v>0</v>
      </c>
      <c r="N152" s="105">
        <f>IF(0 = 0,ROUND(1.00999999, 3),"")</f>
        <v>1.01</v>
      </c>
      <c r="O152" s="266" t="str">
        <f>IF(0 = 0,IF(1 = 0, "Total", "Symmetrical"),"")</f>
        <v>Symmetrical</v>
      </c>
      <c r="P152" s="260">
        <f>IF(0 = 0,ROUND(0, 1),"")</f>
        <v>0</v>
      </c>
      <c r="Q152" s="105">
        <f>IF(0 = 0,ROUND(0, 1),"")</f>
        <v>0</v>
      </c>
      <c r="R152" s="105">
        <f>IF(0 = 0,ROUND(0, 1),"")</f>
        <v>0</v>
      </c>
      <c r="S152" s="260">
        <f>IF(0 = 0,ROUND(0, 1),"")</f>
        <v>0</v>
      </c>
      <c r="T152" s="242">
        <f>IF(0 = 0,CHOOSE(1 + 1, 3,5,8,2),"")</f>
        <v>5</v>
      </c>
      <c r="U152" s="267" t="str">
        <f>IF(0 = 0,"3","")</f>
        <v>3</v>
      </c>
      <c r="V152" s="260" t="str">
        <f>IF(0 = 1,ROUND(1250, 1),"")</f>
        <v/>
      </c>
      <c r="W152" s="260" t="str">
        <f>IF(0 = 1,ROUND(12, 3),"")</f>
        <v/>
      </c>
      <c r="X152" s="260" t="str">
        <f>IF(0 = 1,ROUND(100, 1),"")</f>
        <v/>
      </c>
      <c r="Y152" s="260" t="str">
        <f>IF(0 = 1,ROUND(0, 1),"")</f>
        <v/>
      </c>
      <c r="Z152" s="260" t="str">
        <f>IF(0 = 1,ROUND(0, 3),"")</f>
        <v/>
      </c>
      <c r="AA152" s="242" t="str">
        <f>IF(0 = 1,CHOOSE(0 + 1, 1.3,1.5),"")</f>
        <v/>
      </c>
      <c r="AB152" s="60" t="str">
        <f>IF(0 = 1,ROUND(0, 1),"")</f>
        <v/>
      </c>
      <c r="AC152" s="260" t="str">
        <f>IF(0 = 1,ROUND(3, 1),"")</f>
        <v/>
      </c>
      <c r="AD152" s="260"/>
      <c r="AE152" s="260"/>
      <c r="AF152" s="260"/>
      <c r="AG152" s="260"/>
      <c r="AH152" s="268"/>
      <c r="AI152" s="53" t="s">
        <v>6194</v>
      </c>
    </row>
    <row r="153" spans="1:35">
      <c r="A153" s="105" t="s">
        <v>6195</v>
      </c>
      <c r="B153" s="127" t="str">
        <f>IF(TRIM("") = "", "", "")</f>
        <v/>
      </c>
      <c r="C153" s="58" t="str">
        <f>IF(TRIM("BUS_航线#4环网柜（自）_200") = "", "BUS_航线#4环网柜（自）_200", "BUS_航线#4环网柜（自）_200")</f>
        <v>BUS_航线#4环网柜（自）_200</v>
      </c>
      <c r="D153" s="105" t="str">
        <f>IF(TRUE = TRUE, "Yes", "No")</f>
        <v>Yes</v>
      </c>
      <c r="E153" s="105" t="s">
        <v>5202</v>
      </c>
      <c r="F153" s="105" t="s">
        <v>5910</v>
      </c>
      <c r="G153" s="105"/>
      <c r="H153" s="105" t="str">
        <f>IF(0 = 0, "ANSI", "IEC")</f>
        <v>ANSI</v>
      </c>
      <c r="I153" s="105" t="str">
        <f>IF(1 = 0, "No", "Yes")</f>
        <v>Yes</v>
      </c>
      <c r="J153" s="105" t="str">
        <f>IF(0 = 1, "Yes", "No")</f>
        <v>No</v>
      </c>
      <c r="K153" s="105" t="str">
        <f>IF(0 = 0,"none","none")</f>
        <v>none</v>
      </c>
      <c r="L153" s="105" t="str">
        <f>IF(0 = 0,"none","none")</f>
        <v>none</v>
      </c>
      <c r="M153" s="105">
        <f>IF(0 = 0, ROUND(0, 1), "")</f>
        <v>0</v>
      </c>
      <c r="N153" s="105">
        <f>IF(0 = 0,ROUND(1.00999999, 3),"")</f>
        <v>1.01</v>
      </c>
      <c r="O153" s="266" t="str">
        <f>IF(0 = 0,IF(1 = 0, "Total", "Symmetrical"),"")</f>
        <v>Symmetrical</v>
      </c>
      <c r="P153" s="260">
        <f>IF(0 = 0,ROUND(0, 1),"")</f>
        <v>0</v>
      </c>
      <c r="Q153" s="105">
        <f>IF(0 = 0,ROUND(0, 1),"")</f>
        <v>0</v>
      </c>
      <c r="R153" s="105">
        <f>IF(0 = 0,ROUND(0, 1),"")</f>
        <v>0</v>
      </c>
      <c r="S153" s="260">
        <f>IF(0 = 0,ROUND(0, 1),"")</f>
        <v>0</v>
      </c>
      <c r="T153" s="242">
        <f>IF(0 = 0,CHOOSE(1 + 1, 3,5,8,2),"")</f>
        <v>5</v>
      </c>
      <c r="U153" s="267" t="str">
        <f>IF(0 = 0,"3","")</f>
        <v>3</v>
      </c>
      <c r="V153" s="260" t="str">
        <f>IF(0 = 1,ROUND(1250, 1),"")</f>
        <v/>
      </c>
      <c r="W153" s="260" t="str">
        <f>IF(0 = 1,ROUND(12, 3),"")</f>
        <v/>
      </c>
      <c r="X153" s="260" t="str">
        <f>IF(0 = 1,ROUND(100, 1),"")</f>
        <v/>
      </c>
      <c r="Y153" s="260" t="str">
        <f>IF(0 = 1,ROUND(0, 1),"")</f>
        <v/>
      </c>
      <c r="Z153" s="260" t="str">
        <f>IF(0 = 1,ROUND(0, 3),"")</f>
        <v/>
      </c>
      <c r="AA153" s="242" t="str">
        <f>IF(0 = 1,CHOOSE(0 + 1, 1.3,1.5),"")</f>
        <v/>
      </c>
      <c r="AB153" s="60" t="str">
        <f>IF(0 = 1,ROUND(0, 1),"")</f>
        <v/>
      </c>
      <c r="AC153" s="260" t="str">
        <f>IF(0 = 1,ROUND(3, 1),"")</f>
        <v/>
      </c>
      <c r="AD153" s="260"/>
      <c r="AE153" s="260"/>
      <c r="AF153" s="260"/>
      <c r="AG153" s="260"/>
      <c r="AH153" s="268"/>
      <c r="AI153" s="53" t="s">
        <v>6196</v>
      </c>
    </row>
    <row r="154" spans="1:35">
      <c r="A154" s="105" t="s">
        <v>6197</v>
      </c>
      <c r="B154" s="127" t="str">
        <f>IF(TRIM("BUS_kV爱涛线腾亚环网柜_207") = "", "BUS_kV爱涛线腾亚环网柜_207", "BUS_kV爱涛线腾亚环网柜_207")</f>
        <v>BUS_kV爱涛线腾亚环网柜_207</v>
      </c>
      <c r="C154" s="58" t="str">
        <f>IF(TRIM("BUS_CNODE_JCT__1280") = "", "BUS_CNODE_JCT__1280", "BUS_CNODE_JCT__1280")</f>
        <v>BUS_CNODE_JCT__1280</v>
      </c>
      <c r="D154" s="105" t="str">
        <f>IF(TRUE = TRUE, "Yes", "No")</f>
        <v>Yes</v>
      </c>
      <c r="E154" s="105" t="s">
        <v>5202</v>
      </c>
      <c r="F154" s="105" t="s">
        <v>5910</v>
      </c>
      <c r="G154" s="105"/>
      <c r="H154" s="105" t="str">
        <f>IF(0 = 0, "ANSI", "IEC")</f>
        <v>ANSI</v>
      </c>
      <c r="I154" s="105" t="str">
        <f>IF(1 = 0, "No", "Yes")</f>
        <v>Yes</v>
      </c>
      <c r="J154" s="105" t="str">
        <f>IF(0 = 1, "Yes", "No")</f>
        <v>No</v>
      </c>
      <c r="K154" s="105" t="str">
        <f>IF(0 = 0,"none","none")</f>
        <v>none</v>
      </c>
      <c r="L154" s="105" t="str">
        <f>IF(0 = 0,"none","none")</f>
        <v>none</v>
      </c>
      <c r="M154" s="105">
        <f>IF(0 = 0, ROUND(0, 1), "")</f>
        <v>0</v>
      </c>
      <c r="N154" s="105">
        <f>IF(0 = 0,ROUND(1.00999999, 3),"")</f>
        <v>1.01</v>
      </c>
      <c r="O154" s="266" t="str">
        <f>IF(0 = 0,IF(1 = 0, "Total", "Symmetrical"),"")</f>
        <v>Symmetrical</v>
      </c>
      <c r="P154" s="260">
        <f>IF(0 = 0,ROUND(0, 1),"")</f>
        <v>0</v>
      </c>
      <c r="Q154" s="105">
        <f>IF(0 = 0,ROUND(0, 1),"")</f>
        <v>0</v>
      </c>
      <c r="R154" s="105">
        <f>IF(0 = 0,ROUND(0, 1),"")</f>
        <v>0</v>
      </c>
      <c r="S154" s="260">
        <f>IF(0 = 0,ROUND(0, 1),"")</f>
        <v>0</v>
      </c>
      <c r="T154" s="242">
        <f>IF(0 = 0,CHOOSE(1 + 1, 3,5,8,2),"")</f>
        <v>5</v>
      </c>
      <c r="U154" s="267" t="str">
        <f>IF(0 = 0,"3","")</f>
        <v>3</v>
      </c>
      <c r="V154" s="260" t="str">
        <f>IF(0 = 1,ROUND(1250, 1),"")</f>
        <v/>
      </c>
      <c r="W154" s="260" t="str">
        <f>IF(0 = 1,ROUND(12, 3),"")</f>
        <v/>
      </c>
      <c r="X154" s="260" t="str">
        <f>IF(0 = 1,ROUND(630, 1),"")</f>
        <v/>
      </c>
      <c r="Y154" s="260" t="str">
        <f>IF(0 = 1,ROUND(0, 1),"")</f>
        <v/>
      </c>
      <c r="Z154" s="260" t="str">
        <f>IF(0 = 1,ROUND(0, 3),"")</f>
        <v/>
      </c>
      <c r="AA154" s="242" t="str">
        <f>IF(0 = 1,CHOOSE(0 + 1, 1.3,1.5),"")</f>
        <v/>
      </c>
      <c r="AB154" s="60" t="str">
        <f>IF(0 = 1,ROUND(0, 1),"")</f>
        <v/>
      </c>
      <c r="AC154" s="260" t="str">
        <f>IF(0 = 1,ROUND(3, 1),"")</f>
        <v/>
      </c>
      <c r="AD154" s="260"/>
      <c r="AE154" s="260"/>
      <c r="AF154" s="260"/>
      <c r="AG154" s="260"/>
      <c r="AH154" s="268"/>
      <c r="AI154" s="53" t="s">
        <v>6198</v>
      </c>
    </row>
    <row r="155" spans="1:35">
      <c r="A155" s="105" t="s">
        <v>6199</v>
      </c>
      <c r="B155" s="127" t="str">
        <f>IF(TRIM("BUS_kV爱涛线腾亚环网柜_207") = "", "BUS_kV爱涛线腾亚环网柜_207", "BUS_kV爱涛线腾亚环网柜_207")</f>
        <v>BUS_kV爱涛线腾亚环网柜_207</v>
      </c>
      <c r="C155" s="58" t="str">
        <f>IF(TRIM("BUS_CNODE_JCT__1278") = "", "BUS_CNODE_JCT__1278", "BUS_CNODE_JCT__1278")</f>
        <v>BUS_CNODE_JCT__1278</v>
      </c>
      <c r="D155" s="105" t="str">
        <f>IF(TRUE = TRUE, "Yes", "No")</f>
        <v>Yes</v>
      </c>
      <c r="E155" s="105" t="s">
        <v>5202</v>
      </c>
      <c r="F155" s="105" t="s">
        <v>5910</v>
      </c>
      <c r="G155" s="105"/>
      <c r="H155" s="105" t="str">
        <f>IF(0 = 0, "ANSI", "IEC")</f>
        <v>ANSI</v>
      </c>
      <c r="I155" s="105" t="str">
        <f>IF(1 = 0, "No", "Yes")</f>
        <v>Yes</v>
      </c>
      <c r="J155" s="105" t="str">
        <f>IF(0 = 1, "Yes", "No")</f>
        <v>No</v>
      </c>
      <c r="K155" s="105" t="str">
        <f>IF(0 = 0,"none","none")</f>
        <v>none</v>
      </c>
      <c r="L155" s="105" t="str">
        <f>IF(0 = 0,"none","none")</f>
        <v>none</v>
      </c>
      <c r="M155" s="105">
        <f>IF(0 = 0, ROUND(0, 1), "")</f>
        <v>0</v>
      </c>
      <c r="N155" s="105">
        <f>IF(0 = 0,ROUND(1.00999999, 3),"")</f>
        <v>1.01</v>
      </c>
      <c r="O155" s="266" t="str">
        <f>IF(0 = 0,IF(1 = 0, "Total", "Symmetrical"),"")</f>
        <v>Symmetrical</v>
      </c>
      <c r="P155" s="260">
        <f>IF(0 = 0,ROUND(0, 1),"")</f>
        <v>0</v>
      </c>
      <c r="Q155" s="105">
        <f>IF(0 = 0,ROUND(0, 1),"")</f>
        <v>0</v>
      </c>
      <c r="R155" s="105">
        <f>IF(0 = 0,ROUND(0, 1),"")</f>
        <v>0</v>
      </c>
      <c r="S155" s="260">
        <f>IF(0 = 0,ROUND(0, 1),"")</f>
        <v>0</v>
      </c>
      <c r="T155" s="242">
        <f>IF(0 = 0,CHOOSE(1 + 1, 3,5,8,2),"")</f>
        <v>5</v>
      </c>
      <c r="U155" s="267" t="str">
        <f>IF(0 = 0,"3","")</f>
        <v>3</v>
      </c>
      <c r="V155" s="260" t="str">
        <f>IF(0 = 1,ROUND(1250, 1),"")</f>
        <v/>
      </c>
      <c r="W155" s="260" t="str">
        <f>IF(0 = 1,ROUND(12, 3),"")</f>
        <v/>
      </c>
      <c r="X155" s="260" t="str">
        <f>IF(0 = 1,ROUND(630, 1),"")</f>
        <v/>
      </c>
      <c r="Y155" s="260" t="str">
        <f>IF(0 = 1,ROUND(0, 1),"")</f>
        <v/>
      </c>
      <c r="Z155" s="260" t="str">
        <f>IF(0 = 1,ROUND(0, 3),"")</f>
        <v/>
      </c>
      <c r="AA155" s="242" t="str">
        <f>IF(0 = 1,CHOOSE(0 + 1, 1.3,1.5),"")</f>
        <v/>
      </c>
      <c r="AB155" s="60" t="str">
        <f>IF(0 = 1,ROUND(0, 1),"")</f>
        <v/>
      </c>
      <c r="AC155" s="260" t="str">
        <f>IF(0 = 1,ROUND(3, 1),"")</f>
        <v/>
      </c>
      <c r="AD155" s="260"/>
      <c r="AE155" s="260"/>
      <c r="AF155" s="260"/>
      <c r="AG155" s="260"/>
      <c r="AH155" s="268"/>
      <c r="AI155" s="53" t="s">
        <v>6200</v>
      </c>
    </row>
    <row r="156" spans="1:35">
      <c r="A156" s="105" t="s">
        <v>6201</v>
      </c>
      <c r="B156" s="127" t="str">
        <f>IF(TRIM("BUS_CNODE_JCT__1316") = "", "BUS_CNODE_JCT__1316", "BUS_CNODE_JCT__1316")</f>
        <v>BUS_CNODE_JCT__1316</v>
      </c>
      <c r="C156" s="58" t="str">
        <f>IF(TRIM("BUS_涛线颐秀居#1环网柜_210") = "", "BUS_涛线颐秀居#1环网柜_210", "BUS_涛线颐秀居#1环网柜_210")</f>
        <v>BUS_涛线颐秀居#1环网柜_210</v>
      </c>
      <c r="D156" s="105" t="str">
        <f>IF(TRUE = TRUE, "Yes", "No")</f>
        <v>Yes</v>
      </c>
      <c r="E156" s="105" t="s">
        <v>5202</v>
      </c>
      <c r="F156" s="105" t="s">
        <v>5910</v>
      </c>
      <c r="G156" s="105"/>
      <c r="H156" s="105" t="str">
        <f>IF(0 = 0, "ANSI", "IEC")</f>
        <v>ANSI</v>
      </c>
      <c r="I156" s="105" t="str">
        <f>IF(1 = 0, "No", "Yes")</f>
        <v>Yes</v>
      </c>
      <c r="J156" s="105" t="str">
        <f>IF(0 = 1, "Yes", "No")</f>
        <v>No</v>
      </c>
      <c r="K156" s="105" t="str">
        <f>IF(0 = 0,"none","none")</f>
        <v>none</v>
      </c>
      <c r="L156" s="105" t="str">
        <f>IF(0 = 0,"none","none")</f>
        <v>none</v>
      </c>
      <c r="M156" s="105">
        <f>IF(0 = 0, ROUND(0, 1), "")</f>
        <v>0</v>
      </c>
      <c r="N156" s="105">
        <f>IF(0 = 0,ROUND(1.00999999, 3),"")</f>
        <v>1.01</v>
      </c>
      <c r="O156" s="266" t="str">
        <f>IF(0 = 0,IF(1 = 0, "Total", "Symmetrical"),"")</f>
        <v>Symmetrical</v>
      </c>
      <c r="P156" s="260">
        <f>IF(0 = 0,ROUND(0, 1),"")</f>
        <v>0</v>
      </c>
      <c r="Q156" s="105">
        <f>IF(0 = 0,ROUND(0, 1),"")</f>
        <v>0</v>
      </c>
      <c r="R156" s="105">
        <f>IF(0 = 0,ROUND(0, 1),"")</f>
        <v>0</v>
      </c>
      <c r="S156" s="260">
        <f>IF(0 = 0,ROUND(0, 1),"")</f>
        <v>0</v>
      </c>
      <c r="T156" s="242">
        <f>IF(0 = 0,CHOOSE(1 + 1, 3,5,8,2),"")</f>
        <v>5</v>
      </c>
      <c r="U156" s="267" t="str">
        <f>IF(0 = 0,"3","")</f>
        <v>3</v>
      </c>
      <c r="V156" s="260" t="str">
        <f>IF(0 = 1,ROUND(1250, 1),"")</f>
        <v/>
      </c>
      <c r="W156" s="260" t="str">
        <f>IF(0 = 1,ROUND(12, 3),"")</f>
        <v/>
      </c>
      <c r="X156" s="260" t="str">
        <f>IF(0 = 1,ROUND(100, 1),"")</f>
        <v/>
      </c>
      <c r="Y156" s="260" t="str">
        <f>IF(0 = 1,ROUND(0, 1),"")</f>
        <v/>
      </c>
      <c r="Z156" s="260" t="str">
        <f>IF(0 = 1,ROUND(0, 3),"")</f>
        <v/>
      </c>
      <c r="AA156" s="242" t="str">
        <f>IF(0 = 1,CHOOSE(0 + 1, 1.3,1.5),"")</f>
        <v/>
      </c>
      <c r="AB156" s="60" t="str">
        <f>IF(0 = 1,ROUND(0, 1),"")</f>
        <v/>
      </c>
      <c r="AC156" s="260" t="str">
        <f>IF(0 = 1,ROUND(3, 1),"")</f>
        <v/>
      </c>
      <c r="AD156" s="260"/>
      <c r="AE156" s="260"/>
      <c r="AF156" s="260"/>
      <c r="AG156" s="260"/>
      <c r="AH156" s="268"/>
      <c r="AI156" s="53" t="s">
        <v>6202</v>
      </c>
    </row>
    <row r="157" spans="1:35">
      <c r="A157" s="105" t="s">
        <v>6203</v>
      </c>
      <c r="B157" s="127" t="str">
        <f>IF(TRIM("BUS_CNODE_JCT__1317") = "", "BUS_CNODE_JCT__1317", "BUS_CNODE_JCT__1317")</f>
        <v>BUS_CNODE_JCT__1317</v>
      </c>
      <c r="C157" s="58" t="str">
        <f>IF(TRIM("BUS_涛线颐秀居#1环网柜_210") = "", "BUS_涛线颐秀居#1环网柜_210", "BUS_涛线颐秀居#1环网柜_210")</f>
        <v>BUS_涛线颐秀居#1环网柜_210</v>
      </c>
      <c r="D157" s="105" t="str">
        <f>IF(TRUE = TRUE, "Yes", "No")</f>
        <v>Yes</v>
      </c>
      <c r="E157" s="105" t="s">
        <v>5202</v>
      </c>
      <c r="F157" s="105" t="s">
        <v>5910</v>
      </c>
      <c r="G157" s="105"/>
      <c r="H157" s="105" t="str">
        <f>IF(0 = 0, "ANSI", "IEC")</f>
        <v>ANSI</v>
      </c>
      <c r="I157" s="105" t="str">
        <f>IF(1 = 0, "No", "Yes")</f>
        <v>Yes</v>
      </c>
      <c r="J157" s="105" t="str">
        <f>IF(0 = 1, "Yes", "No")</f>
        <v>No</v>
      </c>
      <c r="K157" s="105" t="str">
        <f>IF(0 = 0,"none","none")</f>
        <v>none</v>
      </c>
      <c r="L157" s="105" t="str">
        <f>IF(0 = 0,"none","none")</f>
        <v>none</v>
      </c>
      <c r="M157" s="105">
        <f>IF(0 = 0, ROUND(0, 1), "")</f>
        <v>0</v>
      </c>
      <c r="N157" s="105">
        <f>IF(0 = 0,ROUND(1.00999999, 3),"")</f>
        <v>1.01</v>
      </c>
      <c r="O157" s="266" t="str">
        <f>IF(0 = 0,IF(1 = 0, "Total", "Symmetrical"),"")</f>
        <v>Symmetrical</v>
      </c>
      <c r="P157" s="260">
        <f>IF(0 = 0,ROUND(0, 1),"")</f>
        <v>0</v>
      </c>
      <c r="Q157" s="105">
        <f>IF(0 = 0,ROUND(0, 1),"")</f>
        <v>0</v>
      </c>
      <c r="R157" s="105">
        <f>IF(0 = 0,ROUND(0, 1),"")</f>
        <v>0</v>
      </c>
      <c r="S157" s="260">
        <f>IF(0 = 0,ROUND(0, 1),"")</f>
        <v>0</v>
      </c>
      <c r="T157" s="242">
        <f>IF(0 = 0,CHOOSE(1 + 1, 3,5,8,2),"")</f>
        <v>5</v>
      </c>
      <c r="U157" s="267" t="str">
        <f>IF(0 = 0,"3","")</f>
        <v>3</v>
      </c>
      <c r="V157" s="260" t="str">
        <f>IF(0 = 1,ROUND(1250, 1),"")</f>
        <v/>
      </c>
      <c r="W157" s="260" t="str">
        <f>IF(0 = 1,ROUND(12, 3),"")</f>
        <v/>
      </c>
      <c r="X157" s="260" t="str">
        <f>IF(0 = 1,ROUND(100, 1),"")</f>
        <v/>
      </c>
      <c r="Y157" s="260" t="str">
        <f>IF(0 = 1,ROUND(0, 1),"")</f>
        <v/>
      </c>
      <c r="Z157" s="260" t="str">
        <f>IF(0 = 1,ROUND(0, 3),"")</f>
        <v/>
      </c>
      <c r="AA157" s="242" t="str">
        <f>IF(0 = 1,CHOOSE(0 + 1, 1.3,1.5),"")</f>
        <v/>
      </c>
      <c r="AB157" s="60" t="str">
        <f>IF(0 = 1,ROUND(0, 1),"")</f>
        <v/>
      </c>
      <c r="AC157" s="260" t="str">
        <f>IF(0 = 1,ROUND(3, 1),"")</f>
        <v/>
      </c>
      <c r="AD157" s="260"/>
      <c r="AE157" s="260"/>
      <c r="AF157" s="260"/>
      <c r="AG157" s="260"/>
      <c r="AH157" s="268"/>
      <c r="AI157" s="53" t="s">
        <v>6204</v>
      </c>
    </row>
    <row r="158" spans="1:35">
      <c r="A158" s="105" t="s">
        <v>6205</v>
      </c>
      <c r="B158" s="127" t="str">
        <f>IF(TRIM("") = "", "", "")</f>
        <v/>
      </c>
      <c r="C158" s="58" t="str">
        <f>IF(TRIM("BUS_V西花园线6号环网柜_209") = "", "BUS_V西花园线6号环网柜_209", "BUS_V西花园线6号环网柜_209")</f>
        <v>BUS_V西花园线6号环网柜_209</v>
      </c>
      <c r="D158" s="105" t="str">
        <f>IF(TRUE = TRUE, "Yes", "No")</f>
        <v>Yes</v>
      </c>
      <c r="E158" s="105" t="s">
        <v>5202</v>
      </c>
      <c r="F158" s="105" t="s">
        <v>5910</v>
      </c>
      <c r="G158" s="105"/>
      <c r="H158" s="105" t="str">
        <f>IF(0 = 0, "ANSI", "IEC")</f>
        <v>ANSI</v>
      </c>
      <c r="I158" s="105" t="str">
        <f>IF(1 = 0, "No", "Yes")</f>
        <v>Yes</v>
      </c>
      <c r="J158" s="105" t="str">
        <f>IF(0 = 1, "Yes", "No")</f>
        <v>No</v>
      </c>
      <c r="K158" s="105" t="str">
        <f>IF(0 = 0,"none","none")</f>
        <v>none</v>
      </c>
      <c r="L158" s="105" t="str">
        <f>IF(0 = 0,"none","none")</f>
        <v>none</v>
      </c>
      <c r="M158" s="105">
        <f>IF(0 = 0, ROUND(0, 1), "")</f>
        <v>0</v>
      </c>
      <c r="N158" s="105">
        <f>IF(0 = 0,ROUND(1.00999999, 3),"")</f>
        <v>1.01</v>
      </c>
      <c r="O158" s="266" t="str">
        <f>IF(0 = 0,IF(1 = 0, "Total", "Symmetrical"),"")</f>
        <v>Symmetrical</v>
      </c>
      <c r="P158" s="260">
        <f>IF(0 = 0,ROUND(0, 1),"")</f>
        <v>0</v>
      </c>
      <c r="Q158" s="105">
        <f>IF(0 = 0,ROUND(0, 1),"")</f>
        <v>0</v>
      </c>
      <c r="R158" s="105">
        <f>IF(0 = 0,ROUND(0, 1),"")</f>
        <v>0</v>
      </c>
      <c r="S158" s="260">
        <f>IF(0 = 0,ROUND(0, 1),"")</f>
        <v>0</v>
      </c>
      <c r="T158" s="242">
        <f>IF(0 = 0,CHOOSE(1 + 1, 3,5,8,2),"")</f>
        <v>5</v>
      </c>
      <c r="U158" s="267" t="str">
        <f>IF(0 = 0,"3","")</f>
        <v>3</v>
      </c>
      <c r="V158" s="260" t="str">
        <f>IF(0 = 1,ROUND(1250, 1),"")</f>
        <v/>
      </c>
      <c r="W158" s="260" t="str">
        <f>IF(0 = 1,ROUND(12, 3),"")</f>
        <v/>
      </c>
      <c r="X158" s="260" t="str">
        <f>IF(0 = 1,ROUND(100, 1),"")</f>
        <v/>
      </c>
      <c r="Y158" s="260" t="str">
        <f>IF(0 = 1,ROUND(0, 1),"")</f>
        <v/>
      </c>
      <c r="Z158" s="260" t="str">
        <f>IF(0 = 1,ROUND(0, 3),"")</f>
        <v/>
      </c>
      <c r="AA158" s="242" t="str">
        <f>IF(0 = 1,CHOOSE(0 + 1, 1.3,1.5),"")</f>
        <v/>
      </c>
      <c r="AB158" s="60" t="str">
        <f>IF(0 = 1,ROUND(0, 1),"")</f>
        <v/>
      </c>
      <c r="AC158" s="260" t="str">
        <f>IF(0 = 1,ROUND(3, 1),"")</f>
        <v/>
      </c>
      <c r="AD158" s="260"/>
      <c r="AE158" s="260"/>
      <c r="AF158" s="260"/>
      <c r="AG158" s="260"/>
      <c r="AH158" s="268"/>
      <c r="AI158" s="53" t="s">
        <v>6206</v>
      </c>
    </row>
    <row r="159" spans="1:35">
      <c r="A159" s="105" t="s">
        <v>6207</v>
      </c>
      <c r="B159" s="127" t="str">
        <f>IF(TRIM("") = "", "", "")</f>
        <v/>
      </c>
      <c r="C159" s="58" t="str">
        <f>IF(TRIM("BUS_V西花园线6号环网柜_209") = "", "BUS_V西花园线6号环网柜_209", "BUS_V西花园线6号环网柜_209")</f>
        <v>BUS_V西花园线6号环网柜_209</v>
      </c>
      <c r="D159" s="105" t="str">
        <f>IF(TRUE = TRUE, "Yes", "No")</f>
        <v>Yes</v>
      </c>
      <c r="E159" s="105" t="s">
        <v>5202</v>
      </c>
      <c r="F159" s="105" t="s">
        <v>5910</v>
      </c>
      <c r="G159" s="105"/>
      <c r="H159" s="105" t="str">
        <f>IF(0 = 0, "ANSI", "IEC")</f>
        <v>ANSI</v>
      </c>
      <c r="I159" s="105" t="str">
        <f>IF(1 = 0, "No", "Yes")</f>
        <v>Yes</v>
      </c>
      <c r="J159" s="105" t="str">
        <f>IF(0 = 1, "Yes", "No")</f>
        <v>No</v>
      </c>
      <c r="K159" s="105" t="str">
        <f>IF(0 = 0,"none","none")</f>
        <v>none</v>
      </c>
      <c r="L159" s="105" t="str">
        <f>IF(0 = 0,"none","none")</f>
        <v>none</v>
      </c>
      <c r="M159" s="105">
        <f>IF(0 = 0, ROUND(0, 1), "")</f>
        <v>0</v>
      </c>
      <c r="N159" s="105">
        <f>IF(0 = 0,ROUND(1.00999999, 3),"")</f>
        <v>1.01</v>
      </c>
      <c r="O159" s="266" t="str">
        <f>IF(0 = 0,IF(1 = 0, "Total", "Symmetrical"),"")</f>
        <v>Symmetrical</v>
      </c>
      <c r="P159" s="260">
        <f>IF(0 = 0,ROUND(0, 1),"")</f>
        <v>0</v>
      </c>
      <c r="Q159" s="105">
        <f>IF(0 = 0,ROUND(0, 1),"")</f>
        <v>0</v>
      </c>
      <c r="R159" s="105">
        <f>IF(0 = 0,ROUND(0, 1),"")</f>
        <v>0</v>
      </c>
      <c r="S159" s="260">
        <f>IF(0 = 0,ROUND(0, 1),"")</f>
        <v>0</v>
      </c>
      <c r="T159" s="242">
        <f>IF(0 = 0,CHOOSE(1 + 1, 3,5,8,2),"")</f>
        <v>5</v>
      </c>
      <c r="U159" s="267" t="str">
        <f>IF(0 = 0,"3","")</f>
        <v>3</v>
      </c>
      <c r="V159" s="260" t="str">
        <f>IF(0 = 1,ROUND(1250, 1),"")</f>
        <v/>
      </c>
      <c r="W159" s="260" t="str">
        <f>IF(0 = 1,ROUND(12, 3),"")</f>
        <v/>
      </c>
      <c r="X159" s="260" t="str">
        <f>IF(0 = 1,ROUND(100, 1),"")</f>
        <v/>
      </c>
      <c r="Y159" s="260" t="str">
        <f>IF(0 = 1,ROUND(0, 1),"")</f>
        <v/>
      </c>
      <c r="Z159" s="260" t="str">
        <f>IF(0 = 1,ROUND(0, 3),"")</f>
        <v/>
      </c>
      <c r="AA159" s="242" t="str">
        <f>IF(0 = 1,CHOOSE(0 + 1, 1.3,1.5),"")</f>
        <v/>
      </c>
      <c r="AB159" s="60" t="str">
        <f>IF(0 = 1,ROUND(0, 1),"")</f>
        <v/>
      </c>
      <c r="AC159" s="260" t="str">
        <f>IF(0 = 1,ROUND(3, 1),"")</f>
        <v/>
      </c>
      <c r="AD159" s="260"/>
      <c r="AE159" s="260"/>
      <c r="AF159" s="260"/>
      <c r="AG159" s="260"/>
      <c r="AH159" s="268"/>
      <c r="AI159" s="53" t="s">
        <v>6208</v>
      </c>
    </row>
    <row r="160" spans="1:35">
      <c r="A160" s="105" t="s">
        <v>6209</v>
      </c>
      <c r="B160" s="127" t="str">
        <f>IF(TRIM("BUS_CNODE_JCT__1417") = "", "BUS_CNODE_JCT__1417", "BUS_CNODE_JCT__1417")</f>
        <v>BUS_CNODE_JCT__1417</v>
      </c>
      <c r="C160" s="58" t="str">
        <f>IF(TRIM("BUS_CNODE_JCT__1421") = "", "BUS_CNODE_JCT__1421", "BUS_CNODE_JCT__1421")</f>
        <v>BUS_CNODE_JCT__1421</v>
      </c>
      <c r="D160" s="105" t="str">
        <f>IF(TRUE = TRUE, "Yes", "No")</f>
        <v>Yes</v>
      </c>
      <c r="E160" s="105" t="s">
        <v>5202</v>
      </c>
      <c r="F160" s="105" t="s">
        <v>5910</v>
      </c>
      <c r="G160" s="105"/>
      <c r="H160" s="105" t="str">
        <f>IF(0 = 0, "ANSI", "IEC")</f>
        <v>ANSI</v>
      </c>
      <c r="I160" s="105" t="str">
        <f>IF(1 = 0, "No", "Yes")</f>
        <v>Yes</v>
      </c>
      <c r="J160" s="105" t="str">
        <f>IF(0 = 1, "Yes", "No")</f>
        <v>No</v>
      </c>
      <c r="K160" s="105" t="str">
        <f>IF(0 = 0,"none","none")</f>
        <v>none</v>
      </c>
      <c r="L160" s="105" t="str">
        <f>IF(0 = 0,"none","none")</f>
        <v>none</v>
      </c>
      <c r="M160" s="105">
        <f>IF(0 = 0, ROUND(0, 1), "")</f>
        <v>0</v>
      </c>
      <c r="N160" s="105">
        <f>IF(0 = 0,ROUND(1.00999999, 3),"")</f>
        <v>1.01</v>
      </c>
      <c r="O160" s="266" t="str">
        <f>IF(0 = 0,IF(1 = 0, "Total", "Symmetrical"),"")</f>
        <v>Symmetrical</v>
      </c>
      <c r="P160" s="260">
        <f>IF(0 = 0,ROUND(0, 1),"")</f>
        <v>0</v>
      </c>
      <c r="Q160" s="105">
        <f>IF(0 = 0,ROUND(0, 1),"")</f>
        <v>0</v>
      </c>
      <c r="R160" s="105">
        <f>IF(0 = 0,ROUND(0, 1),"")</f>
        <v>0</v>
      </c>
      <c r="S160" s="260">
        <f>IF(0 = 0,ROUND(0, 1),"")</f>
        <v>0</v>
      </c>
      <c r="T160" s="242">
        <f>IF(0 = 0,CHOOSE(1 + 1, 3,5,8,2),"")</f>
        <v>5</v>
      </c>
      <c r="U160" s="267" t="str">
        <f>IF(0 = 0,"3","")</f>
        <v>3</v>
      </c>
      <c r="V160" s="260" t="str">
        <f>IF(0 = 1,ROUND(1250, 1),"")</f>
        <v/>
      </c>
      <c r="W160" s="260" t="str">
        <f>IF(0 = 1,ROUND(12, 3),"")</f>
        <v/>
      </c>
      <c r="X160" s="260" t="str">
        <f>IF(0 = 1,ROUND(100, 1),"")</f>
        <v/>
      </c>
      <c r="Y160" s="260" t="str">
        <f>IF(0 = 1,ROUND(0, 1),"")</f>
        <v/>
      </c>
      <c r="Z160" s="260" t="str">
        <f>IF(0 = 1,ROUND(0, 3),"")</f>
        <v/>
      </c>
      <c r="AA160" s="242" t="str">
        <f>IF(0 = 1,CHOOSE(0 + 1, 1.3,1.5),"")</f>
        <v/>
      </c>
      <c r="AB160" s="60" t="str">
        <f>IF(0 = 1,ROUND(0, 1),"")</f>
        <v/>
      </c>
      <c r="AC160" s="260" t="str">
        <f>IF(0 = 1,ROUND(3, 1),"")</f>
        <v/>
      </c>
      <c r="AD160" s="260"/>
      <c r="AE160" s="260"/>
      <c r="AF160" s="260"/>
      <c r="AG160" s="260"/>
      <c r="AH160" s="268"/>
      <c r="AI160" s="53" t="s">
        <v>6210</v>
      </c>
    </row>
    <row r="161" spans="1:35">
      <c r="A161" s="105" t="s">
        <v>6211</v>
      </c>
      <c r="B161" s="127" t="str">
        <f>IF(TRIM("BUS_颐秀居#1变母线_231") = "", "BUS_颐秀居#1变母线_231", "BUS_颐秀居#1变母线_231")</f>
        <v>BUS_颐秀居#1变母线_231</v>
      </c>
      <c r="C161" s="58" t="str">
        <f>IF(TRIM("BUS_CNODE_JCT__1450") = "", "BUS_CNODE_JCT__1450", "BUS_CNODE_JCT__1450")</f>
        <v>BUS_CNODE_JCT__1450</v>
      </c>
      <c r="D161" s="105" t="str">
        <f>IF(TRUE = TRUE, "Yes", "No")</f>
        <v>Yes</v>
      </c>
      <c r="E161" s="105" t="s">
        <v>5202</v>
      </c>
      <c r="F161" s="105" t="s">
        <v>5910</v>
      </c>
      <c r="G161" s="105"/>
      <c r="H161" s="105" t="str">
        <f>IF(0 = 0, "ANSI", "IEC")</f>
        <v>ANSI</v>
      </c>
      <c r="I161" s="105" t="str">
        <f>IF(1 = 0, "No", "Yes")</f>
        <v>Yes</v>
      </c>
      <c r="J161" s="105" t="str">
        <f>IF(0 = 1, "Yes", "No")</f>
        <v>No</v>
      </c>
      <c r="K161" s="105" t="str">
        <f>IF(0 = 0,"none","none")</f>
        <v>none</v>
      </c>
      <c r="L161" s="105" t="str">
        <f>IF(0 = 0,"none","none")</f>
        <v>none</v>
      </c>
      <c r="M161" s="105">
        <f>IF(0 = 0, ROUND(0, 1), "")</f>
        <v>0</v>
      </c>
      <c r="N161" s="105">
        <f>IF(0 = 0,ROUND(1.00999999, 3),"")</f>
        <v>1.01</v>
      </c>
      <c r="O161" s="266" t="str">
        <f>IF(0 = 0,IF(1 = 0, "Total", "Symmetrical"),"")</f>
        <v>Symmetrical</v>
      </c>
      <c r="P161" s="260">
        <f>IF(0 = 0,ROUND(0, 1),"")</f>
        <v>0</v>
      </c>
      <c r="Q161" s="105">
        <f>IF(0 = 0,ROUND(0, 1),"")</f>
        <v>0</v>
      </c>
      <c r="R161" s="105">
        <f>IF(0 = 0,ROUND(0, 1),"")</f>
        <v>0</v>
      </c>
      <c r="S161" s="260">
        <f>IF(0 = 0,ROUND(0, 1),"")</f>
        <v>0</v>
      </c>
      <c r="T161" s="242">
        <f>IF(0 = 0,CHOOSE(1 + 1, 3,5,8,2),"")</f>
        <v>5</v>
      </c>
      <c r="U161" s="267" t="str">
        <f>IF(0 = 0,"3","")</f>
        <v>3</v>
      </c>
      <c r="V161" s="260" t="str">
        <f>IF(0 = 1,ROUND(1250, 1),"")</f>
        <v/>
      </c>
      <c r="W161" s="260" t="str">
        <f>IF(0 = 1,ROUND(12, 3),"")</f>
        <v/>
      </c>
      <c r="X161" s="260" t="str">
        <f>IF(0 = 1,ROUND(100, 1),"")</f>
        <v/>
      </c>
      <c r="Y161" s="260" t="str">
        <f>IF(0 = 1,ROUND(0, 1),"")</f>
        <v/>
      </c>
      <c r="Z161" s="260" t="str">
        <f>IF(0 = 1,ROUND(0, 3),"")</f>
        <v/>
      </c>
      <c r="AA161" s="242" t="str">
        <f>IF(0 = 1,CHOOSE(0 + 1, 1.3,1.5),"")</f>
        <v/>
      </c>
      <c r="AB161" s="60" t="str">
        <f>IF(0 = 1,ROUND(0, 1),"")</f>
        <v/>
      </c>
      <c r="AC161" s="260" t="str">
        <f>IF(0 = 1,ROUND(3, 1),"")</f>
        <v/>
      </c>
      <c r="AD161" s="260"/>
      <c r="AE161" s="260"/>
      <c r="AF161" s="260"/>
      <c r="AG161" s="260"/>
      <c r="AH161" s="268"/>
      <c r="AI161" s="53" t="s">
        <v>6212</v>
      </c>
    </row>
    <row r="162" spans="1:35">
      <c r="A162" s="105" t="s">
        <v>6213</v>
      </c>
      <c r="B162" s="127" t="str">
        <f>IF(TRIM("BUS_颐秀居#2变母母线_232") = "", "BUS_颐秀居#2变母母线_232", "BUS_颐秀居#2变母母线_232")</f>
        <v>BUS_颐秀居#2变母母线_232</v>
      </c>
      <c r="C162" s="58" t="str">
        <f>IF(TRIM("BUS_CNODE_JCT__1451") = "", "BUS_CNODE_JCT__1451", "BUS_CNODE_JCT__1451")</f>
        <v>BUS_CNODE_JCT__1451</v>
      </c>
      <c r="D162" s="105" t="str">
        <f>IF(TRUE = TRUE, "Yes", "No")</f>
        <v>Yes</v>
      </c>
      <c r="E162" s="105" t="s">
        <v>5202</v>
      </c>
      <c r="F162" s="105" t="s">
        <v>5910</v>
      </c>
      <c r="G162" s="105"/>
      <c r="H162" s="105" t="str">
        <f>IF(0 = 0, "ANSI", "IEC")</f>
        <v>ANSI</v>
      </c>
      <c r="I162" s="105" t="str">
        <f>IF(1 = 0, "No", "Yes")</f>
        <v>Yes</v>
      </c>
      <c r="J162" s="105" t="str">
        <f>IF(0 = 1, "Yes", "No")</f>
        <v>No</v>
      </c>
      <c r="K162" s="105" t="str">
        <f>IF(0 = 0,"none","none")</f>
        <v>none</v>
      </c>
      <c r="L162" s="105" t="str">
        <f>IF(0 = 0,"none","none")</f>
        <v>none</v>
      </c>
      <c r="M162" s="105">
        <f>IF(0 = 0, ROUND(0, 1), "")</f>
        <v>0</v>
      </c>
      <c r="N162" s="105">
        <f>IF(0 = 0,ROUND(1.00999999, 3),"")</f>
        <v>1.01</v>
      </c>
      <c r="O162" s="266" t="str">
        <f>IF(0 = 0,IF(1 = 0, "Total", "Symmetrical"),"")</f>
        <v>Symmetrical</v>
      </c>
      <c r="P162" s="260">
        <f>IF(0 = 0,ROUND(0, 1),"")</f>
        <v>0</v>
      </c>
      <c r="Q162" s="105">
        <f>IF(0 = 0,ROUND(0, 1),"")</f>
        <v>0</v>
      </c>
      <c r="R162" s="105">
        <f>IF(0 = 0,ROUND(0, 1),"")</f>
        <v>0</v>
      </c>
      <c r="S162" s="260">
        <f>IF(0 = 0,ROUND(0, 1),"")</f>
        <v>0</v>
      </c>
      <c r="T162" s="242">
        <f>IF(0 = 0,CHOOSE(1 + 1, 3,5,8,2),"")</f>
        <v>5</v>
      </c>
      <c r="U162" s="267" t="str">
        <f>IF(0 = 0,"3","")</f>
        <v>3</v>
      </c>
      <c r="V162" s="260" t="str">
        <f>IF(0 = 1,ROUND(1250, 1),"")</f>
        <v/>
      </c>
      <c r="W162" s="260" t="str">
        <f>IF(0 = 1,ROUND(12, 3),"")</f>
        <v/>
      </c>
      <c r="X162" s="260" t="str">
        <f>IF(0 = 1,ROUND(100, 1),"")</f>
        <v/>
      </c>
      <c r="Y162" s="260" t="str">
        <f>IF(0 = 1,ROUND(0, 1),"")</f>
        <v/>
      </c>
      <c r="Z162" s="260" t="str">
        <f>IF(0 = 1,ROUND(0, 3),"")</f>
        <v/>
      </c>
      <c r="AA162" s="242" t="str">
        <f>IF(0 = 1,CHOOSE(0 + 1, 1.3,1.5),"")</f>
        <v/>
      </c>
      <c r="AB162" s="60" t="str">
        <f>IF(0 = 1,ROUND(0, 1),"")</f>
        <v/>
      </c>
      <c r="AC162" s="260" t="str">
        <f>IF(0 = 1,ROUND(3, 1),"")</f>
        <v/>
      </c>
      <c r="AD162" s="260"/>
      <c r="AE162" s="260"/>
      <c r="AF162" s="260"/>
      <c r="AG162" s="260"/>
      <c r="AH162" s="268"/>
      <c r="AI162" s="53" t="s">
        <v>6214</v>
      </c>
    </row>
    <row r="163" spans="1:35">
      <c r="A163" s="105" t="s">
        <v>6215</v>
      </c>
      <c r="B163" s="127" t="str">
        <f>IF(TRIM("BUS_CNODE_JCT__1302") = "", "BUS_CNODE_JCT__1302", "BUS_CNODE_JCT__1302")</f>
        <v>BUS_CNODE_JCT__1302</v>
      </c>
      <c r="C163" s="58" t="str">
        <f>IF(TRIM("BUS_CNODE_JCT__1318") = "", "BUS_CNODE_JCT__1318", "BUS_CNODE_JCT__1318")</f>
        <v>BUS_CNODE_JCT__1318</v>
      </c>
      <c r="D163" s="105" t="str">
        <f>IF(TRUE = TRUE, "Yes", "No")</f>
        <v>Yes</v>
      </c>
      <c r="E163" s="105" t="s">
        <v>5202</v>
      </c>
      <c r="F163" s="105" t="s">
        <v>5910</v>
      </c>
      <c r="G163" s="105"/>
      <c r="H163" s="105" t="str">
        <f>IF(0 = 0, "ANSI", "IEC")</f>
        <v>ANSI</v>
      </c>
      <c r="I163" s="105" t="str">
        <f>IF(1 = 0, "No", "Yes")</f>
        <v>Yes</v>
      </c>
      <c r="J163" s="105" t="str">
        <f>IF(0 = 1, "Yes", "No")</f>
        <v>No</v>
      </c>
      <c r="K163" s="105" t="str">
        <f>IF(0 = 0,"none","none")</f>
        <v>none</v>
      </c>
      <c r="L163" s="105" t="str">
        <f>IF(0 = 0,"none","none")</f>
        <v>none</v>
      </c>
      <c r="M163" s="105">
        <f>IF(0 = 0, ROUND(0, 1), "")</f>
        <v>0</v>
      </c>
      <c r="N163" s="105">
        <f>IF(0 = 0,ROUND(1.00999999, 3),"")</f>
        <v>1.01</v>
      </c>
      <c r="O163" s="266" t="str">
        <f>IF(0 = 0,IF(1 = 0, "Total", "Symmetrical"),"")</f>
        <v>Symmetrical</v>
      </c>
      <c r="P163" s="260">
        <f>IF(0 = 0,ROUND(0, 1),"")</f>
        <v>0</v>
      </c>
      <c r="Q163" s="105">
        <f>IF(0 = 0,ROUND(0, 1),"")</f>
        <v>0</v>
      </c>
      <c r="R163" s="105">
        <f>IF(0 = 0,ROUND(0, 1),"")</f>
        <v>0</v>
      </c>
      <c r="S163" s="260">
        <f>IF(0 = 0,ROUND(0, 1),"")</f>
        <v>0</v>
      </c>
      <c r="T163" s="242">
        <f>IF(0 = 0,CHOOSE(1 + 1, 3,5,8,2),"")</f>
        <v>5</v>
      </c>
      <c r="U163" s="267" t="str">
        <f>IF(0 = 0,"3","")</f>
        <v>3</v>
      </c>
      <c r="V163" s="260" t="str">
        <f>IF(0 = 1,ROUND(1250, 1),"")</f>
        <v/>
      </c>
      <c r="W163" s="260" t="str">
        <f>IF(0 = 1,ROUND(12, 3),"")</f>
        <v/>
      </c>
      <c r="X163" s="260" t="str">
        <f>IF(0 = 1,ROUND(100, 1),"")</f>
        <v/>
      </c>
      <c r="Y163" s="260" t="str">
        <f>IF(0 = 1,ROUND(0, 1),"")</f>
        <v/>
      </c>
      <c r="Z163" s="260" t="str">
        <f>IF(0 = 1,ROUND(0, 3),"")</f>
        <v/>
      </c>
      <c r="AA163" s="242" t="str">
        <f>IF(0 = 1,CHOOSE(0 + 1, 1.3,1.5),"")</f>
        <v/>
      </c>
      <c r="AB163" s="60" t="str">
        <f>IF(0 = 1,ROUND(0, 1),"")</f>
        <v/>
      </c>
      <c r="AC163" s="260" t="str">
        <f>IF(0 = 1,ROUND(3, 1),"")</f>
        <v/>
      </c>
      <c r="AD163" s="260"/>
      <c r="AE163" s="260"/>
      <c r="AF163" s="260"/>
      <c r="AG163" s="260"/>
      <c r="AH163" s="268"/>
      <c r="AI163" s="53" t="s">
        <v>6216</v>
      </c>
    </row>
    <row r="164" spans="1:35">
      <c r="A164" s="105" t="s">
        <v>6217</v>
      </c>
      <c r="B164" s="127" t="str">
        <f>IF(TRIM("BUS_CNODE_JCT__1375") = "", "BUS_CNODE_JCT__1375", "BUS_CNODE_JCT__1375")</f>
        <v>BUS_CNODE_JCT__1375</v>
      </c>
      <c r="C164" s="58" t="str">
        <f>IF(TRIM("BUS_CNODE_JCT__1465") = "", "BUS_CNODE_JCT__1465", "BUS_CNODE_JCT__1465")</f>
        <v>BUS_CNODE_JCT__1465</v>
      </c>
      <c r="D164" s="105" t="str">
        <f>IF(TRUE = TRUE, "Yes", "No")</f>
        <v>Yes</v>
      </c>
      <c r="E164" s="105" t="s">
        <v>5202</v>
      </c>
      <c r="F164" s="105" t="s">
        <v>5910</v>
      </c>
      <c r="G164" s="105"/>
      <c r="H164" s="105" t="str">
        <f>IF(0 = 0, "ANSI", "IEC")</f>
        <v>ANSI</v>
      </c>
      <c r="I164" s="105" t="str">
        <f>IF(1 = 0, "No", "Yes")</f>
        <v>Yes</v>
      </c>
      <c r="J164" s="105" t="str">
        <f>IF(0 = 1, "Yes", "No")</f>
        <v>No</v>
      </c>
      <c r="K164" s="105" t="str">
        <f>IF(0 = 0,"none","none")</f>
        <v>none</v>
      </c>
      <c r="L164" s="105" t="str">
        <f>IF(0 = 0,"none","none")</f>
        <v>none</v>
      </c>
      <c r="M164" s="105">
        <f>IF(0 = 0, ROUND(0, 1), "")</f>
        <v>0</v>
      </c>
      <c r="N164" s="105">
        <f>IF(0 = 0,ROUND(1.00999999, 3),"")</f>
        <v>1.01</v>
      </c>
      <c r="O164" s="266" t="str">
        <f>IF(0 = 0,IF(1 = 0, "Total", "Symmetrical"),"")</f>
        <v>Symmetrical</v>
      </c>
      <c r="P164" s="260">
        <f>IF(0 = 0,ROUND(0, 1),"")</f>
        <v>0</v>
      </c>
      <c r="Q164" s="105">
        <f>IF(0 = 0,ROUND(0, 1),"")</f>
        <v>0</v>
      </c>
      <c r="R164" s="105">
        <f>IF(0 = 0,ROUND(0, 1),"")</f>
        <v>0</v>
      </c>
      <c r="S164" s="260">
        <f>IF(0 = 0,ROUND(0, 1),"")</f>
        <v>0</v>
      </c>
      <c r="T164" s="242">
        <f>IF(0 = 0,CHOOSE(1 + 1, 3,5,8,2),"")</f>
        <v>5</v>
      </c>
      <c r="U164" s="267" t="str">
        <f>IF(0 = 0,"3","")</f>
        <v>3</v>
      </c>
      <c r="V164" s="260" t="str">
        <f>IF(0 = 1,ROUND(1250, 1),"")</f>
        <v/>
      </c>
      <c r="W164" s="260" t="str">
        <f>IF(0 = 1,ROUND(12, 3),"")</f>
        <v/>
      </c>
      <c r="X164" s="260" t="str">
        <f>IF(0 = 1,ROUND(100, 1),"")</f>
        <v/>
      </c>
      <c r="Y164" s="260" t="str">
        <f>IF(0 = 1,ROUND(0, 1),"")</f>
        <v/>
      </c>
      <c r="Z164" s="260" t="str">
        <f>IF(0 = 1,ROUND(0, 3),"")</f>
        <v/>
      </c>
      <c r="AA164" s="242" t="str">
        <f>IF(0 = 1,CHOOSE(0 + 1, 1.3,1.5),"")</f>
        <v/>
      </c>
      <c r="AB164" s="60" t="str">
        <f>IF(0 = 1,ROUND(0, 1),"")</f>
        <v/>
      </c>
      <c r="AC164" s="260" t="str">
        <f>IF(0 = 1,ROUND(3, 1),"")</f>
        <v/>
      </c>
      <c r="AD164" s="260"/>
      <c r="AE164" s="260"/>
      <c r="AF164" s="260"/>
      <c r="AG164" s="260"/>
      <c r="AH164" s="268"/>
      <c r="AI164" s="53" t="s">
        <v>6218</v>
      </c>
    </row>
    <row r="165" spans="1:35">
      <c r="A165" s="247"/>
      <c r="AI165" s="249"/>
    </row>
    <row r="166" spans="1:35">
      <c r="A166" s="247"/>
      <c r="AI166" s="249"/>
    </row>
    <row r="167" spans="1:35">
      <c r="A167" s="247"/>
      <c r="AI167" s="249"/>
    </row>
    <row r="168" spans="1:35">
      <c r="A168" s="247"/>
      <c r="AI168" s="249"/>
    </row>
    <row r="169" spans="1:35">
      <c r="A169" s="247"/>
      <c r="AI169" s="249"/>
    </row>
    <row r="170" spans="1:35">
      <c r="A170" s="247"/>
      <c r="AI170" s="249"/>
    </row>
    <row r="171" spans="1:35">
      <c r="A171" s="247"/>
      <c r="AI171" s="249"/>
    </row>
    <row r="172" spans="1:35">
      <c r="A172" s="247"/>
      <c r="AI172" s="249"/>
    </row>
    <row r="173" spans="1:35">
      <c r="A173" s="247"/>
      <c r="AI173" s="249"/>
    </row>
    <row r="174" spans="1:35">
      <c r="A174" s="247"/>
      <c r="AI174" s="249"/>
    </row>
    <row r="175" spans="1:35">
      <c r="A175" s="247"/>
      <c r="AI175" s="249"/>
    </row>
    <row r="176" spans="1:35">
      <c r="A176" s="247"/>
      <c r="AI176" s="249"/>
    </row>
    <row r="177" spans="1:35">
      <c r="A177" s="247"/>
      <c r="AI177" s="249"/>
    </row>
    <row r="178" spans="1:35">
      <c r="A178" s="247"/>
      <c r="AI178" s="249"/>
    </row>
    <row r="179" spans="1:35">
      <c r="A179" s="247"/>
      <c r="AI179" s="249"/>
    </row>
    <row r="180" spans="1:35">
      <c r="A180" s="247"/>
      <c r="AI180" s="249"/>
    </row>
    <row r="181" spans="1:35">
      <c r="A181" s="247"/>
      <c r="AI181" s="249"/>
    </row>
    <row r="182" spans="1:35">
      <c r="A182" s="247"/>
      <c r="AI182" s="249"/>
    </row>
    <row r="183" spans="1:35">
      <c r="A183" s="247"/>
      <c r="AI183" s="249"/>
    </row>
    <row r="184" spans="1:35">
      <c r="A184" s="247"/>
      <c r="AI184" s="249"/>
    </row>
    <row r="185" spans="1:35">
      <c r="A185" s="247"/>
      <c r="AI185" s="249"/>
    </row>
    <row r="186" spans="1:35">
      <c r="A186" s="247"/>
      <c r="AI186" s="249"/>
    </row>
    <row r="187" spans="1:35">
      <c r="A187" s="247"/>
      <c r="AI187" s="249"/>
    </row>
    <row r="188" spans="1:35">
      <c r="A188" s="247"/>
      <c r="AI188" s="249"/>
    </row>
    <row r="189" spans="1:35">
      <c r="A189" s="247"/>
      <c r="AI189" s="249"/>
    </row>
    <row r="190" spans="1:35">
      <c r="A190" s="247"/>
      <c r="AI190" s="249"/>
    </row>
    <row r="191" spans="1:35">
      <c r="A191" s="247"/>
      <c r="AI191" s="249"/>
    </row>
    <row r="192" spans="1:35">
      <c r="A192" s="247"/>
      <c r="AI192" s="249"/>
    </row>
    <row r="193" spans="1:35">
      <c r="A193" s="247"/>
      <c r="AI193" s="249"/>
    </row>
    <row r="194" spans="1:35">
      <c r="A194" s="247"/>
      <c r="AI194" s="249"/>
    </row>
    <row r="195" spans="1:35">
      <c r="A195" s="247"/>
      <c r="AI195" s="249"/>
    </row>
    <row r="196" spans="1:35">
      <c r="A196" s="247"/>
      <c r="AI196" s="249"/>
    </row>
    <row r="197" spans="1:35">
      <c r="A197" s="247"/>
      <c r="AI197" s="249"/>
    </row>
    <row r="198" spans="1:35">
      <c r="A198" s="247"/>
      <c r="AI198" s="249"/>
    </row>
    <row r="199" spans="1:35">
      <c r="A199" s="247"/>
      <c r="AI199" s="249"/>
    </row>
    <row r="200" spans="1:35">
      <c r="A200" s="247"/>
      <c r="AI200" s="249"/>
    </row>
    <row r="201" spans="1:35">
      <c r="A201" s="247"/>
      <c r="AI201" s="249"/>
    </row>
    <row r="202" spans="1:35">
      <c r="A202" s="247"/>
      <c r="AI202" s="249"/>
    </row>
    <row r="203" spans="1:35">
      <c r="A203" s="247"/>
      <c r="AI203" s="249"/>
    </row>
    <row r="204" spans="1:35">
      <c r="A204" s="247"/>
      <c r="AI204" s="249"/>
    </row>
    <row r="205" spans="1:35">
      <c r="A205" s="247"/>
      <c r="AI205" s="249"/>
    </row>
    <row r="206" spans="1:35">
      <c r="A206" s="247"/>
      <c r="AI206" s="249"/>
    </row>
    <row r="207" spans="1:35">
      <c r="A207" s="247"/>
      <c r="AI207" s="249"/>
    </row>
    <row r="208" spans="1:35">
      <c r="A208" s="247"/>
      <c r="AI208" s="249"/>
    </row>
    <row r="209" spans="1:35">
      <c r="A209" s="247"/>
      <c r="AI209" s="249"/>
    </row>
    <row r="210" spans="1:35">
      <c r="A210" s="247"/>
      <c r="AI210" s="249"/>
    </row>
    <row r="211" spans="1:35">
      <c r="A211" s="247"/>
      <c r="AI211" s="249"/>
    </row>
    <row r="212" spans="1:35">
      <c r="A212" s="247"/>
      <c r="AI212" s="249"/>
    </row>
    <row r="213" spans="1:35">
      <c r="A213" s="247"/>
      <c r="AI213" s="249"/>
    </row>
    <row r="214" spans="1:35">
      <c r="A214" s="247"/>
      <c r="AI214" s="249"/>
    </row>
    <row r="215" spans="1:35">
      <c r="A215" s="247"/>
      <c r="AI215" s="249"/>
    </row>
    <row r="216" spans="1:35">
      <c r="A216" s="247"/>
      <c r="AI216" s="249"/>
    </row>
    <row r="217" spans="1:35">
      <c r="A217" s="247"/>
      <c r="AI217" s="249"/>
    </row>
    <row r="218" spans="1:35">
      <c r="A218" s="247"/>
      <c r="AI218" s="249"/>
    </row>
    <row r="219" spans="1:35">
      <c r="A219" s="247"/>
      <c r="AI219" s="249"/>
    </row>
    <row r="220" spans="1:35">
      <c r="A220" s="247"/>
      <c r="AI220" s="249"/>
    </row>
    <row r="221" spans="1:35">
      <c r="A221" s="247"/>
      <c r="AI221" s="249"/>
    </row>
    <row r="222" spans="1:35">
      <c r="A222" s="247"/>
      <c r="AI222" s="249"/>
    </row>
    <row r="223" spans="1:35">
      <c r="A223" s="247"/>
      <c r="AI223" s="249"/>
    </row>
    <row r="224" spans="1:35">
      <c r="A224" s="247"/>
      <c r="AI224" s="249"/>
    </row>
    <row r="225" spans="1:35">
      <c r="A225" s="247"/>
      <c r="AI225" s="249"/>
    </row>
    <row r="226" spans="1:35">
      <c r="A226" s="247"/>
      <c r="AI226" s="249"/>
    </row>
    <row r="227" spans="1:35">
      <c r="A227" s="247"/>
      <c r="AI227" s="249"/>
    </row>
    <row r="228" spans="1:35">
      <c r="A228" s="247"/>
      <c r="AI228" s="249"/>
    </row>
    <row r="229" spans="1:35">
      <c r="A229" s="247"/>
      <c r="AI229" s="249"/>
    </row>
    <row r="230" spans="1:35">
      <c r="A230" s="247"/>
      <c r="AI230" s="249"/>
    </row>
    <row r="231" spans="1:35">
      <c r="A231" s="247"/>
      <c r="AI231" s="249"/>
    </row>
    <row r="232" spans="1:35">
      <c r="A232" s="247"/>
      <c r="AI232" s="249"/>
    </row>
    <row r="233" spans="1:35">
      <c r="A233" s="247"/>
      <c r="AI233" s="249"/>
    </row>
    <row r="234" spans="1:35">
      <c r="A234" s="247"/>
      <c r="AI234" s="249"/>
    </row>
    <row r="235" spans="1:35">
      <c r="A235" s="247"/>
      <c r="AI235" s="249"/>
    </row>
    <row r="236" spans="1:35">
      <c r="A236" s="247"/>
      <c r="AI236" s="249"/>
    </row>
    <row r="237" spans="1:35">
      <c r="A237" s="247"/>
      <c r="AI237" s="249"/>
    </row>
    <row r="238" spans="1:35">
      <c r="A238" s="247"/>
      <c r="AI238" s="249"/>
    </row>
    <row r="239" spans="1:35">
      <c r="A239" s="247"/>
      <c r="AI239" s="249"/>
    </row>
    <row r="240" spans="1:35">
      <c r="A240" s="247"/>
      <c r="AI240" s="249"/>
    </row>
    <row r="241" spans="1:35">
      <c r="A241" s="247"/>
      <c r="AI241" s="249"/>
    </row>
    <row r="242" spans="1:35">
      <c r="A242" s="247"/>
      <c r="AI242" s="249"/>
    </row>
    <row r="243" spans="1:35">
      <c r="A243" s="247"/>
      <c r="AI243" s="249"/>
    </row>
    <row r="244" spans="1:35">
      <c r="A244" s="247"/>
      <c r="AI244" s="249"/>
    </row>
    <row r="245" spans="1:35">
      <c r="A245" s="247"/>
      <c r="AI245" s="249"/>
    </row>
    <row r="246" spans="1:35">
      <c r="A246" s="247"/>
      <c r="AI246" s="249"/>
    </row>
    <row r="247" spans="1:35">
      <c r="A247" s="247"/>
      <c r="AI247" s="249"/>
    </row>
    <row r="248" spans="1:35">
      <c r="A248" s="247"/>
      <c r="AI248" s="249"/>
    </row>
    <row r="249" spans="1:35">
      <c r="A249" s="247"/>
      <c r="AI249" s="249"/>
    </row>
    <row r="250" spans="1:35">
      <c r="A250" s="247"/>
      <c r="AI250" s="249"/>
    </row>
    <row r="251" spans="1:35">
      <c r="A251" s="247"/>
      <c r="AI251" s="249"/>
    </row>
    <row r="252" spans="1:35">
      <c r="A252" s="247"/>
      <c r="AI252" s="249"/>
    </row>
    <row r="253" spans="1:35">
      <c r="A253" s="247"/>
      <c r="AI253" s="249"/>
    </row>
    <row r="254" spans="1:35">
      <c r="A254" s="247"/>
      <c r="AI254" s="249"/>
    </row>
    <row r="255" spans="1:35">
      <c r="A255" s="247"/>
      <c r="AI255" s="249"/>
    </row>
    <row r="256" spans="1:35">
      <c r="A256" s="247"/>
      <c r="AI256" s="249"/>
    </row>
    <row r="257" spans="1:35">
      <c r="A257" s="247"/>
      <c r="AI257" s="249"/>
    </row>
    <row r="258" spans="1:35">
      <c r="A258" s="247"/>
      <c r="AI258" s="249"/>
    </row>
    <row r="259" spans="1:35">
      <c r="A259" s="247"/>
      <c r="AI259" s="249"/>
    </row>
    <row r="260" spans="1:35">
      <c r="A260" s="247"/>
      <c r="AI260" s="249"/>
    </row>
    <row r="261" spans="1:35">
      <c r="A261" s="247"/>
      <c r="AI261" s="249"/>
    </row>
    <row r="262" spans="1:35">
      <c r="A262" s="247"/>
      <c r="AI262" s="249"/>
    </row>
    <row r="263" spans="1:35">
      <c r="A263" s="247"/>
      <c r="AI263" s="249"/>
    </row>
    <row r="264" spans="1:35">
      <c r="A264" s="247"/>
      <c r="AI264" s="249"/>
    </row>
    <row r="265" spans="1:35">
      <c r="A265" s="247"/>
      <c r="AI265" s="249"/>
    </row>
    <row r="266" spans="1:35">
      <c r="A266" s="247"/>
      <c r="AI266" s="249"/>
    </row>
    <row r="267" spans="1:35">
      <c r="A267" s="247"/>
      <c r="AI267" s="249"/>
    </row>
    <row r="268" spans="1:35">
      <c r="A268" s="247"/>
      <c r="AI268" s="249"/>
    </row>
    <row r="269" spans="1:35">
      <c r="A269" s="247"/>
      <c r="AI269" s="249"/>
    </row>
    <row r="270" spans="1:35">
      <c r="A270" s="247"/>
      <c r="AI270" s="249"/>
    </row>
    <row r="271" spans="1:35">
      <c r="A271" s="247"/>
      <c r="AI271" s="249"/>
    </row>
    <row r="272" spans="1:35">
      <c r="A272" s="247"/>
      <c r="AI272" s="249"/>
    </row>
    <row r="273" spans="1:35">
      <c r="A273" s="247"/>
      <c r="AI273" s="249"/>
    </row>
    <row r="274" spans="1:35">
      <c r="A274" s="247"/>
      <c r="AI274" s="249"/>
    </row>
    <row r="275" spans="1:35">
      <c r="A275" s="247"/>
      <c r="AI275" s="249"/>
    </row>
    <row r="276" spans="1:35">
      <c r="A276" s="247"/>
      <c r="AI276" s="249"/>
    </row>
    <row r="277" spans="1:35">
      <c r="A277" s="247"/>
      <c r="AI277" s="249"/>
    </row>
    <row r="278" spans="1:35">
      <c r="A278" s="247"/>
      <c r="AI278" s="249"/>
    </row>
    <row r="279" spans="1:35">
      <c r="A279" s="247"/>
      <c r="AI279" s="249"/>
    </row>
    <row r="280" spans="1:35">
      <c r="A280" s="247"/>
      <c r="AI280" s="249"/>
    </row>
    <row r="281" spans="1:35">
      <c r="A281" s="247"/>
      <c r="AI281" s="249"/>
    </row>
    <row r="282" spans="1:35">
      <c r="A282" s="247"/>
      <c r="AI282" s="249"/>
    </row>
    <row r="283" spans="1:35">
      <c r="A283" s="247"/>
      <c r="AI283" s="249"/>
    </row>
    <row r="284" spans="1:35">
      <c r="A284" s="247"/>
      <c r="AI284" s="249"/>
    </row>
    <row r="285" spans="1:35">
      <c r="A285" s="247"/>
      <c r="AI285" s="249"/>
    </row>
    <row r="286" spans="1:35">
      <c r="A286" s="247"/>
      <c r="AI286" s="249"/>
    </row>
    <row r="287" spans="1:35">
      <c r="A287" s="247"/>
      <c r="AI287" s="249"/>
    </row>
    <row r="288" spans="1:35">
      <c r="A288" s="247"/>
      <c r="AI288" s="249"/>
    </row>
    <row r="289" spans="1:35">
      <c r="A289" s="247"/>
      <c r="AI289" s="249"/>
    </row>
    <row r="290" spans="1:35">
      <c r="A290" s="247"/>
      <c r="AI290" s="249"/>
    </row>
    <row r="291" spans="1:35">
      <c r="A291" s="247"/>
      <c r="AI291" s="249"/>
    </row>
    <row r="292" spans="1:35">
      <c r="A292" s="247"/>
      <c r="AI292" s="249"/>
    </row>
    <row r="293" spans="1:35">
      <c r="A293" s="247"/>
      <c r="AI293" s="249"/>
    </row>
    <row r="294" spans="1:35">
      <c r="A294" s="247"/>
      <c r="AI294" s="249"/>
    </row>
    <row r="295" spans="1:35">
      <c r="A295" s="247"/>
      <c r="AI295" s="249"/>
    </row>
    <row r="296" spans="1:35">
      <c r="A296" s="247"/>
      <c r="AI296" s="249"/>
    </row>
    <row r="297" spans="1:35">
      <c r="A297" s="247"/>
      <c r="AI297" s="249"/>
    </row>
    <row r="298" spans="1:35">
      <c r="A298" s="247"/>
      <c r="AI298" s="249"/>
    </row>
    <row r="299" spans="1:35">
      <c r="A299" s="247"/>
      <c r="AI299" s="249"/>
    </row>
    <row r="300" spans="1:35">
      <c r="A300" s="247"/>
      <c r="AI300" s="249"/>
    </row>
    <row r="301" spans="1:35">
      <c r="A301" s="247"/>
      <c r="AI301" s="249"/>
    </row>
    <row r="302" spans="1:35">
      <c r="A302" s="247"/>
      <c r="AI302" s="249"/>
    </row>
    <row r="303" spans="1:35">
      <c r="A303" s="247"/>
      <c r="AI303" s="249"/>
    </row>
    <row r="304" spans="1:35">
      <c r="A304" s="247"/>
      <c r="AI304" s="249"/>
    </row>
    <row r="305" spans="1:35">
      <c r="A305" s="247"/>
      <c r="AI305" s="249"/>
    </row>
    <row r="306" spans="1:35">
      <c r="A306" s="247"/>
      <c r="AI306" s="249"/>
    </row>
    <row r="307" spans="1:35">
      <c r="A307" s="247"/>
      <c r="AI307" s="249"/>
    </row>
    <row r="308" spans="1:35">
      <c r="A308" s="247"/>
      <c r="AI308" s="249"/>
    </row>
    <row r="309" spans="1:35">
      <c r="A309" s="247"/>
      <c r="AI309" s="249"/>
    </row>
    <row r="310" spans="1:35">
      <c r="A310" s="247"/>
      <c r="AI310" s="249"/>
    </row>
    <row r="311" spans="1:35">
      <c r="A311" s="247"/>
      <c r="AI311" s="249"/>
    </row>
    <row r="312" spans="1:35">
      <c r="A312" s="247"/>
      <c r="AI312" s="249"/>
    </row>
    <row r="313" spans="1:35">
      <c r="A313" s="247"/>
      <c r="AI313" s="249"/>
    </row>
    <row r="314" spans="1:35">
      <c r="A314" s="247"/>
      <c r="AI314" s="249"/>
    </row>
    <row r="315" spans="1:35">
      <c r="A315" s="247"/>
      <c r="AI315" s="249"/>
    </row>
    <row r="316" spans="1:35">
      <c r="A316" s="247"/>
      <c r="AI316" s="249"/>
    </row>
    <row r="317" spans="1:35">
      <c r="A317" s="247"/>
      <c r="AI317" s="249"/>
    </row>
    <row r="318" spans="1:35">
      <c r="A318" s="247"/>
      <c r="AI318" s="249"/>
    </row>
    <row r="319" spans="1:35">
      <c r="A319" s="247"/>
      <c r="AI319" s="249"/>
    </row>
    <row r="320" spans="1:35">
      <c r="A320" s="248"/>
      <c r="AI320" s="249"/>
    </row>
    <row r="321" spans="1:35">
      <c r="A321" s="248"/>
      <c r="AI321" s="249"/>
    </row>
    <row r="322" spans="1:35">
      <c r="A322" s="248"/>
      <c r="AI322" s="249"/>
    </row>
    <row r="323" spans="1:35">
      <c r="A323" s="248"/>
      <c r="AI323" s="249"/>
    </row>
    <row r="324" spans="1:35">
      <c r="A324" s="248"/>
      <c r="AI324" s="249"/>
    </row>
    <row r="325" spans="1:35">
      <c r="A325" s="248"/>
      <c r="AI325" s="249"/>
    </row>
  </sheetData>
  <sheetProtection sheet="1" objects="1" scenarios="1"/>
  <protectedRanges>
    <protectedRange sqref="AI7:AI10" name="Range1_1"/>
  </protectedRanges>
  <mergeCells count="30">
    <mergeCell ref="AD7:AG7"/>
    <mergeCell ref="AD8:AD9"/>
    <mergeCell ref="AE8:AE9"/>
    <mergeCell ref="AF8:AG8"/>
    <mergeCell ref="AI7:AI9"/>
    <mergeCell ref="AH7:AH9"/>
    <mergeCell ref="H7:AC7"/>
    <mergeCell ref="C3:O3"/>
    <mergeCell ref="A7:G7"/>
    <mergeCell ref="V8:AC8"/>
    <mergeCell ref="A8:A9"/>
    <mergeCell ref="H8:H9"/>
    <mergeCell ref="C8:C9"/>
    <mergeCell ref="J8:J9"/>
    <mergeCell ref="Q4:R4"/>
    <mergeCell ref="B8:B9"/>
    <mergeCell ref="C2:R2"/>
    <mergeCell ref="Q3:R3"/>
    <mergeCell ref="S1:T4"/>
    <mergeCell ref="A5:T5"/>
    <mergeCell ref="C4:O4"/>
    <mergeCell ref="C1:R1"/>
    <mergeCell ref="D8:D9"/>
    <mergeCell ref="M8:U8"/>
    <mergeCell ref="F8:F9"/>
    <mergeCell ref="G8:G9"/>
    <mergeCell ref="I8:I9"/>
    <mergeCell ref="E8:E9"/>
    <mergeCell ref="L8:L9"/>
    <mergeCell ref="K8:K9"/>
  </mergeCells>
  <phoneticPr fontId="21" type="noConversion"/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325"/>
  <sheetViews>
    <sheetView workbookViewId="0">
      <pane xSplit="1" ySplit="9" topLeftCell="G10" activePane="bottomRight" state="frozen"/>
      <selection pane="topRight" activeCell="B1" sqref="B1"/>
      <selection pane="bottomLeft" activeCell="A10" sqref="A10"/>
      <selection pane="bottomRight" activeCell="J20" sqref="J20"/>
    </sheetView>
  </sheetViews>
  <sheetFormatPr defaultColWidth="9.1796875" defaultRowHeight="12.5"/>
  <cols>
    <col min="1" max="1" width="20" style="4" customWidth="1"/>
    <col min="2" max="2" width="13.26953125" style="4" customWidth="1"/>
    <col min="3" max="3" width="11.26953125" style="4" customWidth="1"/>
    <col min="4" max="4" width="18" style="4" customWidth="1"/>
    <col min="5" max="5" width="15.7265625" style="4" customWidth="1"/>
    <col min="6" max="6" width="13.54296875" style="4" customWidth="1"/>
    <col min="7" max="7" width="25.1796875" style="4" customWidth="1"/>
    <col min="8" max="8" width="14.7265625" style="4" customWidth="1"/>
    <col min="9" max="9" width="17" style="4" customWidth="1"/>
    <col min="10" max="10" width="14.26953125" style="4" customWidth="1"/>
    <col min="11" max="11" width="9.7265625" style="4" customWidth="1"/>
    <col min="12" max="12" width="12.7265625" style="4" customWidth="1"/>
    <col min="13" max="13" width="11.26953125" style="4" customWidth="1"/>
    <col min="14" max="14" width="9.26953125" style="4" customWidth="1"/>
    <col min="15" max="15" width="9.54296875" style="4" customWidth="1"/>
    <col min="16" max="16" width="14.7265625" style="4" customWidth="1"/>
    <col min="17" max="17" width="10.81640625" style="4" customWidth="1"/>
    <col min="18" max="18" width="10.7265625" style="4" customWidth="1"/>
    <col min="19" max="19" width="8.7265625" style="4" customWidth="1"/>
    <col min="20" max="20" width="11" style="4" customWidth="1"/>
    <col min="21" max="21" width="9.81640625" style="4" customWidth="1"/>
    <col min="22" max="22" width="16.26953125" style="4" customWidth="1"/>
    <col min="23" max="23" width="24.1796875" style="4" customWidth="1"/>
    <col min="24" max="24" width="32.26953125" style="4" customWidth="1"/>
    <col min="25" max="25" width="12" style="4" customWidth="1"/>
    <col min="26" max="26" width="16" style="4" customWidth="1"/>
    <col min="27" max="27" width="12.7265625" style="4" customWidth="1"/>
    <col min="28" max="28" width="28.453125" style="4" customWidth="1"/>
    <col min="29" max="29" width="13.7265625" style="4" customWidth="1"/>
    <col min="30" max="16384" width="9.1796875" style="4"/>
  </cols>
  <sheetData>
    <row r="1" spans="1:29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7"/>
      <c r="U1" s="166"/>
      <c r="V1" s="167"/>
      <c r="W1" s="17"/>
      <c r="X1" s="17"/>
      <c r="Y1" s="17"/>
      <c r="Z1" s="17"/>
      <c r="AA1" s="17"/>
    </row>
    <row r="2" spans="1:29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60"/>
      <c r="U2" s="168"/>
      <c r="V2" s="169"/>
    </row>
    <row r="3" spans="1:29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  <c r="R3" s="3" t="s">
        <v>1510</v>
      </c>
      <c r="S3" s="164" t="str">
        <f>_FormulaHelpers_!B48</f>
        <v>Base</v>
      </c>
      <c r="T3" s="164"/>
      <c r="U3" s="168"/>
      <c r="V3" s="169"/>
    </row>
    <row r="4" spans="1:29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  <c r="R4" s="3" t="s">
        <v>1795</v>
      </c>
      <c r="S4" s="164" t="str">
        <f>_FormulaHelpers_!B52</f>
        <v>Normal</v>
      </c>
      <c r="T4" s="164"/>
      <c r="U4" s="170"/>
      <c r="V4" s="171"/>
    </row>
    <row r="5" spans="1:29" ht="18.75" customHeight="1">
      <c r="A5" s="154" t="s">
        <v>2089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7"/>
      <c r="X5" s="17"/>
      <c r="Y5" s="17"/>
      <c r="Z5" s="17"/>
      <c r="AA5" s="17"/>
    </row>
    <row r="7" spans="1:29" customFormat="1" ht="15" customHeight="1">
      <c r="A7" s="149" t="s">
        <v>368</v>
      </c>
      <c r="B7" s="149"/>
      <c r="C7" s="149"/>
      <c r="D7" s="149"/>
      <c r="E7" s="149"/>
      <c r="F7" s="149"/>
      <c r="G7" s="149"/>
      <c r="H7" s="110" t="s">
        <v>4796</v>
      </c>
      <c r="I7" s="111"/>
      <c r="J7" s="111"/>
      <c r="K7" s="111"/>
      <c r="L7" s="111"/>
      <c r="M7" s="112"/>
      <c r="N7" s="186" t="s">
        <v>375</v>
      </c>
      <c r="O7" s="187"/>
      <c r="P7" s="187"/>
      <c r="Q7" s="187"/>
      <c r="R7" s="187"/>
      <c r="S7" s="187"/>
      <c r="T7" s="187"/>
      <c r="U7" s="187"/>
      <c r="V7" s="188"/>
      <c r="W7" s="149" t="s">
        <v>12</v>
      </c>
      <c r="X7" s="146" t="s">
        <v>2223</v>
      </c>
      <c r="Y7" s="61"/>
      <c r="Z7" s="61"/>
      <c r="AA7" s="61"/>
      <c r="AB7" s="61"/>
      <c r="AC7" s="61"/>
    </row>
    <row r="8" spans="1:29" customFormat="1" ht="15" customHeight="1">
      <c r="A8" s="149" t="s">
        <v>1576</v>
      </c>
      <c r="B8" s="149" t="s">
        <v>365</v>
      </c>
      <c r="C8" s="149" t="s">
        <v>366</v>
      </c>
      <c r="D8" s="150" t="s">
        <v>2230</v>
      </c>
      <c r="E8" s="150" t="s">
        <v>2152</v>
      </c>
      <c r="F8" s="149" t="s">
        <v>367</v>
      </c>
      <c r="G8" s="149" t="s">
        <v>1512</v>
      </c>
      <c r="H8" s="150" t="s">
        <v>3317</v>
      </c>
      <c r="I8" s="150" t="s">
        <v>3318</v>
      </c>
      <c r="J8" s="198" t="s">
        <v>4793</v>
      </c>
      <c r="K8" s="150" t="s">
        <v>4794</v>
      </c>
      <c r="L8" s="150" t="s">
        <v>372</v>
      </c>
      <c r="M8" s="150" t="s">
        <v>4795</v>
      </c>
      <c r="N8" s="149" t="s">
        <v>1955</v>
      </c>
      <c r="O8" s="149" t="s">
        <v>847</v>
      </c>
      <c r="P8" s="150" t="s">
        <v>372</v>
      </c>
      <c r="Q8" s="186" t="s">
        <v>376</v>
      </c>
      <c r="R8" s="187"/>
      <c r="S8" s="188"/>
      <c r="T8" s="186" t="s">
        <v>2018</v>
      </c>
      <c r="U8" s="187"/>
      <c r="V8" s="188"/>
      <c r="W8" s="149"/>
      <c r="X8" s="147"/>
      <c r="Y8" s="62" t="s">
        <v>2857</v>
      </c>
      <c r="Z8" s="63" t="s">
        <v>2285</v>
      </c>
      <c r="AA8" s="62" t="s">
        <v>2295</v>
      </c>
      <c r="AB8" s="63" t="s">
        <v>2296</v>
      </c>
      <c r="AC8" s="62" t="s">
        <v>2297</v>
      </c>
    </row>
    <row r="9" spans="1:29" customFormat="1" ht="15" customHeight="1">
      <c r="A9" s="149"/>
      <c r="B9" s="149"/>
      <c r="C9" s="149"/>
      <c r="D9" s="152"/>
      <c r="E9" s="152"/>
      <c r="F9" s="149"/>
      <c r="G9" s="149"/>
      <c r="H9" s="152"/>
      <c r="I9" s="152"/>
      <c r="J9" s="199"/>
      <c r="K9" s="152"/>
      <c r="L9" s="152"/>
      <c r="M9" s="152"/>
      <c r="N9" s="149"/>
      <c r="O9" s="149"/>
      <c r="P9" s="152"/>
      <c r="Q9" s="27" t="s">
        <v>377</v>
      </c>
      <c r="R9" s="27" t="s">
        <v>378</v>
      </c>
      <c r="S9" s="27" t="s">
        <v>2090</v>
      </c>
      <c r="T9" s="27" t="s">
        <v>377</v>
      </c>
      <c r="U9" s="27" t="s">
        <v>2091</v>
      </c>
      <c r="V9" s="27" t="s">
        <v>2073</v>
      </c>
      <c r="W9" s="149"/>
      <c r="X9" s="148"/>
      <c r="Y9" s="59"/>
      <c r="Z9" s="59"/>
      <c r="AA9" s="59"/>
      <c r="AB9" s="59"/>
      <c r="AC9" s="59"/>
    </row>
    <row r="10" spans="1:29" customFormat="1" ht="15" customHeight="1">
      <c r="A10" s="13" t="s">
        <v>1853</v>
      </c>
      <c r="B10" s="14" t="s">
        <v>2274</v>
      </c>
      <c r="C10" s="30" t="s">
        <v>2275</v>
      </c>
      <c r="D10" s="13" t="s">
        <v>2231</v>
      </c>
      <c r="E10" s="13" t="s">
        <v>2153</v>
      </c>
      <c r="F10" s="13" t="s">
        <v>1861</v>
      </c>
      <c r="G10" s="13" t="s">
        <v>1854</v>
      </c>
      <c r="H10" s="41" t="s">
        <v>4470</v>
      </c>
      <c r="I10" s="41" t="s">
        <v>4471</v>
      </c>
      <c r="J10" s="41" t="s">
        <v>5108</v>
      </c>
      <c r="K10" s="41" t="s">
        <v>4807</v>
      </c>
      <c r="L10" s="41" t="s">
        <v>373</v>
      </c>
      <c r="M10" s="41" t="s">
        <v>4797</v>
      </c>
      <c r="N10" s="41" t="s">
        <v>369</v>
      </c>
      <c r="O10" s="41" t="s">
        <v>2276</v>
      </c>
      <c r="P10" s="41" t="s">
        <v>373</v>
      </c>
      <c r="Q10" s="41" t="s">
        <v>5084</v>
      </c>
      <c r="R10" s="41" t="s">
        <v>4986</v>
      </c>
      <c r="S10" s="46" t="s">
        <v>5085</v>
      </c>
      <c r="T10" s="41" t="s">
        <v>5086</v>
      </c>
      <c r="U10" s="41" t="s">
        <v>5087</v>
      </c>
      <c r="V10" s="46" t="s">
        <v>5088</v>
      </c>
      <c r="W10" s="34" t="s">
        <v>571</v>
      </c>
      <c r="X10" s="53" t="s">
        <v>2224</v>
      </c>
      <c r="Y10" s="58"/>
      <c r="Z10" s="58"/>
      <c r="AA10" s="58"/>
      <c r="AB10" s="58"/>
      <c r="AC10" s="58"/>
    </row>
    <row r="12" spans="1:29" ht="13">
      <c r="A12" s="6"/>
    </row>
    <row r="13" spans="1:29">
      <c r="A13" s="7"/>
    </row>
    <row r="14" spans="1:29">
      <c r="A14" s="7"/>
    </row>
    <row r="15" spans="1:29">
      <c r="A15" s="7"/>
    </row>
    <row r="16" spans="1:29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X7:X10" name="Range1_1"/>
  </protectedRanges>
  <mergeCells count="30">
    <mergeCell ref="I8:I9"/>
    <mergeCell ref="C1:T1"/>
    <mergeCell ref="N7:V7"/>
    <mergeCell ref="N8:N9"/>
    <mergeCell ref="O8:O9"/>
    <mergeCell ref="Q8:S8"/>
    <mergeCell ref="A5:V5"/>
    <mergeCell ref="A8:A9"/>
    <mergeCell ref="K8:K9"/>
    <mergeCell ref="M8:M9"/>
    <mergeCell ref="W7:W9"/>
    <mergeCell ref="U1:V4"/>
    <mergeCell ref="E8:E9"/>
    <mergeCell ref="T8:V8"/>
    <mergeCell ref="P8:P9"/>
    <mergeCell ref="C8:C9"/>
    <mergeCell ref="C4:Q4"/>
    <mergeCell ref="G8:G9"/>
    <mergeCell ref="C3:Q3"/>
    <mergeCell ref="J8:J9"/>
    <mergeCell ref="X7:X9"/>
    <mergeCell ref="C2:T2"/>
    <mergeCell ref="A7:G7"/>
    <mergeCell ref="S3:T3"/>
    <mergeCell ref="B8:B9"/>
    <mergeCell ref="S4:T4"/>
    <mergeCell ref="D8:D9"/>
    <mergeCell ref="F8:F9"/>
    <mergeCell ref="H8:H9"/>
    <mergeCell ref="L8:L9"/>
  </mergeCells>
  <phoneticPr fontId="21" type="noConversion"/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92"/>
  <sheetViews>
    <sheetView workbookViewId="0">
      <selection activeCell="D11" sqref="D11"/>
    </sheetView>
  </sheetViews>
  <sheetFormatPr defaultRowHeight="12.5"/>
  <cols>
    <col min="1" max="1" width="22.7265625" customWidth="1"/>
    <col min="2" max="2" width="15.54296875" customWidth="1"/>
    <col min="4" max="4" width="20.1796875" customWidth="1"/>
    <col min="5" max="5" width="20" customWidth="1"/>
    <col min="6" max="6" width="15.453125" customWidth="1"/>
    <col min="7" max="7" width="15.81640625" customWidth="1"/>
    <col min="8" max="8" width="20.26953125" customWidth="1"/>
    <col min="9" max="9" width="17.81640625" customWidth="1"/>
    <col min="10" max="10" width="22.1796875" customWidth="1"/>
    <col min="11" max="11" width="23" customWidth="1"/>
    <col min="12" max="12" width="16.81640625" customWidth="1"/>
    <col min="13" max="13" width="24.453125" customWidth="1"/>
    <col min="14" max="14" width="21" customWidth="1"/>
    <col min="17" max="17" width="17.26953125" customWidth="1"/>
    <col min="18" max="18" width="22.81640625" customWidth="1"/>
    <col min="19" max="19" width="36.453125" bestFit="1" customWidth="1"/>
    <col min="20" max="20" width="40.26953125" bestFit="1" customWidth="1"/>
    <col min="21" max="21" width="19.26953125" bestFit="1" customWidth="1"/>
    <col min="22" max="22" width="14.54296875" bestFit="1" customWidth="1"/>
    <col min="23" max="23" width="35" bestFit="1" customWidth="1"/>
    <col min="24" max="24" width="32.54296875" bestFit="1" customWidth="1"/>
    <col min="25" max="25" width="20.81640625" bestFit="1" customWidth="1"/>
    <col min="26" max="26" width="20.453125" bestFit="1" customWidth="1"/>
  </cols>
  <sheetData>
    <row r="1" spans="1:2" ht="13">
      <c r="A1" s="1" t="s">
        <v>1813</v>
      </c>
    </row>
    <row r="2" spans="1:2" ht="13">
      <c r="A2" s="1"/>
    </row>
    <row r="3" spans="1:2" ht="13">
      <c r="A3" s="1" t="s">
        <v>1802</v>
      </c>
      <c r="B3" s="9">
        <v>60</v>
      </c>
    </row>
    <row r="4" spans="1:2" ht="13">
      <c r="A4" s="1" t="s">
        <v>1850</v>
      </c>
      <c r="B4" t="s">
        <v>1851</v>
      </c>
    </row>
    <row r="6" spans="1:2" ht="13">
      <c r="A6" s="1" t="s">
        <v>1809</v>
      </c>
    </row>
    <row r="7" spans="1:2">
      <c r="A7" t="s">
        <v>1797</v>
      </c>
    </row>
    <row r="8" spans="1:2">
      <c r="A8" t="s">
        <v>1798</v>
      </c>
    </row>
    <row r="9" spans="1:2">
      <c r="A9" t="s">
        <v>1799</v>
      </c>
    </row>
    <row r="10" spans="1:2">
      <c r="A10" t="s">
        <v>1800</v>
      </c>
    </row>
    <row r="11" spans="1:2">
      <c r="A11" t="s">
        <v>1801</v>
      </c>
    </row>
    <row r="12" spans="1:2">
      <c r="A12" t="s">
        <v>2146</v>
      </c>
    </row>
    <row r="13" spans="1:2">
      <c r="A13" t="s">
        <v>2147</v>
      </c>
    </row>
    <row r="14" spans="1:2">
      <c r="A14" t="s">
        <v>2148</v>
      </c>
    </row>
    <row r="15" spans="1:2">
      <c r="A15" t="s">
        <v>2149</v>
      </c>
    </row>
    <row r="16" spans="1:2">
      <c r="A16" t="s">
        <v>2150</v>
      </c>
    </row>
    <row r="18" spans="1:2" ht="13">
      <c r="A18" s="1" t="s">
        <v>1837</v>
      </c>
    </row>
    <row r="19" spans="1:2">
      <c r="A19" t="s">
        <v>2141</v>
      </c>
    </row>
    <row r="20" spans="1:2">
      <c r="A20" t="s">
        <v>2142</v>
      </c>
    </row>
    <row r="21" spans="1:2">
      <c r="A21" t="s">
        <v>2143</v>
      </c>
    </row>
    <row r="22" spans="1:2">
      <c r="A22" t="s">
        <v>2144</v>
      </c>
    </row>
    <row r="23" spans="1:2">
      <c r="A23" t="s">
        <v>2145</v>
      </c>
    </row>
    <row r="24" spans="1:2">
      <c r="A24" t="s">
        <v>1825</v>
      </c>
    </row>
    <row r="25" spans="1:2">
      <c r="A25" t="s">
        <v>1826</v>
      </c>
    </row>
    <row r="26" spans="1:2">
      <c r="A26" t="s">
        <v>1827</v>
      </c>
    </row>
    <row r="27" spans="1:2">
      <c r="A27" t="s">
        <v>1828</v>
      </c>
    </row>
    <row r="28" spans="1:2">
      <c r="A28" t="s">
        <v>1829</v>
      </c>
    </row>
    <row r="30" spans="1:2" ht="13">
      <c r="A30" s="1" t="s">
        <v>1836</v>
      </c>
    </row>
    <row r="31" spans="1:2">
      <c r="A31" t="s">
        <v>1870</v>
      </c>
      <c r="B31" t="s">
        <v>1838</v>
      </c>
    </row>
    <row r="32" spans="1:2">
      <c r="A32" t="s">
        <v>1871</v>
      </c>
      <c r="B32" t="s">
        <v>1839</v>
      </c>
    </row>
    <row r="33" spans="1:2">
      <c r="A33" t="s">
        <v>1872</v>
      </c>
      <c r="B33" t="s">
        <v>1516</v>
      </c>
    </row>
    <row r="34" spans="1:2">
      <c r="A34" t="s">
        <v>1873</v>
      </c>
      <c r="B34" t="s">
        <v>1849</v>
      </c>
    </row>
    <row r="35" spans="1:2">
      <c r="A35" t="s">
        <v>1874</v>
      </c>
      <c r="B35" t="s">
        <v>1840</v>
      </c>
    </row>
    <row r="36" spans="1:2">
      <c r="A36" t="s">
        <v>1875</v>
      </c>
      <c r="B36" t="s">
        <v>1841</v>
      </c>
    </row>
    <row r="37" spans="1:2">
      <c r="A37" t="s">
        <v>1876</v>
      </c>
      <c r="B37" t="s">
        <v>1842</v>
      </c>
    </row>
    <row r="38" spans="1:2">
      <c r="A38" t="s">
        <v>1877</v>
      </c>
      <c r="B38" t="s">
        <v>1843</v>
      </c>
    </row>
    <row r="39" spans="1:2">
      <c r="A39" t="s">
        <v>1878</v>
      </c>
      <c r="B39" t="s">
        <v>1844</v>
      </c>
    </row>
    <row r="40" spans="1:2">
      <c r="A40" t="s">
        <v>1879</v>
      </c>
      <c r="B40" t="s">
        <v>1845</v>
      </c>
    </row>
    <row r="42" spans="1:2" ht="13">
      <c r="A42" s="1" t="s">
        <v>1814</v>
      </c>
    </row>
    <row r="43" spans="1:2">
      <c r="A43" t="s">
        <v>5189</v>
      </c>
    </row>
    <row r="44" spans="1:2">
      <c r="A44" t="s">
        <v>5190</v>
      </c>
    </row>
    <row r="45" spans="1:2">
      <c r="A45" t="s">
        <v>5191</v>
      </c>
    </row>
    <row r="46" spans="1:2">
      <c r="A46" t="s">
        <v>5192</v>
      </c>
      <c r="B46" s="2">
        <v>45703</v>
      </c>
    </row>
    <row r="47" spans="1:2">
      <c r="A47" t="s">
        <v>5193</v>
      </c>
    </row>
    <row r="48" spans="1:2">
      <c r="A48" t="s">
        <v>5194</v>
      </c>
      <c r="B48" t="s">
        <v>5195</v>
      </c>
    </row>
    <row r="49" spans="1:2">
      <c r="A49" t="s">
        <v>5196</v>
      </c>
      <c r="B49">
        <v>0</v>
      </c>
    </row>
    <row r="50" spans="1:2">
      <c r="A50" t="s">
        <v>5197</v>
      </c>
      <c r="B50">
        <v>60</v>
      </c>
    </row>
    <row r="51" spans="1:2">
      <c r="A51" t="s">
        <v>5198</v>
      </c>
      <c r="B51">
        <v>1</v>
      </c>
    </row>
    <row r="52" spans="1:2">
      <c r="A52" t="s">
        <v>5199</v>
      </c>
      <c r="B52" t="s">
        <v>5200</v>
      </c>
    </row>
    <row r="54" spans="1:2" ht="13">
      <c r="A54" s="1" t="s">
        <v>1819</v>
      </c>
    </row>
    <row r="55" spans="1:2">
      <c r="A55" s="18" t="s">
        <v>1545</v>
      </c>
    </row>
    <row r="56" spans="1:2">
      <c r="A56" t="s">
        <v>1807</v>
      </c>
    </row>
    <row r="57" spans="1:2">
      <c r="A57" t="s">
        <v>1204</v>
      </c>
    </row>
    <row r="58" spans="1:2">
      <c r="A58" t="s">
        <v>1808</v>
      </c>
    </row>
    <row r="59" spans="1:2">
      <c r="A59" s="18" t="s">
        <v>933</v>
      </c>
    </row>
    <row r="60" spans="1:2">
      <c r="A60" s="18" t="s">
        <v>1355</v>
      </c>
    </row>
    <row r="61" spans="1:2">
      <c r="A61" s="18" t="s">
        <v>1404</v>
      </c>
    </row>
    <row r="62" spans="1:2">
      <c r="A62" t="s">
        <v>1803</v>
      </c>
    </row>
    <row r="63" spans="1:2">
      <c r="A63" t="s">
        <v>1806</v>
      </c>
    </row>
    <row r="64" spans="1:2">
      <c r="A64" t="s">
        <v>1046</v>
      </c>
    </row>
    <row r="65" spans="1:1">
      <c r="A65" t="s">
        <v>934</v>
      </c>
    </row>
    <row r="66" spans="1:1">
      <c r="A66" t="s">
        <v>1185</v>
      </c>
    </row>
    <row r="67" spans="1:1">
      <c r="A67" t="s">
        <v>948</v>
      </c>
    </row>
    <row r="68" spans="1:1">
      <c r="A68" t="s">
        <v>245</v>
      </c>
    </row>
    <row r="69" spans="1:1">
      <c r="A69" t="s">
        <v>2026</v>
      </c>
    </row>
    <row r="70" spans="1:1">
      <c r="A70" t="s">
        <v>2079</v>
      </c>
    </row>
    <row r="71" spans="1:1">
      <c r="A71" t="s">
        <v>2092</v>
      </c>
    </row>
    <row r="72" spans="1:1">
      <c r="A72" s="18" t="s">
        <v>2124</v>
      </c>
    </row>
    <row r="73" spans="1:1">
      <c r="A73" s="18" t="s">
        <v>2108</v>
      </c>
    </row>
    <row r="74" spans="1:1">
      <c r="A74" t="s">
        <v>2313</v>
      </c>
    </row>
    <row r="75" spans="1:1">
      <c r="A75" s="18" t="s">
        <v>2843</v>
      </c>
    </row>
    <row r="76" spans="1:1">
      <c r="A76" s="18" t="s">
        <v>2860</v>
      </c>
    </row>
    <row r="77" spans="1:1">
      <c r="A77" s="18" t="s">
        <v>2861</v>
      </c>
    </row>
    <row r="78" spans="1:1">
      <c r="A78" s="18" t="s">
        <v>2859</v>
      </c>
    </row>
    <row r="79" spans="1:1">
      <c r="A79" t="s">
        <v>2864</v>
      </c>
    </row>
    <row r="80" spans="1:1">
      <c r="A80" s="18" t="s">
        <v>4371</v>
      </c>
    </row>
    <row r="81" spans="1:34">
      <c r="A81" s="18" t="s">
        <v>4404</v>
      </c>
    </row>
    <row r="82" spans="1:34">
      <c r="A82" s="18" t="s">
        <v>4406</v>
      </c>
    </row>
    <row r="83" spans="1:34">
      <c r="A83" s="18" t="s">
        <v>2863</v>
      </c>
    </row>
    <row r="84" spans="1:34">
      <c r="A84" s="18" t="s">
        <v>4405</v>
      </c>
    </row>
    <row r="85" spans="1:34">
      <c r="A85" s="18" t="s">
        <v>4407</v>
      </c>
    </row>
    <row r="86" spans="1:34">
      <c r="A86" s="18" t="s">
        <v>2862</v>
      </c>
    </row>
    <row r="88" spans="1:34" ht="13">
      <c r="A88" s="1" t="s">
        <v>1820</v>
      </c>
    </row>
    <row r="89" spans="1:34">
      <c r="A89" t="s">
        <v>1804</v>
      </c>
    </row>
    <row r="90" spans="1:34">
      <c r="A90" t="s">
        <v>1805</v>
      </c>
    </row>
    <row r="92" spans="1:34" ht="13">
      <c r="A92" s="1" t="s">
        <v>1545</v>
      </c>
      <c r="B92" s="1" t="s">
        <v>1803</v>
      </c>
      <c r="C92" s="1" t="s">
        <v>1807</v>
      </c>
      <c r="D92" s="1" t="s">
        <v>598</v>
      </c>
      <c r="E92" s="1" t="s">
        <v>864</v>
      </c>
      <c r="F92" s="1" t="s">
        <v>935</v>
      </c>
      <c r="G92" s="1" t="s">
        <v>1047</v>
      </c>
      <c r="H92" s="1" t="s">
        <v>1204</v>
      </c>
      <c r="I92" s="1" t="s">
        <v>1404</v>
      </c>
      <c r="J92" s="1" t="s">
        <v>1355</v>
      </c>
      <c r="K92" s="1" t="s">
        <v>1129</v>
      </c>
      <c r="L92" s="1" t="s">
        <v>948</v>
      </c>
      <c r="M92" s="1" t="s">
        <v>245</v>
      </c>
      <c r="N92" s="1" t="s">
        <v>2026</v>
      </c>
      <c r="O92" s="1" t="s">
        <v>2079</v>
      </c>
      <c r="Q92" s="1" t="s">
        <v>2092</v>
      </c>
      <c r="R92" s="1" t="s">
        <v>2108</v>
      </c>
      <c r="S92" s="1" t="s">
        <v>2117</v>
      </c>
      <c r="T92" s="1" t="s">
        <v>2311</v>
      </c>
      <c r="U92" s="1" t="s">
        <v>2830</v>
      </c>
      <c r="V92" s="1" t="s">
        <v>2831</v>
      </c>
      <c r="W92" s="1" t="s">
        <v>2865</v>
      </c>
      <c r="X92" s="1" t="s">
        <v>2866</v>
      </c>
      <c r="Y92" s="1" t="s">
        <v>2867</v>
      </c>
      <c r="Z92" s="1" t="s">
        <v>4384</v>
      </c>
      <c r="AA92" s="1" t="s">
        <v>4370</v>
      </c>
      <c r="AB92" s="1" t="s">
        <v>4408</v>
      </c>
      <c r="AC92" s="1" t="s">
        <v>4409</v>
      </c>
      <c r="AD92" s="1" t="s">
        <v>4410</v>
      </c>
      <c r="AE92" s="1" t="s">
        <v>4411</v>
      </c>
      <c r="AF92" s="1" t="s">
        <v>4618</v>
      </c>
      <c r="AG92" s="1" t="s">
        <v>4667</v>
      </c>
      <c r="AH92" s="1" t="s">
        <v>4965</v>
      </c>
    </row>
    <row r="93" spans="1:34" ht="13.5">
      <c r="A93" s="18" t="s">
        <v>1542</v>
      </c>
      <c r="B93" s="7" t="s">
        <v>1665</v>
      </c>
      <c r="C93" s="18" t="s">
        <v>177</v>
      </c>
      <c r="D93" s="32" t="s">
        <v>53</v>
      </c>
      <c r="E93" s="32" t="s">
        <v>53</v>
      </c>
      <c r="F93" s="32" t="s">
        <v>53</v>
      </c>
      <c r="G93" s="32" t="s">
        <v>1083</v>
      </c>
      <c r="H93" s="32" t="s">
        <v>1235</v>
      </c>
      <c r="I93" s="32" t="s">
        <v>53</v>
      </c>
      <c r="J93" s="32" t="s">
        <v>53</v>
      </c>
      <c r="K93" s="32" t="s">
        <v>1130</v>
      </c>
      <c r="L93" s="32" t="s">
        <v>53</v>
      </c>
      <c r="M93" s="32" t="s">
        <v>53</v>
      </c>
      <c r="N93" s="32" t="s">
        <v>2028</v>
      </c>
      <c r="O93" s="32" t="s">
        <v>53</v>
      </c>
      <c r="Q93" s="32" t="s">
        <v>53</v>
      </c>
      <c r="R93" s="32" t="s">
        <v>53</v>
      </c>
      <c r="S93" s="32" t="s">
        <v>53</v>
      </c>
      <c r="T93" s="32" t="s">
        <v>2315</v>
      </c>
      <c r="U93" t="s">
        <v>1542</v>
      </c>
      <c r="V93" t="s">
        <v>2868</v>
      </c>
      <c r="W93" t="s">
        <v>1542</v>
      </c>
      <c r="X93" t="s">
        <v>1542</v>
      </c>
      <c r="Y93" t="s">
        <v>1542</v>
      </c>
      <c r="Z93" t="s">
        <v>1542</v>
      </c>
      <c r="AA93" t="s">
        <v>1542</v>
      </c>
      <c r="AB93" t="s">
        <v>1542</v>
      </c>
      <c r="AC93" t="s">
        <v>1542</v>
      </c>
      <c r="AD93" t="s">
        <v>1542</v>
      </c>
      <c r="AE93" t="s">
        <v>1542</v>
      </c>
      <c r="AF93" t="s">
        <v>2868</v>
      </c>
      <c r="AG93" t="s">
        <v>1542</v>
      </c>
      <c r="AH93" t="s">
        <v>2574</v>
      </c>
    </row>
    <row r="94" spans="1:34" ht="13.5">
      <c r="A94" s="18" t="s">
        <v>1543</v>
      </c>
      <c r="B94" s="7" t="s">
        <v>1666</v>
      </c>
      <c r="C94" s="18" t="s">
        <v>53</v>
      </c>
      <c r="D94" s="32" t="s">
        <v>54</v>
      </c>
      <c r="E94" s="32" t="s">
        <v>54</v>
      </c>
      <c r="F94" s="32" t="s">
        <v>54</v>
      </c>
      <c r="G94" s="32" t="s">
        <v>1084</v>
      </c>
      <c r="H94" s="32" t="s">
        <v>1236</v>
      </c>
      <c r="I94" s="32" t="s">
        <v>54</v>
      </c>
      <c r="J94" s="32" t="s">
        <v>54</v>
      </c>
      <c r="K94" s="32" t="s">
        <v>1131</v>
      </c>
      <c r="L94" s="32" t="s">
        <v>54</v>
      </c>
      <c r="M94" s="32" t="s">
        <v>54</v>
      </c>
      <c r="N94" s="32" t="s">
        <v>2029</v>
      </c>
      <c r="O94" s="32" t="s">
        <v>54</v>
      </c>
      <c r="Q94" s="32" t="s">
        <v>54</v>
      </c>
      <c r="R94" s="32" t="s">
        <v>54</v>
      </c>
      <c r="S94" s="32" t="s">
        <v>54</v>
      </c>
      <c r="T94" s="32" t="s">
        <v>2316</v>
      </c>
      <c r="U94" t="s">
        <v>1543</v>
      </c>
      <c r="V94" t="s">
        <v>2869</v>
      </c>
      <c r="W94" t="s">
        <v>1543</v>
      </c>
      <c r="X94" t="s">
        <v>1543</v>
      </c>
      <c r="Y94" t="s">
        <v>1543</v>
      </c>
      <c r="Z94" t="s">
        <v>1543</v>
      </c>
      <c r="AA94" t="s">
        <v>1543</v>
      </c>
      <c r="AB94" t="s">
        <v>1543</v>
      </c>
      <c r="AC94" t="s">
        <v>1543</v>
      </c>
      <c r="AD94" t="s">
        <v>1543</v>
      </c>
      <c r="AE94" t="s">
        <v>1543</v>
      </c>
      <c r="AF94" t="s">
        <v>2869</v>
      </c>
      <c r="AG94" t="s">
        <v>1543</v>
      </c>
      <c r="AH94" t="s">
        <v>2575</v>
      </c>
    </row>
    <row r="95" spans="1:34" ht="13.5">
      <c r="A95" s="18" t="s">
        <v>1968</v>
      </c>
      <c r="B95" s="7" t="s">
        <v>1667</v>
      </c>
      <c r="C95" s="18" t="s">
        <v>54</v>
      </c>
      <c r="D95" s="32" t="s">
        <v>705</v>
      </c>
      <c r="E95" s="32" t="s">
        <v>602</v>
      </c>
      <c r="F95" s="32" t="s">
        <v>936</v>
      </c>
      <c r="G95" s="32" t="s">
        <v>1085</v>
      </c>
      <c r="H95" s="32" t="s">
        <v>177</v>
      </c>
      <c r="I95" s="32" t="s">
        <v>1405</v>
      </c>
      <c r="J95" s="32" t="s">
        <v>936</v>
      </c>
      <c r="K95" s="32" t="s">
        <v>1158</v>
      </c>
      <c r="L95" s="32" t="s">
        <v>937</v>
      </c>
      <c r="M95" s="32" t="s">
        <v>246</v>
      </c>
      <c r="N95" s="32" t="s">
        <v>2030</v>
      </c>
      <c r="O95" s="32" t="s">
        <v>602</v>
      </c>
      <c r="Q95" s="32" t="s">
        <v>712</v>
      </c>
      <c r="R95" s="32" t="s">
        <v>203</v>
      </c>
      <c r="S95" s="32" t="s">
        <v>712</v>
      </c>
      <c r="T95" s="32" t="s">
        <v>2317</v>
      </c>
      <c r="U95" t="s">
        <v>2834</v>
      </c>
      <c r="V95" t="s">
        <v>2870</v>
      </c>
      <c r="W95" t="s">
        <v>2871</v>
      </c>
      <c r="X95" t="s">
        <v>2872</v>
      </c>
      <c r="Y95" t="s">
        <v>1545</v>
      </c>
      <c r="Z95" t="s">
        <v>2873</v>
      </c>
      <c r="AA95" t="s">
        <v>3870</v>
      </c>
      <c r="AB95" t="s">
        <v>1546</v>
      </c>
      <c r="AC95" t="s">
        <v>1546</v>
      </c>
      <c r="AD95" t="s">
        <v>1546</v>
      </c>
      <c r="AE95" t="s">
        <v>2896</v>
      </c>
      <c r="AF95" t="s">
        <v>2870</v>
      </c>
      <c r="AG95" t="s">
        <v>2259</v>
      </c>
      <c r="AH95" t="s">
        <v>1522</v>
      </c>
    </row>
    <row r="96" spans="1:34" ht="13.5">
      <c r="A96" s="18" t="s">
        <v>1930</v>
      </c>
      <c r="B96" s="7" t="s">
        <v>1542</v>
      </c>
      <c r="C96" s="18" t="s">
        <v>55</v>
      </c>
      <c r="D96" s="32" t="s">
        <v>706</v>
      </c>
      <c r="E96" s="32" t="s">
        <v>712</v>
      </c>
      <c r="F96" s="32" t="s">
        <v>203</v>
      </c>
      <c r="G96" s="32" t="s">
        <v>53</v>
      </c>
      <c r="H96" s="32" t="s">
        <v>53</v>
      </c>
      <c r="I96" s="32" t="s">
        <v>72</v>
      </c>
      <c r="J96" s="32" t="s">
        <v>72</v>
      </c>
      <c r="K96" s="32" t="s">
        <v>53</v>
      </c>
      <c r="L96" s="32" t="s">
        <v>72</v>
      </c>
      <c r="M96" s="32" t="s">
        <v>247</v>
      </c>
      <c r="N96" s="32" t="s">
        <v>53</v>
      </c>
      <c r="O96" s="32" t="s">
        <v>203</v>
      </c>
      <c r="Q96" s="32" t="s">
        <v>72</v>
      </c>
      <c r="R96" s="32" t="s">
        <v>72</v>
      </c>
      <c r="S96" s="32" t="s">
        <v>72</v>
      </c>
      <c r="T96" s="32" t="s">
        <v>1542</v>
      </c>
      <c r="U96" t="s">
        <v>2835</v>
      </c>
      <c r="V96" t="s">
        <v>2874</v>
      </c>
      <c r="W96" t="s">
        <v>1545</v>
      </c>
      <c r="X96" t="s">
        <v>2875</v>
      </c>
      <c r="Y96" t="s">
        <v>1546</v>
      </c>
      <c r="Z96" t="s">
        <v>1546</v>
      </c>
      <c r="AA96" t="s">
        <v>3871</v>
      </c>
      <c r="AB96" t="s">
        <v>1547</v>
      </c>
      <c r="AC96" t="s">
        <v>1547</v>
      </c>
      <c r="AD96" t="s">
        <v>1547</v>
      </c>
      <c r="AE96" t="s">
        <v>2898</v>
      </c>
      <c r="AF96" t="s">
        <v>2874</v>
      </c>
      <c r="AG96" t="s">
        <v>1546</v>
      </c>
      <c r="AH96" t="s">
        <v>1523</v>
      </c>
    </row>
    <row r="97" spans="1:34" ht="13.5">
      <c r="A97" s="18" t="s">
        <v>1931</v>
      </c>
      <c r="B97" s="7" t="s">
        <v>1543</v>
      </c>
      <c r="C97" s="18" t="s">
        <v>178</v>
      </c>
      <c r="D97" s="32" t="s">
        <v>707</v>
      </c>
      <c r="E97" s="32" t="s">
        <v>72</v>
      </c>
      <c r="F97" s="32" t="s">
        <v>937</v>
      </c>
      <c r="G97" s="32" t="s">
        <v>54</v>
      </c>
      <c r="H97" s="32" t="s">
        <v>54</v>
      </c>
      <c r="I97" s="32" t="s">
        <v>73</v>
      </c>
      <c r="J97" s="32" t="s">
        <v>73</v>
      </c>
      <c r="K97" s="32" t="s">
        <v>54</v>
      </c>
      <c r="L97" s="32" t="s">
        <v>73</v>
      </c>
      <c r="M97" s="32" t="s">
        <v>248</v>
      </c>
      <c r="N97" s="32" t="s">
        <v>54</v>
      </c>
      <c r="O97" s="32" t="s">
        <v>2036</v>
      </c>
      <c r="Q97" s="32" t="s">
        <v>73</v>
      </c>
      <c r="R97" s="32" t="s">
        <v>73</v>
      </c>
      <c r="S97" s="32" t="s">
        <v>73</v>
      </c>
      <c r="T97" s="32" t="s">
        <v>1543</v>
      </c>
      <c r="U97" t="s">
        <v>2836</v>
      </c>
      <c r="V97" t="s">
        <v>2876</v>
      </c>
      <c r="W97" t="s">
        <v>1546</v>
      </c>
      <c r="X97" t="s">
        <v>1931</v>
      </c>
      <c r="Y97" t="s">
        <v>1547</v>
      </c>
      <c r="Z97" t="s">
        <v>1547</v>
      </c>
      <c r="AA97" t="s">
        <v>3872</v>
      </c>
      <c r="AB97" t="s">
        <v>1548</v>
      </c>
      <c r="AC97" t="s">
        <v>1548</v>
      </c>
      <c r="AD97" t="s">
        <v>1548</v>
      </c>
      <c r="AE97" t="s">
        <v>2900</v>
      </c>
      <c r="AF97" t="s">
        <v>2876</v>
      </c>
      <c r="AG97" t="s">
        <v>1547</v>
      </c>
      <c r="AH97" t="s">
        <v>1524</v>
      </c>
    </row>
    <row r="98" spans="1:34" ht="13.5">
      <c r="A98" s="18" t="s">
        <v>1969</v>
      </c>
      <c r="B98" s="7" t="s">
        <v>1544</v>
      </c>
      <c r="C98" s="18" t="s">
        <v>179</v>
      </c>
      <c r="D98" s="32" t="s">
        <v>708</v>
      </c>
      <c r="E98" s="32" t="s">
        <v>73</v>
      </c>
      <c r="F98" s="32" t="s">
        <v>72</v>
      </c>
      <c r="G98" s="32" t="s">
        <v>1086</v>
      </c>
      <c r="H98" s="32" t="s">
        <v>707</v>
      </c>
      <c r="I98" s="32" t="s">
        <v>1406</v>
      </c>
      <c r="J98" s="32" t="s">
        <v>1406</v>
      </c>
      <c r="K98" s="32" t="s">
        <v>1132</v>
      </c>
      <c r="L98" s="32" t="s">
        <v>78</v>
      </c>
      <c r="M98" s="32" t="s">
        <v>602</v>
      </c>
      <c r="N98" s="32" t="s">
        <v>602</v>
      </c>
      <c r="O98" s="32" t="s">
        <v>72</v>
      </c>
      <c r="Q98" s="32" t="s">
        <v>78</v>
      </c>
      <c r="R98" s="32" t="s">
        <v>78</v>
      </c>
      <c r="S98" s="32" t="s">
        <v>78</v>
      </c>
      <c r="T98" s="32" t="s">
        <v>1669</v>
      </c>
      <c r="U98" t="s">
        <v>1546</v>
      </c>
      <c r="V98" t="s">
        <v>2877</v>
      </c>
      <c r="W98" t="s">
        <v>1547</v>
      </c>
      <c r="X98" t="s">
        <v>1669</v>
      </c>
      <c r="Y98" t="s">
        <v>2878</v>
      </c>
      <c r="Z98" t="s">
        <v>1548</v>
      </c>
      <c r="AA98" t="s">
        <v>3873</v>
      </c>
      <c r="AB98" t="s">
        <v>2881</v>
      </c>
      <c r="AC98" t="s">
        <v>2881</v>
      </c>
      <c r="AD98" t="s">
        <v>2881</v>
      </c>
      <c r="AE98" t="s">
        <v>2902</v>
      </c>
      <c r="AF98" t="s">
        <v>2877</v>
      </c>
      <c r="AG98" t="s">
        <v>1548</v>
      </c>
      <c r="AH98" t="s">
        <v>1525</v>
      </c>
    </row>
    <row r="99" spans="1:34" ht="13.5">
      <c r="A99" s="18" t="s">
        <v>1669</v>
      </c>
      <c r="B99" s="7" t="s">
        <v>1668</v>
      </c>
      <c r="C99" s="18" t="s">
        <v>180</v>
      </c>
      <c r="D99" s="32" t="s">
        <v>602</v>
      </c>
      <c r="E99" s="32" t="s">
        <v>78</v>
      </c>
      <c r="F99" s="32" t="s">
        <v>73</v>
      </c>
      <c r="G99" s="32" t="s">
        <v>1087</v>
      </c>
      <c r="H99" s="32" t="s">
        <v>180</v>
      </c>
      <c r="I99" s="32" t="s">
        <v>78</v>
      </c>
      <c r="J99" s="32" t="s">
        <v>78</v>
      </c>
      <c r="K99" s="32" t="s">
        <v>1159</v>
      </c>
      <c r="L99" s="32" t="s">
        <v>949</v>
      </c>
      <c r="M99" s="32" t="s">
        <v>249</v>
      </c>
      <c r="N99" s="32" t="s">
        <v>2031</v>
      </c>
      <c r="O99" s="32" t="s">
        <v>73</v>
      </c>
      <c r="Q99" s="32" t="s">
        <v>252</v>
      </c>
      <c r="R99" s="32" t="s">
        <v>1210</v>
      </c>
      <c r="S99" s="32" t="s">
        <v>252</v>
      </c>
      <c r="T99" s="32" t="s">
        <v>1545</v>
      </c>
      <c r="U99" t="s">
        <v>1547</v>
      </c>
      <c r="V99" t="s">
        <v>2879</v>
      </c>
      <c r="W99" t="s">
        <v>1548</v>
      </c>
      <c r="X99" t="s">
        <v>2880</v>
      </c>
      <c r="Y99" t="s">
        <v>1548</v>
      </c>
      <c r="Z99" t="s">
        <v>2881</v>
      </c>
      <c r="AA99" t="s">
        <v>3874</v>
      </c>
      <c r="AB99" t="s">
        <v>2891</v>
      </c>
      <c r="AC99" t="s">
        <v>2891</v>
      </c>
      <c r="AD99" t="s">
        <v>4414</v>
      </c>
      <c r="AE99" t="s">
        <v>2903</v>
      </c>
      <c r="AF99" t="s">
        <v>2879</v>
      </c>
      <c r="AG99" t="s">
        <v>2881</v>
      </c>
      <c r="AH99" t="s">
        <v>1928</v>
      </c>
    </row>
    <row r="100" spans="1:34" ht="13.5">
      <c r="A100" s="18" t="s">
        <v>1970</v>
      </c>
      <c r="B100" s="7" t="s">
        <v>1669</v>
      </c>
      <c r="C100" s="18" t="s">
        <v>181</v>
      </c>
      <c r="D100" s="32" t="s">
        <v>603</v>
      </c>
      <c r="E100" s="32" t="s">
        <v>610</v>
      </c>
      <c r="F100" s="32" t="s">
        <v>78</v>
      </c>
      <c r="G100" s="32" t="s">
        <v>1088</v>
      </c>
      <c r="H100" s="32" t="s">
        <v>1237</v>
      </c>
      <c r="I100" s="32" t="s">
        <v>83</v>
      </c>
      <c r="J100" s="32" t="s">
        <v>1259</v>
      </c>
      <c r="K100" s="32" t="s">
        <v>1133</v>
      </c>
      <c r="L100" s="32" t="s">
        <v>950</v>
      </c>
      <c r="M100" s="32" t="s">
        <v>250</v>
      </c>
      <c r="N100" s="32" t="s">
        <v>2032</v>
      </c>
      <c r="O100" s="32" t="s">
        <v>1406</v>
      </c>
      <c r="Q100" s="32" t="s">
        <v>1049</v>
      </c>
      <c r="R100" s="32" t="s">
        <v>252</v>
      </c>
      <c r="S100" s="32" t="s">
        <v>1049</v>
      </c>
      <c r="T100" s="32" t="s">
        <v>2318</v>
      </c>
      <c r="U100" t="s">
        <v>1548</v>
      </c>
      <c r="V100" t="s">
        <v>2882</v>
      </c>
      <c r="W100" t="s">
        <v>2328</v>
      </c>
      <c r="X100" t="s">
        <v>2883</v>
      </c>
      <c r="Y100" t="s">
        <v>2884</v>
      </c>
      <c r="Z100" t="s">
        <v>1940</v>
      </c>
      <c r="AA100" t="s">
        <v>3875</v>
      </c>
      <c r="AB100" t="s">
        <v>4412</v>
      </c>
      <c r="AC100" t="s">
        <v>4412</v>
      </c>
      <c r="AD100" t="s">
        <v>2891</v>
      </c>
      <c r="AE100" t="s">
        <v>2905</v>
      </c>
      <c r="AF100" t="s">
        <v>1542</v>
      </c>
      <c r="AG100" t="s">
        <v>2888</v>
      </c>
      <c r="AH100" t="s">
        <v>4858</v>
      </c>
    </row>
    <row r="101" spans="1:34" ht="13.5">
      <c r="A101" s="18" t="s">
        <v>1932</v>
      </c>
      <c r="B101" s="7" t="s">
        <v>1618</v>
      </c>
      <c r="C101" s="18" t="s">
        <v>182</v>
      </c>
      <c r="D101" s="32" t="s">
        <v>604</v>
      </c>
      <c r="E101" s="32" t="s">
        <v>611</v>
      </c>
      <c r="F101" s="32" t="s">
        <v>612</v>
      </c>
      <c r="G101" s="32" t="s">
        <v>203</v>
      </c>
      <c r="H101" s="32" t="s">
        <v>1238</v>
      </c>
      <c r="I101" s="32" t="s">
        <v>84</v>
      </c>
      <c r="J101" s="32" t="s">
        <v>83</v>
      </c>
      <c r="K101" s="32" t="s">
        <v>1134</v>
      </c>
      <c r="L101" s="32" t="s">
        <v>1049</v>
      </c>
      <c r="M101" s="32" t="s">
        <v>203</v>
      </c>
      <c r="N101" s="32" t="s">
        <v>2033</v>
      </c>
      <c r="O101" s="32" t="s">
        <v>78</v>
      </c>
      <c r="Q101" s="32" t="s">
        <v>83</v>
      </c>
      <c r="R101" s="32" t="s">
        <v>83</v>
      </c>
      <c r="S101" s="32" t="s">
        <v>83</v>
      </c>
      <c r="T101" s="32" t="s">
        <v>2319</v>
      </c>
      <c r="U101" s="18" t="s">
        <v>2881</v>
      </c>
      <c r="V101" t="s">
        <v>2885</v>
      </c>
      <c r="W101" t="s">
        <v>1935</v>
      </c>
      <c r="X101" t="s">
        <v>2886</v>
      </c>
      <c r="Y101" t="s">
        <v>2881</v>
      </c>
      <c r="Z101" t="s">
        <v>1535</v>
      </c>
      <c r="AA101" t="s">
        <v>3876</v>
      </c>
      <c r="AB101" t="s">
        <v>1535</v>
      </c>
      <c r="AC101" t="s">
        <v>1535</v>
      </c>
      <c r="AD101" t="s">
        <v>1535</v>
      </c>
      <c r="AE101" t="s">
        <v>1546</v>
      </c>
      <c r="AF101" t="s">
        <v>1543</v>
      </c>
      <c r="AG101" t="s">
        <v>4619</v>
      </c>
      <c r="AH101" t="s">
        <v>1526</v>
      </c>
    </row>
    <row r="102" spans="1:34" ht="13.5">
      <c r="A102" s="18" t="s">
        <v>1933</v>
      </c>
      <c r="B102" s="7" t="s">
        <v>1619</v>
      </c>
      <c r="C102" s="18" t="s">
        <v>183</v>
      </c>
      <c r="D102" s="32" t="s">
        <v>605</v>
      </c>
      <c r="E102" s="32" t="s">
        <v>612</v>
      </c>
      <c r="F102" s="32" t="s">
        <v>938</v>
      </c>
      <c r="G102" s="32" t="s">
        <v>937</v>
      </c>
      <c r="H102" s="32" t="s">
        <v>203</v>
      </c>
      <c r="I102" s="32" t="s">
        <v>42</v>
      </c>
      <c r="J102" s="32" t="s">
        <v>84</v>
      </c>
      <c r="K102" s="32" t="s">
        <v>72</v>
      </c>
      <c r="L102" s="32" t="s">
        <v>951</v>
      </c>
      <c r="M102" s="32" t="s">
        <v>342</v>
      </c>
      <c r="N102" s="32" t="s">
        <v>2034</v>
      </c>
      <c r="O102" s="32" t="s">
        <v>83</v>
      </c>
      <c r="Q102" s="32" t="s">
        <v>84</v>
      </c>
      <c r="R102" s="32" t="s">
        <v>84</v>
      </c>
      <c r="S102" s="32" t="s">
        <v>84</v>
      </c>
      <c r="T102" s="32" t="s">
        <v>2320</v>
      </c>
      <c r="U102" t="s">
        <v>1940</v>
      </c>
      <c r="V102" t="s">
        <v>2887</v>
      </c>
      <c r="W102" t="s">
        <v>1936</v>
      </c>
      <c r="X102" t="s">
        <v>1546</v>
      </c>
      <c r="Y102" t="s">
        <v>2888</v>
      </c>
      <c r="Z102" t="s">
        <v>1763</v>
      </c>
      <c r="AA102" t="s">
        <v>3877</v>
      </c>
      <c r="AB102" t="s">
        <v>1763</v>
      </c>
      <c r="AC102" t="s">
        <v>1763</v>
      </c>
      <c r="AD102" t="s">
        <v>1763</v>
      </c>
      <c r="AE102" t="s">
        <v>1547</v>
      </c>
      <c r="AF102" t="s">
        <v>1669</v>
      </c>
      <c r="AG102" t="s">
        <v>1940</v>
      </c>
      <c r="AH102" t="s">
        <v>1527</v>
      </c>
    </row>
    <row r="103" spans="1:34" ht="13.5">
      <c r="A103" s="18" t="s">
        <v>1971</v>
      </c>
      <c r="B103" s="7" t="s">
        <v>1620</v>
      </c>
      <c r="C103" s="18" t="s">
        <v>184</v>
      </c>
      <c r="D103" s="32" t="s">
        <v>606</v>
      </c>
      <c r="E103" s="32" t="s">
        <v>615</v>
      </c>
      <c r="F103" s="32" t="s">
        <v>939</v>
      </c>
      <c r="G103" s="32" t="s">
        <v>72</v>
      </c>
      <c r="H103" s="32" t="s">
        <v>1205</v>
      </c>
      <c r="I103" s="32" t="s">
        <v>521</v>
      </c>
      <c r="J103" s="32" t="s">
        <v>42</v>
      </c>
      <c r="K103" s="32" t="s">
        <v>73</v>
      </c>
      <c r="L103" s="32" t="s">
        <v>952</v>
      </c>
      <c r="M103" s="32" t="s">
        <v>72</v>
      </c>
      <c r="N103" s="32" t="s">
        <v>2035</v>
      </c>
      <c r="O103" s="32" t="s">
        <v>84</v>
      </c>
      <c r="Q103" s="32" t="s">
        <v>42</v>
      </c>
      <c r="R103" s="32" t="s">
        <v>42</v>
      </c>
      <c r="S103" s="32" t="s">
        <v>42</v>
      </c>
      <c r="T103" s="32" t="s">
        <v>2321</v>
      </c>
      <c r="U103" t="s">
        <v>1535</v>
      </c>
      <c r="V103" t="s">
        <v>2889</v>
      </c>
      <c r="W103" t="s">
        <v>1938</v>
      </c>
      <c r="X103" t="s">
        <v>1547</v>
      </c>
      <c r="Y103" t="s">
        <v>1555</v>
      </c>
      <c r="Z103" t="s">
        <v>2180</v>
      </c>
      <c r="AA103" t="s">
        <v>3878</v>
      </c>
      <c r="AB103" t="s">
        <v>1536</v>
      </c>
      <c r="AC103" t="s">
        <v>1536</v>
      </c>
      <c r="AD103" t="s">
        <v>1536</v>
      </c>
      <c r="AE103" t="s">
        <v>1548</v>
      </c>
      <c r="AF103" t="s">
        <v>1546</v>
      </c>
      <c r="AG103" t="s">
        <v>4620</v>
      </c>
      <c r="AH103" t="s">
        <v>1528</v>
      </c>
    </row>
    <row r="104" spans="1:34" ht="13.5">
      <c r="A104" s="18" t="s">
        <v>1972</v>
      </c>
      <c r="B104" s="7" t="s">
        <v>1621</v>
      </c>
      <c r="C104" s="18" t="s">
        <v>185</v>
      </c>
      <c r="D104" s="32" t="s">
        <v>607</v>
      </c>
      <c r="E104" s="32" t="s">
        <v>616</v>
      </c>
      <c r="F104" s="32" t="s">
        <v>940</v>
      </c>
      <c r="G104" s="32" t="s">
        <v>73</v>
      </c>
      <c r="H104" s="32" t="s">
        <v>1206</v>
      </c>
      <c r="I104" s="32" t="s">
        <v>45</v>
      </c>
      <c r="J104" s="32" t="s">
        <v>521</v>
      </c>
      <c r="K104" s="32" t="s">
        <v>78</v>
      </c>
      <c r="L104" s="32" t="s">
        <v>941</v>
      </c>
      <c r="M104" s="32" t="s">
        <v>73</v>
      </c>
      <c r="N104" s="32" t="s">
        <v>2036</v>
      </c>
      <c r="O104" s="32" t="s">
        <v>254</v>
      </c>
      <c r="Q104" s="32" t="s">
        <v>521</v>
      </c>
      <c r="R104" s="32" t="s">
        <v>521</v>
      </c>
      <c r="S104" s="32" t="s">
        <v>521</v>
      </c>
      <c r="T104" s="32" t="s">
        <v>2322</v>
      </c>
      <c r="U104" s="32" t="s">
        <v>1763</v>
      </c>
      <c r="V104" t="s">
        <v>2890</v>
      </c>
      <c r="W104" t="s">
        <v>1939</v>
      </c>
      <c r="X104" t="s">
        <v>1548</v>
      </c>
      <c r="Y104" t="s">
        <v>2891</v>
      </c>
      <c r="Z104" t="s">
        <v>1536</v>
      </c>
      <c r="AA104" t="s">
        <v>3879</v>
      </c>
      <c r="AB104" t="s">
        <v>1565</v>
      </c>
      <c r="AC104" t="s">
        <v>1565</v>
      </c>
      <c r="AD104" t="s">
        <v>1565</v>
      </c>
      <c r="AE104" t="s">
        <v>2881</v>
      </c>
      <c r="AF104" t="s">
        <v>1547</v>
      </c>
      <c r="AG104" t="s">
        <v>4621</v>
      </c>
      <c r="AH104" t="s">
        <v>1529</v>
      </c>
    </row>
    <row r="105" spans="1:34" ht="13.5">
      <c r="A105" s="18" t="s">
        <v>1973</v>
      </c>
      <c r="B105" s="7" t="s">
        <v>1622</v>
      </c>
      <c r="C105" s="18" t="s">
        <v>186</v>
      </c>
      <c r="D105" s="32" t="s">
        <v>608</v>
      </c>
      <c r="E105" s="32" t="s">
        <v>617</v>
      </c>
      <c r="F105" s="32" t="s">
        <v>941</v>
      </c>
      <c r="G105" s="32" t="s">
        <v>78</v>
      </c>
      <c r="H105" s="32" t="s">
        <v>1239</v>
      </c>
      <c r="I105" s="32" t="s">
        <v>85</v>
      </c>
      <c r="J105" s="32" t="s">
        <v>45</v>
      </c>
      <c r="K105" s="32" t="s">
        <v>1135</v>
      </c>
      <c r="L105" s="32" t="s">
        <v>1052</v>
      </c>
      <c r="M105" s="32" t="s">
        <v>1406</v>
      </c>
      <c r="N105" s="32" t="s">
        <v>72</v>
      </c>
      <c r="O105" s="32" t="s">
        <v>42</v>
      </c>
      <c r="Q105" s="32" t="s">
        <v>2094</v>
      </c>
      <c r="R105" s="32" t="s">
        <v>2110</v>
      </c>
      <c r="S105" s="32" t="s">
        <v>2094</v>
      </c>
      <c r="T105" s="32" t="s">
        <v>2323</v>
      </c>
      <c r="U105" t="s">
        <v>1536</v>
      </c>
      <c r="V105" t="s">
        <v>2892</v>
      </c>
      <c r="W105" t="s">
        <v>1940</v>
      </c>
      <c r="X105" t="s">
        <v>2881</v>
      </c>
      <c r="Y105" t="s">
        <v>2893</v>
      </c>
      <c r="Z105" t="s">
        <v>1565</v>
      </c>
      <c r="AA105" t="s">
        <v>3880</v>
      </c>
      <c r="AB105" t="s">
        <v>1512</v>
      </c>
      <c r="AC105" t="s">
        <v>1512</v>
      </c>
      <c r="AD105" t="s">
        <v>1512</v>
      </c>
      <c r="AE105" t="s">
        <v>4414</v>
      </c>
      <c r="AF105" t="s">
        <v>2907</v>
      </c>
      <c r="AG105" t="s">
        <v>4622</v>
      </c>
      <c r="AH105" t="s">
        <v>1530</v>
      </c>
    </row>
    <row r="106" spans="1:34" ht="13.5">
      <c r="A106" s="18" t="s">
        <v>1974</v>
      </c>
      <c r="B106" s="7" t="s">
        <v>1623</v>
      </c>
      <c r="C106" s="18" t="s">
        <v>187</v>
      </c>
      <c r="D106" s="32" t="s">
        <v>709</v>
      </c>
      <c r="E106" s="32" t="s">
        <v>619</v>
      </c>
      <c r="F106" s="32" t="s">
        <v>942</v>
      </c>
      <c r="G106" s="32" t="s">
        <v>1048</v>
      </c>
      <c r="H106" s="32" t="s">
        <v>1240</v>
      </c>
      <c r="I106" s="32" t="s">
        <v>234</v>
      </c>
      <c r="J106" s="32" t="s">
        <v>1263</v>
      </c>
      <c r="K106" s="32" t="s">
        <v>1136</v>
      </c>
      <c r="L106" s="32" t="s">
        <v>953</v>
      </c>
      <c r="M106" s="32" t="s">
        <v>78</v>
      </c>
      <c r="N106" s="32" t="s">
        <v>73</v>
      </c>
      <c r="O106" s="32" t="s">
        <v>521</v>
      </c>
      <c r="Q106" s="32" t="s">
        <v>45</v>
      </c>
      <c r="R106" s="32" t="s">
        <v>2094</v>
      </c>
      <c r="S106" s="32" t="s">
        <v>45</v>
      </c>
      <c r="T106" s="32" t="s">
        <v>1546</v>
      </c>
      <c r="U106" t="s">
        <v>1565</v>
      </c>
      <c r="V106" t="s">
        <v>1542</v>
      </c>
      <c r="W106" t="s">
        <v>2336</v>
      </c>
      <c r="X106" t="s">
        <v>1938</v>
      </c>
      <c r="Y106" t="s">
        <v>2894</v>
      </c>
      <c r="Z106" t="s">
        <v>1512</v>
      </c>
      <c r="AA106" t="s">
        <v>1669</v>
      </c>
      <c r="AB106" t="s">
        <v>1980</v>
      </c>
      <c r="AC106" t="s">
        <v>1980</v>
      </c>
      <c r="AD106" t="s">
        <v>3011</v>
      </c>
      <c r="AE106" t="s">
        <v>2891</v>
      </c>
      <c r="AF106" t="s">
        <v>4456</v>
      </c>
      <c r="AG106" t="s">
        <v>1535</v>
      </c>
      <c r="AH106" t="s">
        <v>2571</v>
      </c>
    </row>
    <row r="107" spans="1:34" ht="13.5">
      <c r="A107" s="18" t="s">
        <v>1975</v>
      </c>
      <c r="B107" s="7" t="s">
        <v>1624</v>
      </c>
      <c r="C107" s="18" t="s">
        <v>188</v>
      </c>
      <c r="D107" s="32" t="s">
        <v>710</v>
      </c>
      <c r="E107" s="32" t="s">
        <v>622</v>
      </c>
      <c r="F107" s="32" t="s">
        <v>943</v>
      </c>
      <c r="G107" s="32" t="s">
        <v>1049</v>
      </c>
      <c r="H107" s="32" t="s">
        <v>1241</v>
      </c>
      <c r="I107" s="32" t="s">
        <v>240</v>
      </c>
      <c r="J107" s="32" t="s">
        <v>85</v>
      </c>
      <c r="K107" s="32" t="s">
        <v>1049</v>
      </c>
      <c r="L107" s="32" t="s">
        <v>954</v>
      </c>
      <c r="M107" s="32" t="s">
        <v>251</v>
      </c>
      <c r="N107" s="32" t="s">
        <v>1406</v>
      </c>
      <c r="O107" s="32" t="s">
        <v>2080</v>
      </c>
      <c r="Q107" s="32" t="s">
        <v>85</v>
      </c>
      <c r="R107" s="32" t="s">
        <v>45</v>
      </c>
      <c r="S107" s="32" t="s">
        <v>85</v>
      </c>
      <c r="T107" s="32" t="s">
        <v>1547</v>
      </c>
      <c r="U107" t="s">
        <v>1512</v>
      </c>
      <c r="V107" t="s">
        <v>1543</v>
      </c>
      <c r="W107" t="s">
        <v>2340</v>
      </c>
      <c r="X107" t="s">
        <v>1939</v>
      </c>
      <c r="Y107" t="s">
        <v>2895</v>
      </c>
      <c r="Z107" t="s">
        <v>1980</v>
      </c>
      <c r="AA107" t="s">
        <v>1546</v>
      </c>
      <c r="AB107" t="s">
        <v>1524</v>
      </c>
      <c r="AC107" t="s">
        <v>1524</v>
      </c>
      <c r="AD107" t="s">
        <v>3013</v>
      </c>
      <c r="AE107" t="s">
        <v>2968</v>
      </c>
      <c r="AF107" t="s">
        <v>2911</v>
      </c>
      <c r="AG107" t="s">
        <v>1763</v>
      </c>
      <c r="AH107" t="s">
        <v>2573</v>
      </c>
    </row>
    <row r="108" spans="1:34" ht="13.5">
      <c r="A108" s="18" t="s">
        <v>1976</v>
      </c>
      <c r="B108" s="7" t="s">
        <v>1545</v>
      </c>
      <c r="C108" s="18" t="s">
        <v>189</v>
      </c>
      <c r="D108" s="32" t="s">
        <v>711</v>
      </c>
      <c r="E108" s="32" t="s">
        <v>83</v>
      </c>
      <c r="F108" s="32" t="s">
        <v>42</v>
      </c>
      <c r="G108" s="32" t="s">
        <v>1050</v>
      </c>
      <c r="H108" s="32" t="s">
        <v>1242</v>
      </c>
      <c r="I108" s="32" t="s">
        <v>31</v>
      </c>
      <c r="J108" s="32" t="s">
        <v>234</v>
      </c>
      <c r="K108" s="32" t="s">
        <v>1137</v>
      </c>
      <c r="L108" s="32" t="s">
        <v>42</v>
      </c>
      <c r="M108" s="32" t="s">
        <v>252</v>
      </c>
      <c r="N108" s="32" t="s">
        <v>2037</v>
      </c>
      <c r="O108" s="32" t="s">
        <v>45</v>
      </c>
      <c r="Q108" s="32" t="s">
        <v>2095</v>
      </c>
      <c r="R108" s="32" t="s">
        <v>85</v>
      </c>
      <c r="S108" s="32" t="s">
        <v>2095</v>
      </c>
      <c r="T108" s="32" t="s">
        <v>2324</v>
      </c>
      <c r="U108" t="s">
        <v>1980</v>
      </c>
      <c r="V108" t="s">
        <v>2896</v>
      </c>
      <c r="W108" t="s">
        <v>1535</v>
      </c>
      <c r="X108" t="s">
        <v>1940</v>
      </c>
      <c r="Y108" t="s">
        <v>2897</v>
      </c>
      <c r="Z108" t="s">
        <v>1524</v>
      </c>
      <c r="AA108" t="s">
        <v>1547</v>
      </c>
      <c r="AB108" t="s">
        <v>1676</v>
      </c>
      <c r="AC108" t="s">
        <v>1676</v>
      </c>
      <c r="AD108" t="s">
        <v>3015</v>
      </c>
      <c r="AE108" t="s">
        <v>2970</v>
      </c>
      <c r="AF108" t="s">
        <v>2967</v>
      </c>
      <c r="AG108" t="s">
        <v>4623</v>
      </c>
      <c r="AH108" t="s">
        <v>2572</v>
      </c>
    </row>
    <row r="109" spans="1:34" ht="13.5">
      <c r="A109" s="18" t="s">
        <v>1977</v>
      </c>
      <c r="B109" s="7" t="s">
        <v>1625</v>
      </c>
      <c r="C109" s="18" t="s">
        <v>56</v>
      </c>
      <c r="D109" s="32" t="s">
        <v>712</v>
      </c>
      <c r="E109" s="32" t="s">
        <v>84</v>
      </c>
      <c r="F109" s="32" t="s">
        <v>521</v>
      </c>
      <c r="G109" s="32" t="s">
        <v>1051</v>
      </c>
      <c r="H109" s="32" t="s">
        <v>72</v>
      </c>
      <c r="I109" s="32" t="s">
        <v>522</v>
      </c>
      <c r="J109" s="32" t="s">
        <v>240</v>
      </c>
      <c r="K109" s="32" t="s">
        <v>1138</v>
      </c>
      <c r="L109" s="32" t="s">
        <v>521</v>
      </c>
      <c r="M109" s="32" t="s">
        <v>253</v>
      </c>
      <c r="N109" s="32" t="s">
        <v>78</v>
      </c>
      <c r="O109" s="32" t="s">
        <v>85</v>
      </c>
      <c r="Q109" s="32" t="s">
        <v>1033</v>
      </c>
      <c r="R109" s="32" t="s">
        <v>234</v>
      </c>
      <c r="S109" s="32" t="s">
        <v>1033</v>
      </c>
      <c r="T109" s="32" t="s">
        <v>1548</v>
      </c>
      <c r="U109" t="s">
        <v>1524</v>
      </c>
      <c r="V109" t="s">
        <v>2898</v>
      </c>
      <c r="W109" t="s">
        <v>1763</v>
      </c>
      <c r="X109" t="s">
        <v>2340</v>
      </c>
      <c r="Y109" t="s">
        <v>2899</v>
      </c>
      <c r="Z109" t="s">
        <v>1676</v>
      </c>
      <c r="AA109" t="s">
        <v>2907</v>
      </c>
      <c r="AB109" t="s">
        <v>1525</v>
      </c>
      <c r="AC109" t="s">
        <v>1525</v>
      </c>
      <c r="AD109" t="s">
        <v>3017</v>
      </c>
      <c r="AE109" t="s">
        <v>4424</v>
      </c>
      <c r="AF109" t="s">
        <v>2968</v>
      </c>
      <c r="AG109" t="s">
        <v>1536</v>
      </c>
      <c r="AH109" t="s">
        <v>2570</v>
      </c>
    </row>
    <row r="110" spans="1:34" ht="13.5">
      <c r="A110" s="18" t="s">
        <v>1978</v>
      </c>
      <c r="B110" s="7" t="s">
        <v>1626</v>
      </c>
      <c r="C110" s="18" t="s">
        <v>57</v>
      </c>
      <c r="D110" s="32" t="s">
        <v>713</v>
      </c>
      <c r="E110" s="32" t="s">
        <v>625</v>
      </c>
      <c r="F110" s="32" t="s">
        <v>944</v>
      </c>
      <c r="G110" s="32" t="s">
        <v>941</v>
      </c>
      <c r="H110" s="32" t="s">
        <v>73</v>
      </c>
      <c r="I110" s="32" t="s">
        <v>384</v>
      </c>
      <c r="J110" s="32" t="s">
        <v>31</v>
      </c>
      <c r="K110" s="32" t="s">
        <v>941</v>
      </c>
      <c r="L110" s="32" t="s">
        <v>45</v>
      </c>
      <c r="M110" s="32" t="s">
        <v>83</v>
      </c>
      <c r="N110" s="32" t="s">
        <v>251</v>
      </c>
      <c r="O110" s="32" t="s">
        <v>234</v>
      </c>
      <c r="Q110" s="32" t="s">
        <v>31</v>
      </c>
      <c r="R110" s="32" t="s">
        <v>2109</v>
      </c>
      <c r="S110" s="32" t="s">
        <v>31</v>
      </c>
      <c r="T110" s="32" t="s">
        <v>2325</v>
      </c>
      <c r="U110" t="s">
        <v>1676</v>
      </c>
      <c r="V110" t="s">
        <v>2900</v>
      </c>
      <c r="W110" t="s">
        <v>2344</v>
      </c>
      <c r="X110" t="s">
        <v>1535</v>
      </c>
      <c r="Y110" t="s">
        <v>2901</v>
      </c>
      <c r="Z110" t="s">
        <v>1525</v>
      </c>
      <c r="AA110" t="s">
        <v>3881</v>
      </c>
      <c r="AB110" t="s">
        <v>1540</v>
      </c>
      <c r="AC110" t="s">
        <v>1540</v>
      </c>
      <c r="AD110" t="s">
        <v>3019</v>
      </c>
      <c r="AE110" t="s">
        <v>1535</v>
      </c>
      <c r="AF110" t="s">
        <v>4424</v>
      </c>
      <c r="AG110" t="s">
        <v>1565</v>
      </c>
      <c r="AH110" t="s">
        <v>1532</v>
      </c>
    </row>
    <row r="111" spans="1:34" ht="13.5">
      <c r="A111" s="18" t="s">
        <v>1546</v>
      </c>
      <c r="B111" s="7" t="s">
        <v>1627</v>
      </c>
      <c r="C111" s="18" t="s">
        <v>190</v>
      </c>
      <c r="D111" s="32" t="s">
        <v>609</v>
      </c>
      <c r="E111" s="32" t="s">
        <v>726</v>
      </c>
      <c r="F111" s="32" t="s">
        <v>45</v>
      </c>
      <c r="G111" s="32" t="s">
        <v>1052</v>
      </c>
      <c r="H111" s="32" t="s">
        <v>1243</v>
      </c>
      <c r="I111" s="32" t="s">
        <v>32</v>
      </c>
      <c r="J111" s="32" t="s">
        <v>522</v>
      </c>
      <c r="K111" s="32" t="s">
        <v>1052</v>
      </c>
      <c r="L111" s="32" t="s">
        <v>85</v>
      </c>
      <c r="M111" s="32" t="s">
        <v>84</v>
      </c>
      <c r="N111" s="32" t="s">
        <v>252</v>
      </c>
      <c r="O111" s="32" t="s">
        <v>255</v>
      </c>
      <c r="Q111" s="32" t="s">
        <v>522</v>
      </c>
      <c r="R111" s="32" t="s">
        <v>240</v>
      </c>
      <c r="S111" s="32" t="s">
        <v>522</v>
      </c>
      <c r="T111" s="32" t="s">
        <v>2326</v>
      </c>
      <c r="U111" t="s">
        <v>1525</v>
      </c>
      <c r="V111" t="s">
        <v>2902</v>
      </c>
      <c r="W111" t="s">
        <v>2347</v>
      </c>
      <c r="X111" t="s">
        <v>1763</v>
      </c>
      <c r="Y111" t="s">
        <v>1535</v>
      </c>
      <c r="Z111" t="s">
        <v>2833</v>
      </c>
      <c r="AA111" t="s">
        <v>3882</v>
      </c>
      <c r="AB111" t="s">
        <v>1541</v>
      </c>
      <c r="AC111" t="s">
        <v>1541</v>
      </c>
      <c r="AD111" t="s">
        <v>3021</v>
      </c>
      <c r="AE111" t="s">
        <v>1763</v>
      </c>
      <c r="AF111" t="s">
        <v>2971</v>
      </c>
      <c r="AG111" t="s">
        <v>1674</v>
      </c>
      <c r="AH111" t="s">
        <v>1531</v>
      </c>
    </row>
    <row r="112" spans="1:34" ht="13.5">
      <c r="A112" s="18" t="s">
        <v>1547</v>
      </c>
      <c r="B112" s="7" t="s">
        <v>1628</v>
      </c>
      <c r="C112" s="18" t="s">
        <v>191</v>
      </c>
      <c r="D112" s="32" t="s">
        <v>72</v>
      </c>
      <c r="E112" s="32" t="s">
        <v>42</v>
      </c>
      <c r="F112" s="32" t="s">
        <v>85</v>
      </c>
      <c r="G112" s="32" t="s">
        <v>1053</v>
      </c>
      <c r="H112" s="32" t="s">
        <v>1207</v>
      </c>
      <c r="I112" s="32" t="s">
        <v>90</v>
      </c>
      <c r="J112" s="32" t="s">
        <v>384</v>
      </c>
      <c r="K112" s="32" t="s">
        <v>1139</v>
      </c>
      <c r="L112" s="32" t="s">
        <v>730</v>
      </c>
      <c r="M112" s="32" t="s">
        <v>254</v>
      </c>
      <c r="N112" s="32" t="s">
        <v>83</v>
      </c>
      <c r="O112" s="32" t="s">
        <v>240</v>
      </c>
      <c r="Q112" s="32" t="s">
        <v>384</v>
      </c>
      <c r="R112" s="32" t="s">
        <v>31</v>
      </c>
      <c r="S112" s="32" t="s">
        <v>384</v>
      </c>
      <c r="T112" s="32" t="s">
        <v>2327</v>
      </c>
      <c r="U112" t="s">
        <v>2833</v>
      </c>
      <c r="V112" t="s">
        <v>2903</v>
      </c>
      <c r="W112" t="s">
        <v>2348</v>
      </c>
      <c r="X112" t="s">
        <v>2904</v>
      </c>
      <c r="Y112" t="s">
        <v>1763</v>
      </c>
      <c r="Z112" t="s">
        <v>1540</v>
      </c>
      <c r="AA112" t="s">
        <v>3883</v>
      </c>
      <c r="AB112" t="s">
        <v>1539</v>
      </c>
      <c r="AC112" t="s">
        <v>1539</v>
      </c>
      <c r="AD112" t="s">
        <v>3022</v>
      </c>
      <c r="AE112" t="s">
        <v>1536</v>
      </c>
      <c r="AF112" t="s">
        <v>1535</v>
      </c>
      <c r="AG112" t="s">
        <v>1512</v>
      </c>
      <c r="AH112" t="s">
        <v>1534</v>
      </c>
    </row>
    <row r="113" spans="1:34" ht="13.5">
      <c r="A113" s="18" t="s">
        <v>1934</v>
      </c>
      <c r="B113" s="7" t="s">
        <v>1629</v>
      </c>
      <c r="C113" s="18" t="s">
        <v>192</v>
      </c>
      <c r="D113" s="32" t="s">
        <v>73</v>
      </c>
      <c r="E113" s="32" t="s">
        <v>521</v>
      </c>
      <c r="F113" s="32" t="s">
        <v>730</v>
      </c>
      <c r="G113" s="32" t="s">
        <v>42</v>
      </c>
      <c r="H113" s="32" t="s">
        <v>1208</v>
      </c>
      <c r="I113" s="32" t="s">
        <v>49</v>
      </c>
      <c r="J113" s="32" t="s">
        <v>32</v>
      </c>
      <c r="K113" s="32" t="s">
        <v>42</v>
      </c>
      <c r="L113" s="32" t="s">
        <v>234</v>
      </c>
      <c r="M113" s="32" t="s">
        <v>42</v>
      </c>
      <c r="N113" s="32" t="s">
        <v>84</v>
      </c>
      <c r="O113" s="32" t="s">
        <v>31</v>
      </c>
      <c r="Q113" s="32" t="s">
        <v>32</v>
      </c>
      <c r="R113" s="32" t="s">
        <v>522</v>
      </c>
      <c r="S113" s="32" t="s">
        <v>32</v>
      </c>
      <c r="T113" s="32" t="s">
        <v>2328</v>
      </c>
      <c r="U113" t="s">
        <v>1540</v>
      </c>
      <c r="V113" t="s">
        <v>2905</v>
      </c>
      <c r="W113" t="s">
        <v>1536</v>
      </c>
      <c r="X113" t="s">
        <v>1942</v>
      </c>
      <c r="Y113" t="s">
        <v>1564</v>
      </c>
      <c r="Z113" t="s">
        <v>1541</v>
      </c>
      <c r="AA113" t="s">
        <v>3884</v>
      </c>
      <c r="AB113" t="s">
        <v>1538</v>
      </c>
      <c r="AC113" t="s">
        <v>1538</v>
      </c>
      <c r="AD113" t="s">
        <v>3023</v>
      </c>
      <c r="AE113" t="s">
        <v>2975</v>
      </c>
      <c r="AF113" t="s">
        <v>1763</v>
      </c>
      <c r="AG113" t="s">
        <v>4624</v>
      </c>
      <c r="AH113" t="s">
        <v>1533</v>
      </c>
    </row>
    <row r="114" spans="1:34" ht="13.5">
      <c r="A114" s="18" t="s">
        <v>1548</v>
      </c>
      <c r="B114" s="7" t="s">
        <v>1630</v>
      </c>
      <c r="C114" s="18" t="s">
        <v>58</v>
      </c>
      <c r="D114" s="32" t="s">
        <v>78</v>
      </c>
      <c r="E114" s="32" t="s">
        <v>45</v>
      </c>
      <c r="F114" s="32" t="s">
        <v>234</v>
      </c>
      <c r="G114" s="32" t="s">
        <v>521</v>
      </c>
      <c r="H114" s="32" t="s">
        <v>1244</v>
      </c>
      <c r="I114" s="32" t="s">
        <v>50</v>
      </c>
      <c r="J114" s="32" t="s">
        <v>90</v>
      </c>
      <c r="K114" s="32" t="s">
        <v>521</v>
      </c>
      <c r="L114" s="32" t="s">
        <v>955</v>
      </c>
      <c r="M114" s="32" t="s">
        <v>521</v>
      </c>
      <c r="N114" s="32" t="s">
        <v>2038</v>
      </c>
      <c r="O114" s="32" t="s">
        <v>522</v>
      </c>
      <c r="Q114" s="32" t="s">
        <v>271</v>
      </c>
      <c r="R114" s="32" t="s">
        <v>384</v>
      </c>
      <c r="S114" s="32" t="s">
        <v>49</v>
      </c>
      <c r="T114" s="32" t="s">
        <v>2329</v>
      </c>
      <c r="U114" t="s">
        <v>1541</v>
      </c>
      <c r="V114" t="s">
        <v>1546</v>
      </c>
      <c r="W114" t="s">
        <v>2374</v>
      </c>
      <c r="X114" t="s">
        <v>2347</v>
      </c>
      <c r="Y114" t="s">
        <v>1536</v>
      </c>
      <c r="Z114" t="s">
        <v>1539</v>
      </c>
      <c r="AA114" t="s">
        <v>3885</v>
      </c>
      <c r="AB114" t="s">
        <v>1537</v>
      </c>
      <c r="AC114" t="s">
        <v>1537</v>
      </c>
      <c r="AD114" t="s">
        <v>3024</v>
      </c>
      <c r="AE114" t="s">
        <v>2978</v>
      </c>
      <c r="AF114" t="s">
        <v>1536</v>
      </c>
      <c r="AG114" t="s">
        <v>1980</v>
      </c>
      <c r="AH114" t="s">
        <v>1535</v>
      </c>
    </row>
    <row r="115" spans="1:34" ht="13.5">
      <c r="A115" s="18" t="s">
        <v>1935</v>
      </c>
      <c r="B115" s="7" t="s">
        <v>1631</v>
      </c>
      <c r="C115" s="18" t="s">
        <v>59</v>
      </c>
      <c r="D115" s="32" t="s">
        <v>610</v>
      </c>
      <c r="E115" s="32" t="s">
        <v>728</v>
      </c>
      <c r="F115" s="32" t="s">
        <v>735</v>
      </c>
      <c r="G115" s="32" t="s">
        <v>944</v>
      </c>
      <c r="H115" s="32" t="s">
        <v>1245</v>
      </c>
      <c r="I115" s="32" t="s">
        <v>48</v>
      </c>
      <c r="J115" s="32" t="s">
        <v>49</v>
      </c>
      <c r="K115" s="32" t="s">
        <v>944</v>
      </c>
      <c r="L115" s="32" t="s">
        <v>1033</v>
      </c>
      <c r="M115" s="32" t="s">
        <v>45</v>
      </c>
      <c r="N115" s="32" t="s">
        <v>2039</v>
      </c>
      <c r="O115" s="32" t="s">
        <v>349</v>
      </c>
      <c r="Q115" s="32" t="s">
        <v>49</v>
      </c>
      <c r="R115" s="32" t="s">
        <v>32</v>
      </c>
      <c r="S115" s="32" t="s">
        <v>50</v>
      </c>
      <c r="T115" s="32" t="s">
        <v>2330</v>
      </c>
      <c r="U115" t="s">
        <v>1539</v>
      </c>
      <c r="V115" t="s">
        <v>1547</v>
      </c>
      <c r="W115" t="s">
        <v>1565</v>
      </c>
      <c r="X115" t="s">
        <v>2348</v>
      </c>
      <c r="Y115" t="s">
        <v>2906</v>
      </c>
      <c r="Z115" t="s">
        <v>1538</v>
      </c>
      <c r="AA115" t="s">
        <v>3886</v>
      </c>
      <c r="AB115" t="s">
        <v>1526</v>
      </c>
      <c r="AC115" t="s">
        <v>1526</v>
      </c>
      <c r="AD115" t="s">
        <v>3027</v>
      </c>
      <c r="AE115" t="s">
        <v>2980</v>
      </c>
      <c r="AF115" t="s">
        <v>2372</v>
      </c>
      <c r="AG115" t="s">
        <v>4625</v>
      </c>
      <c r="AH115" t="s">
        <v>1927</v>
      </c>
    </row>
    <row r="116" spans="1:34" ht="13.5">
      <c r="A116" s="18" t="s">
        <v>1936</v>
      </c>
      <c r="B116" s="7" t="s">
        <v>1632</v>
      </c>
      <c r="C116" s="18" t="s">
        <v>193</v>
      </c>
      <c r="D116" s="32" t="s">
        <v>611</v>
      </c>
      <c r="E116" s="32" t="s">
        <v>729</v>
      </c>
      <c r="F116" s="32" t="s">
        <v>1033</v>
      </c>
      <c r="G116" s="32" t="s">
        <v>45</v>
      </c>
      <c r="H116" s="32" t="s">
        <v>1209</v>
      </c>
      <c r="I116" s="32" t="s">
        <v>47</v>
      </c>
      <c r="J116" s="32" t="s">
        <v>50</v>
      </c>
      <c r="K116" s="32" t="s">
        <v>1140</v>
      </c>
      <c r="L116" s="32" t="s">
        <v>31</v>
      </c>
      <c r="M116" s="32" t="s">
        <v>85</v>
      </c>
      <c r="N116" s="32" t="s">
        <v>42</v>
      </c>
      <c r="O116" s="32" t="s">
        <v>350</v>
      </c>
      <c r="Q116" s="32" t="s">
        <v>50</v>
      </c>
      <c r="R116" s="32" t="s">
        <v>271</v>
      </c>
      <c r="S116" s="32" t="s">
        <v>48</v>
      </c>
      <c r="T116" s="32" t="s">
        <v>2331</v>
      </c>
      <c r="U116" t="s">
        <v>1538</v>
      </c>
      <c r="V116" t="s">
        <v>2907</v>
      </c>
      <c r="W116" t="s">
        <v>2375</v>
      </c>
      <c r="X116" t="s">
        <v>1536</v>
      </c>
      <c r="Y116" t="s">
        <v>2908</v>
      </c>
      <c r="Z116" t="s">
        <v>1537</v>
      </c>
      <c r="AA116" t="s">
        <v>3887</v>
      </c>
      <c r="AB116" t="s">
        <v>1576</v>
      </c>
      <c r="AC116" t="s">
        <v>1576</v>
      </c>
      <c r="AD116" t="s">
        <v>3029</v>
      </c>
      <c r="AE116" t="s">
        <v>2983</v>
      </c>
      <c r="AF116" t="s">
        <v>1565</v>
      </c>
      <c r="AG116" t="s">
        <v>4626</v>
      </c>
      <c r="AH116" t="s">
        <v>2717</v>
      </c>
    </row>
    <row r="117" spans="1:34" ht="13.5">
      <c r="A117" s="18" t="s">
        <v>1937</v>
      </c>
      <c r="B117" s="7" t="s">
        <v>1633</v>
      </c>
      <c r="C117" s="18" t="s">
        <v>194</v>
      </c>
      <c r="D117" s="32" t="s">
        <v>612</v>
      </c>
      <c r="E117" s="32" t="s">
        <v>85</v>
      </c>
      <c r="F117" s="32" t="s">
        <v>31</v>
      </c>
      <c r="G117" s="32" t="s">
        <v>85</v>
      </c>
      <c r="H117" s="32" t="s">
        <v>1210</v>
      </c>
      <c r="I117" s="32" t="s">
        <v>46</v>
      </c>
      <c r="J117" s="32" t="s">
        <v>48</v>
      </c>
      <c r="K117" s="32" t="s">
        <v>1160</v>
      </c>
      <c r="L117" s="32" t="s">
        <v>522</v>
      </c>
      <c r="M117" s="32" t="s">
        <v>234</v>
      </c>
      <c r="N117" s="32" t="s">
        <v>521</v>
      </c>
      <c r="O117" s="32" t="s">
        <v>351</v>
      </c>
      <c r="Q117" s="32" t="s">
        <v>48</v>
      </c>
      <c r="R117" s="32" t="s">
        <v>49</v>
      </c>
      <c r="S117" s="32" t="s">
        <v>47</v>
      </c>
      <c r="T117" s="32" t="s">
        <v>2332</v>
      </c>
      <c r="U117" t="s">
        <v>1537</v>
      </c>
      <c r="V117" t="s">
        <v>2909</v>
      </c>
      <c r="W117" t="s">
        <v>1512</v>
      </c>
      <c r="X117" t="s">
        <v>1565</v>
      </c>
      <c r="Y117" t="s">
        <v>2910</v>
      </c>
      <c r="Z117" t="s">
        <v>1526</v>
      </c>
      <c r="AA117" t="s">
        <v>3888</v>
      </c>
      <c r="AB117" t="s">
        <v>1578</v>
      </c>
      <c r="AC117" t="s">
        <v>1578</v>
      </c>
      <c r="AD117" t="s">
        <v>3030</v>
      </c>
      <c r="AE117" t="s">
        <v>2984</v>
      </c>
      <c r="AF117" t="s">
        <v>1512</v>
      </c>
      <c r="AG117" t="s">
        <v>4627</v>
      </c>
      <c r="AH117" t="s">
        <v>2475</v>
      </c>
    </row>
    <row r="118" spans="1:34" ht="13.5">
      <c r="A118" s="18" t="s">
        <v>1938</v>
      </c>
      <c r="B118" s="7" t="s">
        <v>1634</v>
      </c>
      <c r="C118" s="18" t="s">
        <v>60</v>
      </c>
      <c r="D118" s="32" t="s">
        <v>613</v>
      </c>
      <c r="E118" s="32" t="s">
        <v>234</v>
      </c>
      <c r="F118" s="32" t="s">
        <v>522</v>
      </c>
      <c r="G118" s="32" t="s">
        <v>730</v>
      </c>
      <c r="H118" s="32" t="s">
        <v>1246</v>
      </c>
      <c r="I118" s="32" t="s">
        <v>33</v>
      </c>
      <c r="J118" s="32" t="s">
        <v>47</v>
      </c>
      <c r="K118" s="32" t="s">
        <v>45</v>
      </c>
      <c r="L118" s="32" t="s">
        <v>384</v>
      </c>
      <c r="M118" s="32" t="s">
        <v>255</v>
      </c>
      <c r="N118" s="32" t="s">
        <v>2040</v>
      </c>
      <c r="O118" s="32" t="s">
        <v>352</v>
      </c>
      <c r="Q118" s="32" t="s">
        <v>47</v>
      </c>
      <c r="R118" s="32" t="s">
        <v>50</v>
      </c>
      <c r="S118" s="32" t="s">
        <v>46</v>
      </c>
      <c r="T118" s="32" t="s">
        <v>1935</v>
      </c>
      <c r="U118" t="s">
        <v>1526</v>
      </c>
      <c r="V118" t="s">
        <v>2911</v>
      </c>
      <c r="W118" t="s">
        <v>2376</v>
      </c>
      <c r="X118" t="s">
        <v>1674</v>
      </c>
      <c r="Y118" t="s">
        <v>2912</v>
      </c>
      <c r="Z118" t="s">
        <v>1576</v>
      </c>
      <c r="AA118" t="s">
        <v>3889</v>
      </c>
      <c r="AB118" t="s">
        <v>2475</v>
      </c>
      <c r="AC118" t="s">
        <v>2475</v>
      </c>
      <c r="AD118" t="s">
        <v>3031</v>
      </c>
      <c r="AE118" t="s">
        <v>2986</v>
      </c>
      <c r="AF118" t="s">
        <v>4457</v>
      </c>
      <c r="AG118" t="s">
        <v>4628</v>
      </c>
      <c r="AH118" t="s">
        <v>4859</v>
      </c>
    </row>
    <row r="119" spans="1:34" ht="13.5">
      <c r="A119" s="18" t="s">
        <v>1939</v>
      </c>
      <c r="B119" s="7" t="s">
        <v>1546</v>
      </c>
      <c r="C119" s="18" t="s">
        <v>61</v>
      </c>
      <c r="D119" s="32" t="s">
        <v>614</v>
      </c>
      <c r="E119" s="32" t="s">
        <v>735</v>
      </c>
      <c r="F119" s="32" t="s">
        <v>384</v>
      </c>
      <c r="G119" s="32" t="s">
        <v>1054</v>
      </c>
      <c r="H119" s="32" t="s">
        <v>1211</v>
      </c>
      <c r="I119" s="32" t="s">
        <v>91</v>
      </c>
      <c r="J119" s="32" t="s">
        <v>46</v>
      </c>
      <c r="K119" s="32" t="s">
        <v>85</v>
      </c>
      <c r="L119" s="32" t="s">
        <v>32</v>
      </c>
      <c r="M119" s="32" t="s">
        <v>256</v>
      </c>
      <c r="N119" s="32" t="s">
        <v>2041</v>
      </c>
      <c r="O119" s="32" t="s">
        <v>384</v>
      </c>
      <c r="Q119" s="32" t="s">
        <v>46</v>
      </c>
      <c r="R119" s="32" t="s">
        <v>48</v>
      </c>
      <c r="S119" s="32" t="s">
        <v>33</v>
      </c>
      <c r="T119" s="32" t="s">
        <v>2333</v>
      </c>
      <c r="U119" t="s">
        <v>1576</v>
      </c>
      <c r="V119" t="s">
        <v>2913</v>
      </c>
      <c r="W119" t="s">
        <v>2377</v>
      </c>
      <c r="X119" t="s">
        <v>2375</v>
      </c>
      <c r="Y119" t="s">
        <v>2914</v>
      </c>
      <c r="Z119" t="s">
        <v>1578</v>
      </c>
      <c r="AA119" t="s">
        <v>3890</v>
      </c>
      <c r="AB119" t="s">
        <v>1579</v>
      </c>
      <c r="AC119" t="s">
        <v>1579</v>
      </c>
      <c r="AD119" t="s">
        <v>3032</v>
      </c>
      <c r="AE119" t="s">
        <v>2988</v>
      </c>
      <c r="AF119" t="s">
        <v>4458</v>
      </c>
      <c r="AG119" t="s">
        <v>4629</v>
      </c>
      <c r="AH119" t="s">
        <v>1542</v>
      </c>
    </row>
    <row r="120" spans="1:34" ht="13.5">
      <c r="A120" s="18" t="s">
        <v>1940</v>
      </c>
      <c r="B120" s="7" t="s">
        <v>1547</v>
      </c>
      <c r="C120" s="18" t="s">
        <v>195</v>
      </c>
      <c r="D120" s="32" t="s">
        <v>615</v>
      </c>
      <c r="E120" s="32" t="s">
        <v>240</v>
      </c>
      <c r="F120" s="32" t="s">
        <v>32</v>
      </c>
      <c r="G120" s="32" t="s">
        <v>234</v>
      </c>
      <c r="H120" s="32" t="s">
        <v>223</v>
      </c>
      <c r="I120" s="32" t="s">
        <v>92</v>
      </c>
      <c r="J120" s="32" t="s">
        <v>33</v>
      </c>
      <c r="K120" s="32" t="s">
        <v>730</v>
      </c>
      <c r="L120" s="32" t="s">
        <v>956</v>
      </c>
      <c r="M120" s="32" t="s">
        <v>257</v>
      </c>
      <c r="N120" s="32" t="s">
        <v>45</v>
      </c>
      <c r="O120" s="32" t="s">
        <v>32</v>
      </c>
      <c r="Q120" s="32" t="s">
        <v>33</v>
      </c>
      <c r="R120" s="32" t="s">
        <v>47</v>
      </c>
      <c r="S120" s="32" t="s">
        <v>91</v>
      </c>
      <c r="T120" s="32" t="s">
        <v>1936</v>
      </c>
      <c r="U120" t="s">
        <v>2837</v>
      </c>
      <c r="V120" t="s">
        <v>2915</v>
      </c>
      <c r="W120" t="s">
        <v>2916</v>
      </c>
      <c r="X120" t="s">
        <v>1512</v>
      </c>
      <c r="Y120" t="s">
        <v>2917</v>
      </c>
      <c r="Z120" t="s">
        <v>2475</v>
      </c>
      <c r="AA120" t="s">
        <v>3891</v>
      </c>
      <c r="AB120" t="s">
        <v>1948</v>
      </c>
      <c r="AC120" t="s">
        <v>1948</v>
      </c>
      <c r="AD120" t="s">
        <v>3033</v>
      </c>
      <c r="AE120" t="s">
        <v>2989</v>
      </c>
      <c r="AF120" t="s">
        <v>4459</v>
      </c>
      <c r="AG120" t="s">
        <v>4630</v>
      </c>
      <c r="AH120" t="s">
        <v>1543</v>
      </c>
    </row>
    <row r="121" spans="1:34" ht="13.5">
      <c r="A121" s="18" t="s">
        <v>1941</v>
      </c>
      <c r="B121" s="7" t="s">
        <v>1548</v>
      </c>
      <c r="C121" s="18" t="s">
        <v>196</v>
      </c>
      <c r="D121" s="32" t="s">
        <v>616</v>
      </c>
      <c r="E121" s="32" t="s">
        <v>31</v>
      </c>
      <c r="F121" s="32" t="s">
        <v>945</v>
      </c>
      <c r="G121" s="32" t="s">
        <v>1033</v>
      </c>
      <c r="H121" s="32" t="s">
        <v>1212</v>
      </c>
      <c r="I121" s="32" t="s">
        <v>94</v>
      </c>
      <c r="J121" s="32" t="s">
        <v>91</v>
      </c>
      <c r="K121" s="32" t="s">
        <v>234</v>
      </c>
      <c r="L121" s="32" t="s">
        <v>957</v>
      </c>
      <c r="M121" s="32" t="s">
        <v>258</v>
      </c>
      <c r="N121" s="32" t="s">
        <v>2042</v>
      </c>
      <c r="O121" s="32" t="s">
        <v>271</v>
      </c>
      <c r="Q121" s="32" t="s">
        <v>91</v>
      </c>
      <c r="R121" s="32" t="s">
        <v>46</v>
      </c>
      <c r="S121" s="32" t="s">
        <v>92</v>
      </c>
      <c r="T121" s="32" t="s">
        <v>2334</v>
      </c>
      <c r="U121" t="s">
        <v>2838</v>
      </c>
      <c r="V121" t="s">
        <v>2918</v>
      </c>
      <c r="W121" t="s">
        <v>2386</v>
      </c>
      <c r="X121" t="s">
        <v>1980</v>
      </c>
      <c r="Y121" t="s">
        <v>2919</v>
      </c>
      <c r="Z121" t="s">
        <v>1579</v>
      </c>
      <c r="AA121" t="s">
        <v>3892</v>
      </c>
      <c r="AB121" t="s">
        <v>1581</v>
      </c>
      <c r="AC121" t="s">
        <v>1581</v>
      </c>
      <c r="AD121" t="s">
        <v>1980</v>
      </c>
      <c r="AE121" t="s">
        <v>2990</v>
      </c>
      <c r="AF121" t="s">
        <v>1980</v>
      </c>
      <c r="AG121" t="s">
        <v>4631</v>
      </c>
      <c r="AH121" t="s">
        <v>4860</v>
      </c>
    </row>
    <row r="122" spans="1:34" ht="13.5">
      <c r="A122" s="18" t="s">
        <v>1535</v>
      </c>
      <c r="B122" s="7" t="s">
        <v>1549</v>
      </c>
      <c r="C122" s="18" t="s">
        <v>197</v>
      </c>
      <c r="D122" s="32" t="s">
        <v>617</v>
      </c>
      <c r="E122" s="32" t="s">
        <v>522</v>
      </c>
      <c r="F122" s="32" t="s">
        <v>49</v>
      </c>
      <c r="G122" s="32" t="s">
        <v>31</v>
      </c>
      <c r="H122" s="32" t="s">
        <v>1213</v>
      </c>
      <c r="I122" s="32" t="s">
        <v>95</v>
      </c>
      <c r="J122" s="32" t="s">
        <v>92</v>
      </c>
      <c r="K122" s="32" t="s">
        <v>735</v>
      </c>
      <c r="L122" s="32" t="s">
        <v>49</v>
      </c>
      <c r="M122" s="32" t="s">
        <v>259</v>
      </c>
      <c r="N122" s="32" t="s">
        <v>85</v>
      </c>
      <c r="O122" s="32" t="s">
        <v>49</v>
      </c>
      <c r="Q122" s="32" t="s">
        <v>92</v>
      </c>
      <c r="R122" s="32" t="s">
        <v>33</v>
      </c>
      <c r="S122" s="32" t="s">
        <v>94</v>
      </c>
      <c r="T122" s="32" t="s">
        <v>2335</v>
      </c>
      <c r="U122" s="32" t="s">
        <v>1578</v>
      </c>
      <c r="V122" t="s">
        <v>2920</v>
      </c>
      <c r="W122" t="s">
        <v>1980</v>
      </c>
      <c r="X122" t="s">
        <v>1524</v>
      </c>
      <c r="Y122" t="s">
        <v>2921</v>
      </c>
      <c r="Z122" t="s">
        <v>1948</v>
      </c>
      <c r="AA122" t="s">
        <v>3893</v>
      </c>
      <c r="AB122" t="s">
        <v>1533</v>
      </c>
      <c r="AC122" t="s">
        <v>1533</v>
      </c>
      <c r="AD122" t="s">
        <v>1524</v>
      </c>
      <c r="AE122" t="s">
        <v>2991</v>
      </c>
      <c r="AF122" t="s">
        <v>1524</v>
      </c>
      <c r="AG122" t="s">
        <v>4632</v>
      </c>
      <c r="AH122" t="s">
        <v>4861</v>
      </c>
    </row>
    <row r="123" spans="1:34" ht="13.5">
      <c r="A123" s="18" t="s">
        <v>1763</v>
      </c>
      <c r="B123" s="7" t="s">
        <v>1550</v>
      </c>
      <c r="C123" s="18" t="s">
        <v>198</v>
      </c>
      <c r="D123" s="32" t="s">
        <v>618</v>
      </c>
      <c r="E123" s="32" t="s">
        <v>737</v>
      </c>
      <c r="F123" s="32" t="s">
        <v>50</v>
      </c>
      <c r="G123" s="32" t="s">
        <v>522</v>
      </c>
      <c r="H123" s="32" t="s">
        <v>1247</v>
      </c>
      <c r="I123" s="32" t="s">
        <v>96</v>
      </c>
      <c r="J123" s="32" t="s">
        <v>94</v>
      </c>
      <c r="K123" s="32" t="s">
        <v>1161</v>
      </c>
      <c r="L123" s="32" t="s">
        <v>50</v>
      </c>
      <c r="M123" s="32" t="s">
        <v>260</v>
      </c>
      <c r="N123" s="32" t="s">
        <v>234</v>
      </c>
      <c r="O123" s="32" t="s">
        <v>50</v>
      </c>
      <c r="Q123" s="32" t="s">
        <v>94</v>
      </c>
      <c r="R123" s="32" t="s">
        <v>91</v>
      </c>
      <c r="S123" s="32" t="s">
        <v>95</v>
      </c>
      <c r="T123" s="32" t="s">
        <v>1560</v>
      </c>
      <c r="U123" s="32" t="s">
        <v>2475</v>
      </c>
      <c r="V123" t="s">
        <v>2922</v>
      </c>
      <c r="W123" t="s">
        <v>2451</v>
      </c>
      <c r="X123" t="s">
        <v>1764</v>
      </c>
      <c r="Y123" t="s">
        <v>1565</v>
      </c>
      <c r="Z123" t="s">
        <v>1581</v>
      </c>
      <c r="AA123" t="s">
        <v>3894</v>
      </c>
      <c r="AB123" t="s">
        <v>2570</v>
      </c>
      <c r="AC123" t="s">
        <v>2570</v>
      </c>
      <c r="AD123" t="s">
        <v>4415</v>
      </c>
      <c r="AE123" t="s">
        <v>2993</v>
      </c>
      <c r="AF123" t="s">
        <v>3109</v>
      </c>
      <c r="AG123" t="s">
        <v>4633</v>
      </c>
      <c r="AH123" t="s">
        <v>4862</v>
      </c>
    </row>
    <row r="124" spans="1:34" ht="13.5">
      <c r="A124" s="18" t="s">
        <v>1979</v>
      </c>
      <c r="B124" s="7" t="s">
        <v>1551</v>
      </c>
      <c r="C124" s="18" t="s">
        <v>199</v>
      </c>
      <c r="D124" s="32" t="s">
        <v>619</v>
      </c>
      <c r="E124" s="32" t="s">
        <v>384</v>
      </c>
      <c r="F124" s="32" t="s">
        <v>48</v>
      </c>
      <c r="G124" s="32" t="s">
        <v>384</v>
      </c>
      <c r="H124" s="32" t="s">
        <v>1248</v>
      </c>
      <c r="I124" s="32" t="s">
        <v>1011</v>
      </c>
      <c r="J124" s="32" t="s">
        <v>95</v>
      </c>
      <c r="K124" s="32" t="s">
        <v>1162</v>
      </c>
      <c r="L124" s="32" t="s">
        <v>48</v>
      </c>
      <c r="M124" s="32" t="s">
        <v>261</v>
      </c>
      <c r="N124" s="32" t="s">
        <v>255</v>
      </c>
      <c r="O124" s="32" t="s">
        <v>48</v>
      </c>
      <c r="Q124" s="32" t="s">
        <v>95</v>
      </c>
      <c r="R124" s="32" t="s">
        <v>92</v>
      </c>
      <c r="S124" s="32" t="s">
        <v>2048</v>
      </c>
      <c r="T124" s="32" t="s">
        <v>1561</v>
      </c>
      <c r="U124" s="32" t="s">
        <v>1579</v>
      </c>
      <c r="V124" t="s">
        <v>2923</v>
      </c>
      <c r="W124" t="s">
        <v>1524</v>
      </c>
      <c r="X124" t="s">
        <v>1676</v>
      </c>
      <c r="Y124" t="s">
        <v>1674</v>
      </c>
      <c r="Z124" t="s">
        <v>1533</v>
      </c>
      <c r="AA124" t="s">
        <v>3895</v>
      </c>
      <c r="AB124" t="s">
        <v>1927</v>
      </c>
      <c r="AC124" t="s">
        <v>1927</v>
      </c>
      <c r="AD124" t="s">
        <v>1525</v>
      </c>
      <c r="AE124" t="s">
        <v>2995</v>
      </c>
      <c r="AF124" t="s">
        <v>3111</v>
      </c>
      <c r="AG124" t="s">
        <v>4634</v>
      </c>
      <c r="AH124" t="s">
        <v>4863</v>
      </c>
    </row>
    <row r="125" spans="1:34" ht="13.5">
      <c r="A125" s="18" t="s">
        <v>1942</v>
      </c>
      <c r="B125" s="7" t="s">
        <v>1552</v>
      </c>
      <c r="C125" s="18" t="s">
        <v>200</v>
      </c>
      <c r="D125" s="32" t="s">
        <v>620</v>
      </c>
      <c r="E125" s="32" t="s">
        <v>32</v>
      </c>
      <c r="F125" s="32" t="s">
        <v>47</v>
      </c>
      <c r="G125" s="32" t="s">
        <v>32</v>
      </c>
      <c r="H125" s="32" t="s">
        <v>1249</v>
      </c>
      <c r="I125" s="32" t="s">
        <v>523</v>
      </c>
      <c r="J125" s="32" t="s">
        <v>96</v>
      </c>
      <c r="K125" s="32" t="s">
        <v>1163</v>
      </c>
      <c r="L125" s="32" t="s">
        <v>47</v>
      </c>
      <c r="M125" s="32" t="s">
        <v>262</v>
      </c>
      <c r="N125" s="32" t="s">
        <v>240</v>
      </c>
      <c r="O125" s="32" t="s">
        <v>47</v>
      </c>
      <c r="Q125" s="32" t="s">
        <v>2048</v>
      </c>
      <c r="R125" s="32" t="s">
        <v>94</v>
      </c>
      <c r="S125" s="32" t="s">
        <v>343</v>
      </c>
      <c r="T125" s="32" t="s">
        <v>1938</v>
      </c>
      <c r="U125" s="32" t="s">
        <v>1948</v>
      </c>
      <c r="V125" t="s">
        <v>2924</v>
      </c>
      <c r="W125" t="s">
        <v>1764</v>
      </c>
      <c r="X125" t="s">
        <v>2452</v>
      </c>
      <c r="Y125" t="s">
        <v>1512</v>
      </c>
      <c r="Z125" t="s">
        <v>2570</v>
      </c>
      <c r="AA125" t="s">
        <v>3896</v>
      </c>
      <c r="AB125" t="s">
        <v>1532</v>
      </c>
      <c r="AC125" t="s">
        <v>1532</v>
      </c>
      <c r="AD125" t="s">
        <v>1540</v>
      </c>
      <c r="AE125" t="s">
        <v>1565</v>
      </c>
      <c r="AF125" t="s">
        <v>3913</v>
      </c>
      <c r="AG125" t="s">
        <v>4635</v>
      </c>
      <c r="AH125" t="s">
        <v>4864</v>
      </c>
    </row>
    <row r="126" spans="1:34" ht="13.5">
      <c r="A126" s="18" t="s">
        <v>1943</v>
      </c>
      <c r="B126" s="7" t="s">
        <v>1553</v>
      </c>
      <c r="C126" s="18" t="s">
        <v>62</v>
      </c>
      <c r="D126" s="32" t="s">
        <v>621</v>
      </c>
      <c r="E126" s="32" t="s">
        <v>743</v>
      </c>
      <c r="F126" s="32" t="s">
        <v>46</v>
      </c>
      <c r="G126" s="32" t="s">
        <v>1089</v>
      </c>
      <c r="H126" s="32" t="s">
        <v>42</v>
      </c>
      <c r="I126" s="32" t="s">
        <v>524</v>
      </c>
      <c r="J126" s="32" t="s">
        <v>1011</v>
      </c>
      <c r="K126" s="32" t="s">
        <v>1141</v>
      </c>
      <c r="L126" s="32" t="s">
        <v>46</v>
      </c>
      <c r="M126" s="32" t="s">
        <v>263</v>
      </c>
      <c r="N126" s="32" t="s">
        <v>31</v>
      </c>
      <c r="O126" s="32" t="s">
        <v>46</v>
      </c>
      <c r="Q126" s="32" t="s">
        <v>343</v>
      </c>
      <c r="R126" s="32" t="s">
        <v>95</v>
      </c>
      <c r="S126" s="32" t="s">
        <v>344</v>
      </c>
      <c r="T126" s="32" t="s">
        <v>1939</v>
      </c>
      <c r="U126" s="32" t="s">
        <v>1581</v>
      </c>
      <c r="V126" t="s">
        <v>2925</v>
      </c>
      <c r="W126" t="s">
        <v>1676</v>
      </c>
      <c r="X126" t="s">
        <v>1525</v>
      </c>
      <c r="Y126" t="s">
        <v>1675</v>
      </c>
      <c r="Z126" t="s">
        <v>1927</v>
      </c>
      <c r="AA126" t="s">
        <v>3897</v>
      </c>
      <c r="AB126" t="s">
        <v>2571</v>
      </c>
      <c r="AC126" t="s">
        <v>2571</v>
      </c>
      <c r="AD126" t="s">
        <v>1541</v>
      </c>
      <c r="AE126" t="s">
        <v>1512</v>
      </c>
      <c r="AF126" t="s">
        <v>3914</v>
      </c>
      <c r="AG126" t="s">
        <v>4636</v>
      </c>
      <c r="AH126" t="s">
        <v>4865</v>
      </c>
    </row>
    <row r="127" spans="1:34" ht="13.5">
      <c r="A127" s="18" t="s">
        <v>1536</v>
      </c>
      <c r="B127" s="7" t="s">
        <v>1554</v>
      </c>
      <c r="C127" s="18" t="s">
        <v>63</v>
      </c>
      <c r="D127" s="32" t="s">
        <v>622</v>
      </c>
      <c r="E127" s="32" t="s">
        <v>49</v>
      </c>
      <c r="F127" s="32" t="s">
        <v>1034</v>
      </c>
      <c r="G127" s="32" t="s">
        <v>1055</v>
      </c>
      <c r="H127" s="32" t="s">
        <v>521</v>
      </c>
      <c r="I127" s="32" t="s">
        <v>525</v>
      </c>
      <c r="J127" s="32" t="s">
        <v>1012</v>
      </c>
      <c r="K127" s="32" t="s">
        <v>240</v>
      </c>
      <c r="L127" s="32" t="s">
        <v>1035</v>
      </c>
      <c r="M127" s="32" t="s">
        <v>264</v>
      </c>
      <c r="N127" s="32" t="s">
        <v>522</v>
      </c>
      <c r="O127" s="32" t="s">
        <v>33</v>
      </c>
      <c r="Q127" s="32" t="s">
        <v>344</v>
      </c>
      <c r="R127" s="32" t="s">
        <v>2048</v>
      </c>
      <c r="S127" s="32" t="s">
        <v>345</v>
      </c>
      <c r="T127" s="32" t="s">
        <v>1940</v>
      </c>
      <c r="U127" s="32" t="s">
        <v>1533</v>
      </c>
      <c r="V127" t="s">
        <v>2926</v>
      </c>
      <c r="W127" t="s">
        <v>2452</v>
      </c>
      <c r="X127" t="s">
        <v>2833</v>
      </c>
      <c r="Y127" t="s">
        <v>1524</v>
      </c>
      <c r="Z127" t="s">
        <v>1532</v>
      </c>
      <c r="AA127" t="s">
        <v>3898</v>
      </c>
      <c r="AB127" t="s">
        <v>1534</v>
      </c>
      <c r="AC127" t="s">
        <v>1534</v>
      </c>
      <c r="AD127" t="s">
        <v>1539</v>
      </c>
      <c r="AE127" t="s">
        <v>3011</v>
      </c>
      <c r="AF127" t="s">
        <v>1676</v>
      </c>
      <c r="AG127" t="s">
        <v>1524</v>
      </c>
      <c r="AH127" t="s">
        <v>1546</v>
      </c>
    </row>
    <row r="128" spans="1:34" ht="13.5">
      <c r="A128" s="18" t="s">
        <v>1565</v>
      </c>
      <c r="B128" s="7" t="s">
        <v>1555</v>
      </c>
      <c r="C128" s="18" t="s">
        <v>201</v>
      </c>
      <c r="D128" s="32" t="s">
        <v>83</v>
      </c>
      <c r="E128" s="32" t="s">
        <v>50</v>
      </c>
      <c r="F128" s="32" t="s">
        <v>946</v>
      </c>
      <c r="G128" s="32" t="s">
        <v>1056</v>
      </c>
      <c r="H128" s="32" t="s">
        <v>1250</v>
      </c>
      <c r="I128" s="32" t="s">
        <v>526</v>
      </c>
      <c r="J128" s="32" t="s">
        <v>1260</v>
      </c>
      <c r="K128" s="32" t="s">
        <v>31</v>
      </c>
      <c r="L128" s="32" t="s">
        <v>1009</v>
      </c>
      <c r="M128" s="32" t="s">
        <v>265</v>
      </c>
      <c r="N128" s="32" t="s">
        <v>384</v>
      </c>
      <c r="O128" s="32" t="s">
        <v>91</v>
      </c>
      <c r="Q128" s="32" t="s">
        <v>345</v>
      </c>
      <c r="R128" s="32" t="s">
        <v>343</v>
      </c>
      <c r="S128" s="32" t="s">
        <v>346</v>
      </c>
      <c r="T128" s="32" t="s">
        <v>2336</v>
      </c>
      <c r="U128" s="32" t="s">
        <v>2570</v>
      </c>
      <c r="V128" t="s">
        <v>2927</v>
      </c>
      <c r="W128" t="s">
        <v>1525</v>
      </c>
      <c r="X128" t="s">
        <v>2928</v>
      </c>
      <c r="Y128" t="s">
        <v>1764</v>
      </c>
      <c r="Z128" t="s">
        <v>2571</v>
      </c>
      <c r="AA128" t="s">
        <v>3899</v>
      </c>
      <c r="AB128" t="s">
        <v>2572</v>
      </c>
      <c r="AC128" t="s">
        <v>2572</v>
      </c>
      <c r="AD128" t="s">
        <v>1538</v>
      </c>
      <c r="AE128" t="s">
        <v>3013</v>
      </c>
      <c r="AF128" t="s">
        <v>1525</v>
      </c>
      <c r="AG128" t="s">
        <v>1676</v>
      </c>
      <c r="AH128" t="s">
        <v>1547</v>
      </c>
    </row>
    <row r="129" spans="1:34" ht="13.5">
      <c r="A129" s="18" t="s">
        <v>1512</v>
      </c>
      <c r="B129" s="7" t="s">
        <v>1556</v>
      </c>
      <c r="C129" s="18" t="s">
        <v>202</v>
      </c>
      <c r="D129" s="32" t="s">
        <v>84</v>
      </c>
      <c r="E129" s="32" t="s">
        <v>48</v>
      </c>
      <c r="F129" s="32" t="s">
        <v>1035</v>
      </c>
      <c r="G129" s="32" t="s">
        <v>1057</v>
      </c>
      <c r="H129" s="32" t="s">
        <v>1251</v>
      </c>
      <c r="I129" s="32" t="s">
        <v>40</v>
      </c>
      <c r="J129" s="32" t="s">
        <v>523</v>
      </c>
      <c r="K129" s="32" t="s">
        <v>522</v>
      </c>
      <c r="L129" s="32" t="s">
        <v>33</v>
      </c>
      <c r="M129" s="32" t="s">
        <v>266</v>
      </c>
      <c r="N129" s="32" t="s">
        <v>32</v>
      </c>
      <c r="O129" s="32" t="s">
        <v>2081</v>
      </c>
      <c r="Q129" s="32" t="s">
        <v>346</v>
      </c>
      <c r="R129" s="32" t="s">
        <v>344</v>
      </c>
      <c r="S129" s="32" t="s">
        <v>96</v>
      </c>
      <c r="T129" s="32" t="s">
        <v>2337</v>
      </c>
      <c r="U129" s="32" t="s">
        <v>1927</v>
      </c>
      <c r="V129" t="s">
        <v>2929</v>
      </c>
      <c r="W129" t="s">
        <v>2463</v>
      </c>
      <c r="X129" t="s">
        <v>1540</v>
      </c>
      <c r="Y129" t="s">
        <v>1676</v>
      </c>
      <c r="Z129" t="s">
        <v>1534</v>
      </c>
      <c r="AA129" t="s">
        <v>3900</v>
      </c>
      <c r="AB129" t="s">
        <v>1531</v>
      </c>
      <c r="AC129" t="s">
        <v>1531</v>
      </c>
      <c r="AD129" t="s">
        <v>1537</v>
      </c>
      <c r="AE129" t="s">
        <v>3015</v>
      </c>
      <c r="AF129" t="s">
        <v>3129</v>
      </c>
      <c r="AG129" t="s">
        <v>4637</v>
      </c>
      <c r="AH129" t="s">
        <v>4866</v>
      </c>
    </row>
    <row r="130" spans="1:34" ht="13.5">
      <c r="A130" s="18" t="s">
        <v>1944</v>
      </c>
      <c r="B130" s="7" t="s">
        <v>1557</v>
      </c>
      <c r="C130" s="18" t="s">
        <v>203</v>
      </c>
      <c r="D130" s="32" t="s">
        <v>623</v>
      </c>
      <c r="E130" s="32" t="s">
        <v>47</v>
      </c>
      <c r="F130" s="32" t="s">
        <v>1009</v>
      </c>
      <c r="G130" s="32" t="s">
        <v>49</v>
      </c>
      <c r="H130" s="32" t="s">
        <v>1252</v>
      </c>
      <c r="I130" s="32" t="s">
        <v>44</v>
      </c>
      <c r="J130" s="32" t="s">
        <v>524</v>
      </c>
      <c r="K130" s="32" t="s">
        <v>384</v>
      </c>
      <c r="L130" s="32" t="s">
        <v>958</v>
      </c>
      <c r="M130" s="32" t="s">
        <v>267</v>
      </c>
      <c r="N130" s="32" t="s">
        <v>2043</v>
      </c>
      <c r="O130" s="32" t="s">
        <v>629</v>
      </c>
      <c r="Q130" s="32" t="s">
        <v>96</v>
      </c>
      <c r="R130" s="32" t="s">
        <v>345</v>
      </c>
      <c r="S130" s="32" t="s">
        <v>523</v>
      </c>
      <c r="T130" s="32" t="s">
        <v>2338</v>
      </c>
      <c r="U130" s="32" t="s">
        <v>1532</v>
      </c>
      <c r="V130" t="s">
        <v>2930</v>
      </c>
      <c r="W130" t="s">
        <v>2931</v>
      </c>
      <c r="X130" t="s">
        <v>1541</v>
      </c>
      <c r="Y130" t="s">
        <v>1525</v>
      </c>
      <c r="Z130" t="s">
        <v>2572</v>
      </c>
      <c r="AA130" t="s">
        <v>2911</v>
      </c>
      <c r="AB130" t="s">
        <v>2573</v>
      </c>
      <c r="AC130" t="s">
        <v>2573</v>
      </c>
      <c r="AD130" t="s">
        <v>1526</v>
      </c>
      <c r="AE130" t="s">
        <v>3017</v>
      </c>
      <c r="AF130" t="s">
        <v>3274</v>
      </c>
      <c r="AG130" t="s">
        <v>1525</v>
      </c>
      <c r="AH130" t="s">
        <v>4867</v>
      </c>
    </row>
    <row r="131" spans="1:34" ht="13.5">
      <c r="A131" s="18" t="s">
        <v>1945</v>
      </c>
      <c r="B131" s="7" t="s">
        <v>1558</v>
      </c>
      <c r="C131" s="18" t="s">
        <v>64</v>
      </c>
      <c r="D131" s="32" t="s">
        <v>624</v>
      </c>
      <c r="E131" s="32" t="s">
        <v>46</v>
      </c>
      <c r="F131" s="32" t="s">
        <v>33</v>
      </c>
      <c r="G131" s="32" t="s">
        <v>50</v>
      </c>
      <c r="H131" s="32" t="s">
        <v>1253</v>
      </c>
      <c r="I131" s="32" t="s">
        <v>39</v>
      </c>
      <c r="J131" s="32" t="s">
        <v>525</v>
      </c>
      <c r="K131" s="32" t="s">
        <v>32</v>
      </c>
      <c r="L131" s="32" t="s">
        <v>959</v>
      </c>
      <c r="M131" s="32" t="s">
        <v>268</v>
      </c>
      <c r="N131" s="32" t="s">
        <v>271</v>
      </c>
      <c r="O131" s="32" t="s">
        <v>92</v>
      </c>
      <c r="Q131" s="32" t="s">
        <v>523</v>
      </c>
      <c r="R131" s="32" t="s">
        <v>346</v>
      </c>
      <c r="S131" s="32" t="s">
        <v>524</v>
      </c>
      <c r="T131" s="32" t="s">
        <v>2339</v>
      </c>
      <c r="U131" t="s">
        <v>2571</v>
      </c>
      <c r="V131" t="s">
        <v>2932</v>
      </c>
      <c r="W131" t="s">
        <v>2468</v>
      </c>
      <c r="X131" t="s">
        <v>1539</v>
      </c>
      <c r="Y131" t="s">
        <v>2931</v>
      </c>
      <c r="Z131" t="s">
        <v>1531</v>
      </c>
      <c r="AA131" t="s">
        <v>3901</v>
      </c>
      <c r="AB131" t="s">
        <v>1522</v>
      </c>
      <c r="AC131" t="s">
        <v>1522</v>
      </c>
      <c r="AD131" t="s">
        <v>1576</v>
      </c>
      <c r="AE131" t="s">
        <v>3019</v>
      </c>
      <c r="AF131" t="s">
        <v>3281</v>
      </c>
      <c r="AG131" t="s">
        <v>2833</v>
      </c>
      <c r="AH131" t="s">
        <v>4868</v>
      </c>
    </row>
    <row r="132" spans="1:34" ht="13.5">
      <c r="A132" s="18" t="s">
        <v>1980</v>
      </c>
      <c r="B132" s="7" t="s">
        <v>1559</v>
      </c>
      <c r="C132" s="18" t="s">
        <v>204</v>
      </c>
      <c r="D132" s="32" t="s">
        <v>625</v>
      </c>
      <c r="E132" s="32" t="s">
        <v>745</v>
      </c>
      <c r="F132" s="32" t="s">
        <v>91</v>
      </c>
      <c r="G132" s="32" t="s">
        <v>48</v>
      </c>
      <c r="H132" s="32" t="s">
        <v>1254</v>
      </c>
      <c r="I132" s="32" t="s">
        <v>41</v>
      </c>
      <c r="J132" s="32" t="s">
        <v>526</v>
      </c>
      <c r="K132" s="32" t="s">
        <v>49</v>
      </c>
      <c r="L132" s="32" t="s">
        <v>960</v>
      </c>
      <c r="M132" s="32" t="s">
        <v>269</v>
      </c>
      <c r="N132" s="32" t="s">
        <v>2044</v>
      </c>
      <c r="O132" s="32" t="s">
        <v>94</v>
      </c>
      <c r="Q132" s="32" t="s">
        <v>524</v>
      </c>
      <c r="R132" s="32" t="s">
        <v>96</v>
      </c>
      <c r="S132" s="32" t="s">
        <v>525</v>
      </c>
      <c r="T132" s="32" t="s">
        <v>2340</v>
      </c>
      <c r="U132" t="s">
        <v>1534</v>
      </c>
      <c r="V132" t="s">
        <v>2933</v>
      </c>
      <c r="W132" t="s">
        <v>2469</v>
      </c>
      <c r="X132" t="s">
        <v>1538</v>
      </c>
      <c r="Y132" t="s">
        <v>1540</v>
      </c>
      <c r="Z132" t="s">
        <v>2573</v>
      </c>
      <c r="AA132" t="s">
        <v>3902</v>
      </c>
      <c r="AB132" t="s">
        <v>2574</v>
      </c>
      <c r="AC132" t="s">
        <v>2574</v>
      </c>
      <c r="AD132" t="s">
        <v>1578</v>
      </c>
      <c r="AE132" t="s">
        <v>3021</v>
      </c>
      <c r="AF132" t="s">
        <v>3289</v>
      </c>
      <c r="AG132" t="s">
        <v>1540</v>
      </c>
      <c r="AH132" t="s">
        <v>4869</v>
      </c>
    </row>
    <row r="133" spans="1:34" ht="13.5">
      <c r="A133" s="18" t="s">
        <v>1981</v>
      </c>
      <c r="B133" s="7" t="s">
        <v>1560</v>
      </c>
      <c r="C133" s="18" t="s">
        <v>205</v>
      </c>
      <c r="D133" s="32" t="s">
        <v>714</v>
      </c>
      <c r="E133" s="32" t="s">
        <v>746</v>
      </c>
      <c r="F133" s="32" t="s">
        <v>92</v>
      </c>
      <c r="G133" s="32" t="s">
        <v>47</v>
      </c>
      <c r="H133" s="32" t="s">
        <v>1255</v>
      </c>
      <c r="I133" s="32" t="s">
        <v>38</v>
      </c>
      <c r="J133" s="32" t="s">
        <v>40</v>
      </c>
      <c r="K133" s="32" t="s">
        <v>50</v>
      </c>
      <c r="L133" s="32" t="s">
        <v>961</v>
      </c>
      <c r="M133" s="32" t="s">
        <v>270</v>
      </c>
      <c r="N133" s="32" t="s">
        <v>49</v>
      </c>
      <c r="O133" s="32" t="s">
        <v>95</v>
      </c>
      <c r="Q133" s="32" t="s">
        <v>525</v>
      </c>
      <c r="R133" s="32" t="s">
        <v>523</v>
      </c>
      <c r="S133" s="32" t="s">
        <v>526</v>
      </c>
      <c r="T133" s="32" t="s">
        <v>2341</v>
      </c>
      <c r="U133" t="s">
        <v>2572</v>
      </c>
      <c r="V133" t="s">
        <v>2934</v>
      </c>
      <c r="W133" t="s">
        <v>1540</v>
      </c>
      <c r="X133" t="s">
        <v>1537</v>
      </c>
      <c r="Y133" t="s">
        <v>1541</v>
      </c>
      <c r="Z133" t="s">
        <v>1522</v>
      </c>
      <c r="AA133" t="s">
        <v>1939</v>
      </c>
      <c r="AB133" t="s">
        <v>1523</v>
      </c>
      <c r="AC133" t="s">
        <v>1523</v>
      </c>
      <c r="AD133" t="s">
        <v>2475</v>
      </c>
      <c r="AE133" t="s">
        <v>3022</v>
      </c>
      <c r="AF133" t="s">
        <v>3290</v>
      </c>
      <c r="AG133" t="s">
        <v>1541</v>
      </c>
      <c r="AH133" t="s">
        <v>4870</v>
      </c>
    </row>
    <row r="134" spans="1:34" ht="13.5">
      <c r="A134" s="18" t="s">
        <v>1524</v>
      </c>
      <c r="B134" s="7" t="s">
        <v>1561</v>
      </c>
      <c r="C134" s="18" t="s">
        <v>206</v>
      </c>
      <c r="D134" s="32" t="s">
        <v>715</v>
      </c>
      <c r="E134" s="32" t="s">
        <v>33</v>
      </c>
      <c r="F134" s="32" t="s">
        <v>94</v>
      </c>
      <c r="G134" s="32" t="s">
        <v>46</v>
      </c>
      <c r="H134" s="32" t="s">
        <v>1256</v>
      </c>
      <c r="I134" s="32" t="s">
        <v>29</v>
      </c>
      <c r="J134" s="32" t="s">
        <v>44</v>
      </c>
      <c r="K134" s="32" t="s">
        <v>48</v>
      </c>
      <c r="L134" s="32" t="s">
        <v>962</v>
      </c>
      <c r="M134" s="32" t="s">
        <v>240</v>
      </c>
      <c r="N134" s="32" t="s">
        <v>50</v>
      </c>
      <c r="O134" s="32" t="s">
        <v>2048</v>
      </c>
      <c r="Q134" s="32" t="s">
        <v>526</v>
      </c>
      <c r="R134" s="32" t="s">
        <v>524</v>
      </c>
      <c r="S134" s="32" t="s">
        <v>40</v>
      </c>
      <c r="T134" s="32" t="s">
        <v>2342</v>
      </c>
      <c r="U134" t="s">
        <v>1531</v>
      </c>
      <c r="V134" t="s">
        <v>2935</v>
      </c>
      <c r="W134" t="s">
        <v>1541</v>
      </c>
      <c r="X134" t="s">
        <v>1526</v>
      </c>
      <c r="Y134" t="s">
        <v>1539</v>
      </c>
      <c r="Z134" t="s">
        <v>2574</v>
      </c>
      <c r="AA134" t="s">
        <v>2967</v>
      </c>
      <c r="AB134" t="s">
        <v>2575</v>
      </c>
      <c r="AC134" t="s">
        <v>2575</v>
      </c>
      <c r="AD134" t="s">
        <v>1579</v>
      </c>
      <c r="AE134" t="s">
        <v>3023</v>
      </c>
      <c r="AF134" t="s">
        <v>1540</v>
      </c>
      <c r="AG134" t="s">
        <v>1539</v>
      </c>
      <c r="AH134" t="s">
        <v>1565</v>
      </c>
    </row>
    <row r="135" spans="1:34" ht="13.5">
      <c r="A135" s="18" t="s">
        <v>1764</v>
      </c>
      <c r="B135" s="7" t="s">
        <v>1562</v>
      </c>
      <c r="C135" s="18" t="s">
        <v>207</v>
      </c>
      <c r="D135" s="32" t="s">
        <v>716</v>
      </c>
      <c r="E135" s="32" t="s">
        <v>91</v>
      </c>
      <c r="F135" s="32" t="s">
        <v>95</v>
      </c>
      <c r="G135" s="32" t="s">
        <v>1090</v>
      </c>
      <c r="H135" s="32" t="s">
        <v>1257</v>
      </c>
      <c r="I135" s="32" t="s">
        <v>30</v>
      </c>
      <c r="J135" s="32" t="s">
        <v>39</v>
      </c>
      <c r="K135" s="32" t="s">
        <v>47</v>
      </c>
      <c r="L135" s="32" t="s">
        <v>91</v>
      </c>
      <c r="M135" s="32" t="s">
        <v>31</v>
      </c>
      <c r="N135" s="32" t="s">
        <v>48</v>
      </c>
      <c r="O135" s="32" t="s">
        <v>96</v>
      </c>
      <c r="Q135" s="32" t="s">
        <v>40</v>
      </c>
      <c r="R135" s="32" t="s">
        <v>525</v>
      </c>
      <c r="S135" s="32" t="s">
        <v>44</v>
      </c>
      <c r="T135" s="32" t="s">
        <v>2343</v>
      </c>
      <c r="U135" t="s">
        <v>2573</v>
      </c>
      <c r="V135" t="s">
        <v>2936</v>
      </c>
      <c r="W135" t="s">
        <v>1539</v>
      </c>
      <c r="X135" t="s">
        <v>1576</v>
      </c>
      <c r="Y135" t="s">
        <v>1538</v>
      </c>
      <c r="Z135" t="s">
        <v>1523</v>
      </c>
      <c r="AA135" t="s">
        <v>2968</v>
      </c>
      <c r="AB135" t="s">
        <v>1527</v>
      </c>
      <c r="AC135" t="s">
        <v>1527</v>
      </c>
      <c r="AD135" t="s">
        <v>1948</v>
      </c>
      <c r="AE135" t="s">
        <v>3024</v>
      </c>
      <c r="AF135" t="s">
        <v>1541</v>
      </c>
      <c r="AG135" t="s">
        <v>1538</v>
      </c>
      <c r="AH135" t="s">
        <v>2452</v>
      </c>
    </row>
    <row r="136" spans="1:34" ht="13.5">
      <c r="A136" s="18" t="s">
        <v>1676</v>
      </c>
      <c r="B136" s="7" t="s">
        <v>1563</v>
      </c>
      <c r="C136" s="18" t="s">
        <v>208</v>
      </c>
      <c r="D136" s="32" t="s">
        <v>717</v>
      </c>
      <c r="E136" s="32" t="s">
        <v>629</v>
      </c>
      <c r="F136" s="32" t="s">
        <v>1010</v>
      </c>
      <c r="G136" s="32" t="s">
        <v>33</v>
      </c>
      <c r="H136" s="32" t="s">
        <v>1306</v>
      </c>
      <c r="I136" s="32" t="s">
        <v>34</v>
      </c>
      <c r="J136" s="32" t="s">
        <v>41</v>
      </c>
      <c r="K136" s="32" t="s">
        <v>46</v>
      </c>
      <c r="L136" s="32" t="s">
        <v>1058</v>
      </c>
      <c r="M136" s="32" t="s">
        <v>522</v>
      </c>
      <c r="N136" s="32" t="s">
        <v>47</v>
      </c>
      <c r="O136" s="32" t="s">
        <v>1395</v>
      </c>
      <c r="Q136" s="32" t="s">
        <v>44</v>
      </c>
      <c r="R136" s="32" t="s">
        <v>526</v>
      </c>
      <c r="S136" s="32" t="s">
        <v>39</v>
      </c>
      <c r="T136" s="32" t="s">
        <v>1535</v>
      </c>
      <c r="U136" t="s">
        <v>1522</v>
      </c>
      <c r="V136" t="s">
        <v>2937</v>
      </c>
      <c r="W136" t="s">
        <v>1538</v>
      </c>
      <c r="X136" t="s">
        <v>1578</v>
      </c>
      <c r="Y136" t="s">
        <v>1537</v>
      </c>
      <c r="Z136" t="s">
        <v>2575</v>
      </c>
      <c r="AA136" t="s">
        <v>2340</v>
      </c>
      <c r="AB136" t="s">
        <v>1725</v>
      </c>
      <c r="AC136" t="s">
        <v>1725</v>
      </c>
      <c r="AD136" t="s">
        <v>1581</v>
      </c>
      <c r="AE136" t="s">
        <v>3027</v>
      </c>
      <c r="AF136" t="s">
        <v>1539</v>
      </c>
      <c r="AG136" t="s">
        <v>1537</v>
      </c>
      <c r="AH136" t="s">
        <v>4871</v>
      </c>
    </row>
    <row r="137" spans="1:34" ht="13.5">
      <c r="A137" s="18" t="s">
        <v>1982</v>
      </c>
      <c r="B137" s="7" t="s">
        <v>1535</v>
      </c>
      <c r="C137" s="18" t="s">
        <v>209</v>
      </c>
      <c r="D137" s="32" t="s">
        <v>718</v>
      </c>
      <c r="E137" s="32" t="s">
        <v>92</v>
      </c>
      <c r="F137" s="32" t="s">
        <v>96</v>
      </c>
      <c r="G137" s="32" t="s">
        <v>91</v>
      </c>
      <c r="H137" s="32" t="s">
        <v>1307</v>
      </c>
      <c r="I137" s="32" t="s">
        <v>510</v>
      </c>
      <c r="J137" s="32" t="s">
        <v>38</v>
      </c>
      <c r="K137" s="32" t="s">
        <v>33</v>
      </c>
      <c r="L137" s="32" t="s">
        <v>92</v>
      </c>
      <c r="M137" s="32" t="s">
        <v>349</v>
      </c>
      <c r="N137" s="32" t="s">
        <v>46</v>
      </c>
      <c r="O137" s="32" t="s">
        <v>2085</v>
      </c>
      <c r="Q137" s="32" t="s">
        <v>39</v>
      </c>
      <c r="R137" s="32" t="s">
        <v>40</v>
      </c>
      <c r="S137" s="32" t="s">
        <v>41</v>
      </c>
      <c r="T137" s="32" t="s">
        <v>1763</v>
      </c>
      <c r="U137" t="s">
        <v>2574</v>
      </c>
      <c r="V137" t="s">
        <v>2938</v>
      </c>
      <c r="W137" t="s">
        <v>1537</v>
      </c>
      <c r="X137" t="s">
        <v>2939</v>
      </c>
      <c r="Y137" t="s">
        <v>1526</v>
      </c>
      <c r="Z137" t="s">
        <v>2940</v>
      </c>
      <c r="AA137" t="s">
        <v>3903</v>
      </c>
      <c r="AB137" t="s">
        <v>1926</v>
      </c>
      <c r="AC137" t="s">
        <v>1926</v>
      </c>
      <c r="AD137" t="s">
        <v>1533</v>
      </c>
      <c r="AE137" t="s">
        <v>3029</v>
      </c>
      <c r="AF137" t="s">
        <v>1538</v>
      </c>
      <c r="AG137" t="s">
        <v>1526</v>
      </c>
      <c r="AH137" t="s">
        <v>4872</v>
      </c>
    </row>
    <row r="138" spans="1:34" ht="13.5">
      <c r="A138" s="18" t="s">
        <v>1983</v>
      </c>
      <c r="B138" s="7" t="s">
        <v>1763</v>
      </c>
      <c r="C138" s="18" t="s">
        <v>210</v>
      </c>
      <c r="D138" s="32" t="s">
        <v>719</v>
      </c>
      <c r="E138" s="32" t="s">
        <v>748</v>
      </c>
      <c r="F138" s="32" t="s">
        <v>1011</v>
      </c>
      <c r="G138" s="32" t="s">
        <v>1058</v>
      </c>
      <c r="H138" s="32" t="s">
        <v>1214</v>
      </c>
      <c r="I138" s="32" t="s">
        <v>43</v>
      </c>
      <c r="J138" s="32" t="s">
        <v>29</v>
      </c>
      <c r="K138" s="32" t="s">
        <v>91</v>
      </c>
      <c r="L138" s="32" t="s">
        <v>94</v>
      </c>
      <c r="M138" s="32" t="s">
        <v>350</v>
      </c>
      <c r="N138" s="32" t="s">
        <v>2045</v>
      </c>
      <c r="O138" s="32" t="s">
        <v>523</v>
      </c>
      <c r="Q138" s="32" t="s">
        <v>41</v>
      </c>
      <c r="R138" s="32" t="s">
        <v>44</v>
      </c>
      <c r="S138" s="32" t="s">
        <v>38</v>
      </c>
      <c r="T138" s="32" t="s">
        <v>2344</v>
      </c>
      <c r="U138" t="s">
        <v>1523</v>
      </c>
      <c r="V138" t="s">
        <v>2941</v>
      </c>
      <c r="W138" t="s">
        <v>1526</v>
      </c>
      <c r="X138" t="s">
        <v>2475</v>
      </c>
      <c r="Y138" t="s">
        <v>1576</v>
      </c>
      <c r="Z138" t="s">
        <v>1527</v>
      </c>
      <c r="AA138" t="s">
        <v>3904</v>
      </c>
      <c r="AB138" t="s">
        <v>1733</v>
      </c>
      <c r="AC138" t="s">
        <v>1733</v>
      </c>
      <c r="AD138" t="s">
        <v>2570</v>
      </c>
      <c r="AE138" t="s">
        <v>3030</v>
      </c>
      <c r="AF138" t="s">
        <v>1537</v>
      </c>
      <c r="AG138" t="s">
        <v>1576</v>
      </c>
      <c r="AH138" t="s">
        <v>4873</v>
      </c>
    </row>
    <row r="139" spans="1:34" ht="13.5">
      <c r="A139" s="18" t="s">
        <v>1984</v>
      </c>
      <c r="B139" s="7" t="s">
        <v>1564</v>
      </c>
      <c r="C139" s="18" t="s">
        <v>211</v>
      </c>
      <c r="D139" s="32" t="s">
        <v>720</v>
      </c>
      <c r="E139" s="32" t="s">
        <v>749</v>
      </c>
      <c r="F139" s="32" t="s">
        <v>1012</v>
      </c>
      <c r="G139" s="32" t="s">
        <v>92</v>
      </c>
      <c r="H139" s="32" t="s">
        <v>1308</v>
      </c>
      <c r="I139" s="32" t="s">
        <v>527</v>
      </c>
      <c r="J139" s="32" t="s">
        <v>30</v>
      </c>
      <c r="K139" s="32" t="s">
        <v>92</v>
      </c>
      <c r="L139" s="32" t="s">
        <v>95</v>
      </c>
      <c r="M139" s="32" t="s">
        <v>351</v>
      </c>
      <c r="N139" s="32" t="s">
        <v>33</v>
      </c>
      <c r="O139" s="32" t="s">
        <v>524</v>
      </c>
      <c r="Q139" s="32" t="s">
        <v>38</v>
      </c>
      <c r="R139" s="32" t="s">
        <v>39</v>
      </c>
      <c r="S139" s="32" t="s">
        <v>29</v>
      </c>
      <c r="T139" s="32" t="s">
        <v>2345</v>
      </c>
      <c r="U139" t="s">
        <v>2575</v>
      </c>
      <c r="V139" t="s">
        <v>2942</v>
      </c>
      <c r="W139" t="s">
        <v>1576</v>
      </c>
      <c r="X139" t="s">
        <v>1579</v>
      </c>
      <c r="Y139" t="s">
        <v>1578</v>
      </c>
      <c r="Z139" t="s">
        <v>1725</v>
      </c>
      <c r="AA139" t="s">
        <v>1535</v>
      </c>
      <c r="AB139" t="s">
        <v>1528</v>
      </c>
      <c r="AC139" t="s">
        <v>1528</v>
      </c>
      <c r="AD139" t="s">
        <v>1927</v>
      </c>
      <c r="AE139" t="s">
        <v>3031</v>
      </c>
      <c r="AF139" t="s">
        <v>4460</v>
      </c>
      <c r="AG139" t="s">
        <v>4638</v>
      </c>
      <c r="AH139" t="s">
        <v>4874</v>
      </c>
    </row>
    <row r="140" spans="1:34" ht="13.5">
      <c r="A140" s="18" t="s">
        <v>1525</v>
      </c>
      <c r="B140" s="7" t="s">
        <v>1670</v>
      </c>
      <c r="C140" s="18" t="s">
        <v>65</v>
      </c>
      <c r="D140" s="32" t="s">
        <v>721</v>
      </c>
      <c r="E140" s="32" t="s">
        <v>750</v>
      </c>
      <c r="F140" s="32" t="s">
        <v>1013</v>
      </c>
      <c r="G140" s="32" t="s">
        <v>94</v>
      </c>
      <c r="H140" s="32" t="s">
        <v>1309</v>
      </c>
      <c r="I140" s="32" t="s">
        <v>528</v>
      </c>
      <c r="J140" s="32" t="s">
        <v>34</v>
      </c>
      <c r="K140" s="32" t="s">
        <v>1142</v>
      </c>
      <c r="L140" s="32" t="s">
        <v>96</v>
      </c>
      <c r="M140" s="32" t="s">
        <v>352</v>
      </c>
      <c r="N140" s="32" t="s">
        <v>91</v>
      </c>
      <c r="O140" s="32" t="s">
        <v>525</v>
      </c>
      <c r="Q140" s="32" t="s">
        <v>29</v>
      </c>
      <c r="R140" s="32" t="s">
        <v>41</v>
      </c>
      <c r="S140" s="32" t="s">
        <v>30</v>
      </c>
      <c r="T140" s="32" t="s">
        <v>2346</v>
      </c>
      <c r="U140" t="s">
        <v>1527</v>
      </c>
      <c r="V140" t="s">
        <v>2943</v>
      </c>
      <c r="W140" t="s">
        <v>1578</v>
      </c>
      <c r="X140" t="s">
        <v>1948</v>
      </c>
      <c r="Y140" t="s">
        <v>2475</v>
      </c>
      <c r="Z140" t="s">
        <v>1926</v>
      </c>
      <c r="AA140" t="s">
        <v>1763</v>
      </c>
      <c r="AB140" t="s">
        <v>1928</v>
      </c>
      <c r="AC140" t="s">
        <v>1928</v>
      </c>
      <c r="AD140" t="s">
        <v>1532</v>
      </c>
      <c r="AE140" t="s">
        <v>3032</v>
      </c>
      <c r="AF140" t="s">
        <v>1526</v>
      </c>
      <c r="AG140" t="s">
        <v>4639</v>
      </c>
      <c r="AH140" t="s">
        <v>4875</v>
      </c>
    </row>
    <row r="141" spans="1:34" ht="13.5">
      <c r="A141" s="18" t="s">
        <v>1540</v>
      </c>
      <c r="B141" s="7" t="s">
        <v>1671</v>
      </c>
      <c r="C141" s="18" t="s">
        <v>66</v>
      </c>
      <c r="D141" s="32" t="s">
        <v>722</v>
      </c>
      <c r="E141" s="32" t="s">
        <v>751</v>
      </c>
      <c r="F141" s="32" t="s">
        <v>1014</v>
      </c>
      <c r="G141" s="32" t="s">
        <v>95</v>
      </c>
      <c r="H141" s="32" t="s">
        <v>1310</v>
      </c>
      <c r="I141" s="32" t="s">
        <v>511</v>
      </c>
      <c r="J141" s="32" t="s">
        <v>510</v>
      </c>
      <c r="K141" s="32" t="s">
        <v>1143</v>
      </c>
      <c r="L141" s="32" t="s">
        <v>1011</v>
      </c>
      <c r="M141" s="32" t="s">
        <v>384</v>
      </c>
      <c r="N141" s="32" t="s">
        <v>629</v>
      </c>
      <c r="O141" s="32" t="s">
        <v>526</v>
      </c>
      <c r="Q141" s="32" t="s">
        <v>30</v>
      </c>
      <c r="R141" s="32" t="s">
        <v>38</v>
      </c>
      <c r="S141" s="32" t="s">
        <v>347</v>
      </c>
      <c r="T141" s="32" t="s">
        <v>1670</v>
      </c>
      <c r="U141" t="s">
        <v>1725</v>
      </c>
      <c r="V141" t="s">
        <v>2944</v>
      </c>
      <c r="W141" t="s">
        <v>2475</v>
      </c>
      <c r="X141" t="s">
        <v>1581</v>
      </c>
      <c r="Y141" t="s">
        <v>1579</v>
      </c>
      <c r="Z141" t="s">
        <v>1733</v>
      </c>
      <c r="AA141" t="s">
        <v>3905</v>
      </c>
      <c r="AB141" t="s">
        <v>2949</v>
      </c>
      <c r="AC141" t="s">
        <v>2949</v>
      </c>
      <c r="AD141" t="s">
        <v>2571</v>
      </c>
      <c r="AE141" t="s">
        <v>3033</v>
      </c>
      <c r="AF141" t="s">
        <v>3291</v>
      </c>
      <c r="AG141" t="s">
        <v>4057</v>
      </c>
      <c r="AH141" t="s">
        <v>4876</v>
      </c>
    </row>
    <row r="142" spans="1:34" ht="13.5">
      <c r="A142" s="18" t="s">
        <v>1541</v>
      </c>
      <c r="B142" s="7" t="s">
        <v>1536</v>
      </c>
      <c r="C142" s="18" t="s">
        <v>23</v>
      </c>
      <c r="D142" s="32" t="s">
        <v>723</v>
      </c>
      <c r="E142" s="32" t="s">
        <v>94</v>
      </c>
      <c r="F142" s="32" t="s">
        <v>1015</v>
      </c>
      <c r="G142" s="32" t="s">
        <v>1010</v>
      </c>
      <c r="H142" s="32" t="s">
        <v>1311</v>
      </c>
      <c r="I142" s="32" t="s">
        <v>35</v>
      </c>
      <c r="J142" s="32" t="s">
        <v>43</v>
      </c>
      <c r="K142" s="32" t="s">
        <v>1144</v>
      </c>
      <c r="L142" s="32" t="s">
        <v>1012</v>
      </c>
      <c r="M142" s="32" t="s">
        <v>32</v>
      </c>
      <c r="N142" s="32" t="s">
        <v>2046</v>
      </c>
      <c r="O142" s="32" t="s">
        <v>40</v>
      </c>
      <c r="Q142" s="32" t="s">
        <v>347</v>
      </c>
      <c r="R142" s="32" t="s">
        <v>29</v>
      </c>
      <c r="S142" s="32" t="s">
        <v>34</v>
      </c>
      <c r="T142" s="32" t="s">
        <v>1671</v>
      </c>
      <c r="U142" t="s">
        <v>1926</v>
      </c>
      <c r="V142" t="s">
        <v>2945</v>
      </c>
      <c r="W142" t="s">
        <v>1579</v>
      </c>
      <c r="X142" t="s">
        <v>2946</v>
      </c>
      <c r="Y142" t="s">
        <v>1948</v>
      </c>
      <c r="Z142" t="s">
        <v>1528</v>
      </c>
      <c r="AA142" t="s">
        <v>3906</v>
      </c>
      <c r="AB142" t="s">
        <v>1517</v>
      </c>
      <c r="AC142" t="s">
        <v>1517</v>
      </c>
      <c r="AD142" t="s">
        <v>1534</v>
      </c>
      <c r="AE142" t="s">
        <v>3091</v>
      </c>
      <c r="AF142" t="s">
        <v>1576</v>
      </c>
      <c r="AG142" t="s">
        <v>4640</v>
      </c>
      <c r="AH142" t="s">
        <v>4877</v>
      </c>
    </row>
    <row r="143" spans="1:34" ht="13.5">
      <c r="A143" s="18" t="s">
        <v>1539</v>
      </c>
      <c r="B143" s="7" t="s">
        <v>1778</v>
      </c>
      <c r="C143" s="18" t="s">
        <v>67</v>
      </c>
      <c r="D143" s="32" t="s">
        <v>724</v>
      </c>
      <c r="E143" s="32" t="s">
        <v>95</v>
      </c>
      <c r="F143" s="32" t="s">
        <v>753</v>
      </c>
      <c r="G143" s="32" t="s">
        <v>96</v>
      </c>
      <c r="H143" s="32" t="s">
        <v>1312</v>
      </c>
      <c r="I143" s="32" t="s">
        <v>51</v>
      </c>
      <c r="J143" s="32" t="s">
        <v>1261</v>
      </c>
      <c r="K143" s="32" t="s">
        <v>94</v>
      </c>
      <c r="L143" s="32" t="s">
        <v>523</v>
      </c>
      <c r="M143" s="32" t="s">
        <v>271</v>
      </c>
      <c r="N143" s="32" t="s">
        <v>2047</v>
      </c>
      <c r="O143" s="32" t="s">
        <v>44</v>
      </c>
      <c r="Q143" s="32" t="s">
        <v>34</v>
      </c>
      <c r="R143" s="32" t="s">
        <v>30</v>
      </c>
      <c r="S143" s="32" t="s">
        <v>510</v>
      </c>
      <c r="T143" s="32" t="s">
        <v>2347</v>
      </c>
      <c r="U143" t="s">
        <v>1733</v>
      </c>
      <c r="V143" t="s">
        <v>2947</v>
      </c>
      <c r="W143" t="s">
        <v>1948</v>
      </c>
      <c r="X143" t="s">
        <v>1765</v>
      </c>
      <c r="Y143" t="s">
        <v>1580</v>
      </c>
      <c r="Z143" t="s">
        <v>1928</v>
      </c>
      <c r="AA143" t="s">
        <v>3907</v>
      </c>
      <c r="AB143" t="s">
        <v>1521</v>
      </c>
      <c r="AC143" t="s">
        <v>1521</v>
      </c>
      <c r="AD143" t="s">
        <v>2572</v>
      </c>
      <c r="AE143" t="s">
        <v>3094</v>
      </c>
      <c r="AF143" t="s">
        <v>1578</v>
      </c>
      <c r="AG143" t="s">
        <v>1578</v>
      </c>
      <c r="AH143" t="s">
        <v>4878</v>
      </c>
    </row>
    <row r="144" spans="1:34" ht="13.5">
      <c r="A144" s="18" t="s">
        <v>1538</v>
      </c>
      <c r="B144" s="7" t="s">
        <v>1779</v>
      </c>
      <c r="C144" s="18" t="s">
        <v>68</v>
      </c>
      <c r="D144" s="32" t="s">
        <v>725</v>
      </c>
      <c r="E144" s="32" t="s">
        <v>96</v>
      </c>
      <c r="F144" s="32" t="s">
        <v>523</v>
      </c>
      <c r="G144" s="32" t="s">
        <v>1059</v>
      </c>
      <c r="H144" s="32" t="s">
        <v>45</v>
      </c>
      <c r="I144" s="32" t="s">
        <v>529</v>
      </c>
      <c r="J144" s="32" t="s">
        <v>527</v>
      </c>
      <c r="K144" s="32" t="s">
        <v>95</v>
      </c>
      <c r="L144" s="32" t="s">
        <v>524</v>
      </c>
      <c r="M144" s="32" t="s">
        <v>272</v>
      </c>
      <c r="N144" s="32" t="s">
        <v>92</v>
      </c>
      <c r="O144" s="32" t="s">
        <v>39</v>
      </c>
      <c r="Q144" s="32" t="s">
        <v>510</v>
      </c>
      <c r="R144" s="32" t="s">
        <v>347</v>
      </c>
      <c r="S144" s="32" t="s">
        <v>43</v>
      </c>
      <c r="T144" s="32" t="s">
        <v>2348</v>
      </c>
      <c r="U144" t="s">
        <v>1528</v>
      </c>
      <c r="V144" t="s">
        <v>2948</v>
      </c>
      <c r="W144" t="s">
        <v>1581</v>
      </c>
      <c r="X144" t="s">
        <v>1766</v>
      </c>
      <c r="Y144" t="s">
        <v>1581</v>
      </c>
      <c r="Z144" t="s">
        <v>2949</v>
      </c>
      <c r="AA144" t="s">
        <v>3908</v>
      </c>
      <c r="AB144" t="s">
        <v>1518</v>
      </c>
      <c r="AC144" t="s">
        <v>1518</v>
      </c>
      <c r="AD144" t="s">
        <v>1531</v>
      </c>
      <c r="AE144" t="s">
        <v>3098</v>
      </c>
      <c r="AF144" t="s">
        <v>2475</v>
      </c>
      <c r="AG144" t="s">
        <v>2475</v>
      </c>
      <c r="AH144" t="s">
        <v>4879</v>
      </c>
    </row>
    <row r="145" spans="1:34" ht="13.5">
      <c r="A145" s="18" t="s">
        <v>1537</v>
      </c>
      <c r="B145" s="7" t="s">
        <v>1780</v>
      </c>
      <c r="C145" s="18" t="s">
        <v>69</v>
      </c>
      <c r="D145" s="32" t="s">
        <v>726</v>
      </c>
      <c r="E145" s="32" t="s">
        <v>865</v>
      </c>
      <c r="F145" s="32" t="s">
        <v>524</v>
      </c>
      <c r="G145" s="32" t="s">
        <v>1091</v>
      </c>
      <c r="H145" s="32" t="s">
        <v>1313</v>
      </c>
      <c r="I145" s="32" t="s">
        <v>530</v>
      </c>
      <c r="J145" s="32" t="s">
        <v>1262</v>
      </c>
      <c r="K145" s="32" t="s">
        <v>1010</v>
      </c>
      <c r="L145" s="32" t="s">
        <v>525</v>
      </c>
      <c r="M145" s="32" t="s">
        <v>49</v>
      </c>
      <c r="N145" s="32" t="s">
        <v>94</v>
      </c>
      <c r="O145" s="32" t="s">
        <v>41</v>
      </c>
      <c r="Q145" s="32" t="s">
        <v>43</v>
      </c>
      <c r="R145" s="32" t="s">
        <v>34</v>
      </c>
      <c r="S145" s="32" t="s">
        <v>527</v>
      </c>
      <c r="T145" s="32" t="s">
        <v>2349</v>
      </c>
      <c r="U145" t="s">
        <v>1928</v>
      </c>
      <c r="V145" t="s">
        <v>2950</v>
      </c>
      <c r="W145" t="s">
        <v>2951</v>
      </c>
      <c r="X145" t="s">
        <v>1767</v>
      </c>
      <c r="Y145" t="s">
        <v>1582</v>
      </c>
      <c r="Z145" t="s">
        <v>1517</v>
      </c>
      <c r="AA145" t="s">
        <v>3909</v>
      </c>
      <c r="AB145" t="s">
        <v>1519</v>
      </c>
      <c r="AC145" t="s">
        <v>1519</v>
      </c>
      <c r="AD145" t="s">
        <v>2573</v>
      </c>
      <c r="AE145" t="s">
        <v>3102</v>
      </c>
      <c r="AF145" t="s">
        <v>1579</v>
      </c>
      <c r="AG145" t="s">
        <v>1579</v>
      </c>
      <c r="AH145" t="s">
        <v>4880</v>
      </c>
    </row>
    <row r="146" spans="1:34" ht="13.5">
      <c r="A146" s="18" t="s">
        <v>1946</v>
      </c>
      <c r="B146" s="7" t="s">
        <v>1781</v>
      </c>
      <c r="C146" s="18" t="s">
        <v>70</v>
      </c>
      <c r="D146" s="32" t="s">
        <v>42</v>
      </c>
      <c r="E146" s="32" t="s">
        <v>631</v>
      </c>
      <c r="F146" s="32" t="s">
        <v>525</v>
      </c>
      <c r="G146" s="32" t="s">
        <v>1092</v>
      </c>
      <c r="H146" s="32" t="s">
        <v>1314</v>
      </c>
      <c r="I146" s="32" t="s">
        <v>24</v>
      </c>
      <c r="J146" s="32" t="s">
        <v>528</v>
      </c>
      <c r="K146" s="32" t="s">
        <v>96</v>
      </c>
      <c r="L146" s="32" t="s">
        <v>526</v>
      </c>
      <c r="M146" s="32" t="s">
        <v>50</v>
      </c>
      <c r="N146" s="32" t="s">
        <v>95</v>
      </c>
      <c r="O146" s="32" t="s">
        <v>38</v>
      </c>
      <c r="Q146" s="32" t="s">
        <v>527</v>
      </c>
      <c r="R146" s="32" t="s">
        <v>510</v>
      </c>
      <c r="S146" s="32" t="s">
        <v>528</v>
      </c>
      <c r="T146" s="32" t="s">
        <v>2350</v>
      </c>
      <c r="U146" t="s">
        <v>2949</v>
      </c>
      <c r="V146" t="s">
        <v>2952</v>
      </c>
      <c r="W146" t="s">
        <v>2953</v>
      </c>
      <c r="X146" t="s">
        <v>1768</v>
      </c>
      <c r="Y146" t="s">
        <v>2954</v>
      </c>
      <c r="Z146" t="s">
        <v>1521</v>
      </c>
      <c r="AA146" t="s">
        <v>2347</v>
      </c>
      <c r="AB146" t="s">
        <v>1520</v>
      </c>
      <c r="AC146" t="s">
        <v>1520</v>
      </c>
      <c r="AD146" t="s">
        <v>1522</v>
      </c>
      <c r="AE146" t="s">
        <v>3104</v>
      </c>
      <c r="AF146" t="s">
        <v>1948</v>
      </c>
      <c r="AG146" t="s">
        <v>1948</v>
      </c>
      <c r="AH146" t="s">
        <v>4881</v>
      </c>
    </row>
    <row r="147" spans="1:34" ht="13.5">
      <c r="A147" s="18" t="s">
        <v>1947</v>
      </c>
      <c r="B147" s="7" t="s">
        <v>1782</v>
      </c>
      <c r="C147" s="18" t="s">
        <v>71</v>
      </c>
      <c r="D147" s="32" t="s">
        <v>521</v>
      </c>
      <c r="E147" s="32" t="s">
        <v>632</v>
      </c>
      <c r="F147" s="32" t="s">
        <v>526</v>
      </c>
      <c r="G147" s="32" t="s">
        <v>1093</v>
      </c>
      <c r="H147" s="32" t="s">
        <v>85</v>
      </c>
      <c r="I147" s="32" t="s">
        <v>28</v>
      </c>
      <c r="J147" s="32" t="s">
        <v>511</v>
      </c>
      <c r="K147" s="32" t="s">
        <v>1164</v>
      </c>
      <c r="L147" s="32" t="s">
        <v>40</v>
      </c>
      <c r="M147" s="32" t="s">
        <v>48</v>
      </c>
      <c r="N147" s="32" t="s">
        <v>2048</v>
      </c>
      <c r="O147" s="32" t="s">
        <v>29</v>
      </c>
      <c r="Q147" s="32" t="s">
        <v>528</v>
      </c>
      <c r="R147" s="32" t="s">
        <v>43</v>
      </c>
      <c r="S147" s="32" t="s">
        <v>511</v>
      </c>
      <c r="T147" s="32" t="s">
        <v>2351</v>
      </c>
      <c r="U147" t="s">
        <v>1517</v>
      </c>
      <c r="V147" t="s">
        <v>2955</v>
      </c>
      <c r="W147" t="s">
        <v>1582</v>
      </c>
      <c r="X147" t="s">
        <v>1533</v>
      </c>
      <c r="Y147" t="s">
        <v>2956</v>
      </c>
      <c r="Z147" t="s">
        <v>1518</v>
      </c>
      <c r="AA147" t="s">
        <v>2348</v>
      </c>
      <c r="AB147" t="s">
        <v>1735</v>
      </c>
      <c r="AC147" t="s">
        <v>1735</v>
      </c>
      <c r="AD147" t="s">
        <v>2574</v>
      </c>
      <c r="AE147" t="s">
        <v>1980</v>
      </c>
      <c r="AF147" t="s">
        <v>3292</v>
      </c>
      <c r="AG147" t="s">
        <v>1581</v>
      </c>
      <c r="AH147" t="s">
        <v>4882</v>
      </c>
    </row>
    <row r="148" spans="1:34" ht="13.5">
      <c r="A148" s="18" t="s">
        <v>1526</v>
      </c>
      <c r="B148" s="7" t="s">
        <v>1783</v>
      </c>
      <c r="C148" s="18" t="s">
        <v>212</v>
      </c>
      <c r="D148" s="32" t="s">
        <v>727</v>
      </c>
      <c r="E148" s="32" t="s">
        <v>866</v>
      </c>
      <c r="F148" s="32" t="s">
        <v>1036</v>
      </c>
      <c r="G148" s="32" t="s">
        <v>1094</v>
      </c>
      <c r="H148" s="32" t="s">
        <v>1315</v>
      </c>
      <c r="I148" s="32" t="s">
        <v>25</v>
      </c>
      <c r="J148" s="32" t="s">
        <v>35</v>
      </c>
      <c r="K148" s="32" t="s">
        <v>1165</v>
      </c>
      <c r="L148" s="32" t="s">
        <v>44</v>
      </c>
      <c r="M148" s="32" t="s">
        <v>47</v>
      </c>
      <c r="N148" s="32" t="s">
        <v>2049</v>
      </c>
      <c r="O148" s="32" t="s">
        <v>30</v>
      </c>
      <c r="Q148" s="32" t="s">
        <v>511</v>
      </c>
      <c r="R148" s="32" t="s">
        <v>527</v>
      </c>
      <c r="S148" s="32" t="s">
        <v>35</v>
      </c>
      <c r="T148" s="32" t="s">
        <v>1778</v>
      </c>
      <c r="U148" t="s">
        <v>1521</v>
      </c>
      <c r="V148" t="s">
        <v>2957</v>
      </c>
      <c r="W148" t="s">
        <v>2538</v>
      </c>
      <c r="X148" t="s">
        <v>2570</v>
      </c>
      <c r="Y148" t="s">
        <v>2958</v>
      </c>
      <c r="Z148" t="s">
        <v>1519</v>
      </c>
      <c r="AA148" t="s">
        <v>1536</v>
      </c>
      <c r="AB148" t="s">
        <v>1929</v>
      </c>
      <c r="AC148" t="s">
        <v>1929</v>
      </c>
      <c r="AD148" t="s">
        <v>1523</v>
      </c>
      <c r="AE148" t="s">
        <v>1524</v>
      </c>
      <c r="AF148" t="s">
        <v>3293</v>
      </c>
      <c r="AG148" t="s">
        <v>847</v>
      </c>
      <c r="AH148" t="s">
        <v>4883</v>
      </c>
    </row>
    <row r="149" spans="1:34" ht="13.5">
      <c r="A149" s="18" t="s">
        <v>1576</v>
      </c>
      <c r="B149" s="7" t="s">
        <v>1784</v>
      </c>
      <c r="C149" s="18" t="s">
        <v>213</v>
      </c>
      <c r="D149" s="32" t="s">
        <v>45</v>
      </c>
      <c r="E149" s="32" t="s">
        <v>753</v>
      </c>
      <c r="F149" s="32" t="s">
        <v>40</v>
      </c>
      <c r="G149" s="32" t="s">
        <v>1095</v>
      </c>
      <c r="H149" s="32" t="s">
        <v>1316</v>
      </c>
      <c r="I149" s="32" t="s">
        <v>26</v>
      </c>
      <c r="J149" s="32" t="s">
        <v>51</v>
      </c>
      <c r="K149" s="32" t="s">
        <v>1166</v>
      </c>
      <c r="L149" s="32" t="s">
        <v>39</v>
      </c>
      <c r="M149" s="32" t="s">
        <v>46</v>
      </c>
      <c r="N149" s="32" t="s">
        <v>343</v>
      </c>
      <c r="O149" s="32" t="s">
        <v>2086</v>
      </c>
      <c r="Q149" s="32" t="s">
        <v>35</v>
      </c>
      <c r="R149" s="32" t="s">
        <v>528</v>
      </c>
      <c r="S149" s="32" t="s">
        <v>51</v>
      </c>
      <c r="T149" s="32" t="s">
        <v>1779</v>
      </c>
      <c r="U149" t="s">
        <v>1518</v>
      </c>
      <c r="V149" t="s">
        <v>2959</v>
      </c>
      <c r="W149" t="s">
        <v>1765</v>
      </c>
      <c r="X149" t="s">
        <v>1927</v>
      </c>
      <c r="Y149" t="s">
        <v>2960</v>
      </c>
      <c r="Z149" t="s">
        <v>1520</v>
      </c>
      <c r="AA149" t="s">
        <v>2069</v>
      </c>
      <c r="AB149" t="s">
        <v>1736</v>
      </c>
      <c r="AC149" t="s">
        <v>1736</v>
      </c>
      <c r="AD149" t="s">
        <v>2575</v>
      </c>
      <c r="AE149" t="s">
        <v>3109</v>
      </c>
      <c r="AF149" t="s">
        <v>3295</v>
      </c>
      <c r="AG149" t="s">
        <v>4641</v>
      </c>
      <c r="AH149" t="s">
        <v>4884</v>
      </c>
    </row>
    <row r="150" spans="1:34" ht="13.5">
      <c r="A150" s="18" t="s">
        <v>1578</v>
      </c>
      <c r="B150" s="7" t="s">
        <v>1785</v>
      </c>
      <c r="C150" s="18" t="s">
        <v>214</v>
      </c>
      <c r="D150" s="32" t="s">
        <v>728</v>
      </c>
      <c r="E150" s="32" t="s">
        <v>523</v>
      </c>
      <c r="F150" s="32" t="s">
        <v>44</v>
      </c>
      <c r="G150" s="32" t="s">
        <v>1096</v>
      </c>
      <c r="H150" s="32" t="s">
        <v>1317</v>
      </c>
      <c r="I150" s="32" t="s">
        <v>27</v>
      </c>
      <c r="J150" s="32" t="s">
        <v>529</v>
      </c>
      <c r="K150" s="32" t="s">
        <v>1012</v>
      </c>
      <c r="L150" s="32" t="s">
        <v>41</v>
      </c>
      <c r="M150" s="32" t="s">
        <v>33</v>
      </c>
      <c r="N150" s="32" t="s">
        <v>344</v>
      </c>
      <c r="O150" s="32" t="s">
        <v>2052</v>
      </c>
      <c r="Q150" s="32" t="s">
        <v>51</v>
      </c>
      <c r="R150" s="32" t="s">
        <v>511</v>
      </c>
      <c r="S150" s="32" t="s">
        <v>529</v>
      </c>
      <c r="T150" s="32" t="s">
        <v>2352</v>
      </c>
      <c r="U150" t="s">
        <v>1519</v>
      </c>
      <c r="V150" t="s">
        <v>2961</v>
      </c>
      <c r="W150" t="s">
        <v>1766</v>
      </c>
      <c r="X150" t="s">
        <v>1532</v>
      </c>
      <c r="Y150" t="s">
        <v>2962</v>
      </c>
      <c r="Z150" t="s">
        <v>1602</v>
      </c>
      <c r="AA150" t="s">
        <v>1565</v>
      </c>
      <c r="AB150" t="s">
        <v>1510</v>
      </c>
      <c r="AC150" t="s">
        <v>1954</v>
      </c>
      <c r="AD150" t="s">
        <v>1527</v>
      </c>
      <c r="AE150" t="s">
        <v>3111</v>
      </c>
      <c r="AF150" t="s">
        <v>3296</v>
      </c>
      <c r="AG150" t="s">
        <v>4642</v>
      </c>
      <c r="AH150" t="s">
        <v>4885</v>
      </c>
    </row>
    <row r="151" spans="1:34" ht="13.5">
      <c r="A151" s="18" t="s">
        <v>1579</v>
      </c>
      <c r="B151" s="7" t="s">
        <v>1786</v>
      </c>
      <c r="C151" s="18" t="s">
        <v>215</v>
      </c>
      <c r="D151" s="32" t="s">
        <v>729</v>
      </c>
      <c r="E151" s="32" t="s">
        <v>524</v>
      </c>
      <c r="F151" s="32" t="s">
        <v>39</v>
      </c>
      <c r="G151" s="32" t="s">
        <v>1097</v>
      </c>
      <c r="H151" s="32" t="s">
        <v>234</v>
      </c>
      <c r="I151" s="32" t="s">
        <v>531</v>
      </c>
      <c r="J151" s="32" t="s">
        <v>530</v>
      </c>
      <c r="K151" s="32" t="s">
        <v>1015</v>
      </c>
      <c r="L151" s="32" t="s">
        <v>38</v>
      </c>
      <c r="M151" s="32" t="s">
        <v>91</v>
      </c>
      <c r="N151" s="32" t="s">
        <v>345</v>
      </c>
      <c r="O151" s="32" t="s">
        <v>34</v>
      </c>
      <c r="Q151" s="32" t="s">
        <v>529</v>
      </c>
      <c r="R151" s="32" t="s">
        <v>35</v>
      </c>
      <c r="S151" s="32" t="s">
        <v>530</v>
      </c>
      <c r="T151" s="32" t="s">
        <v>1780</v>
      </c>
      <c r="U151" t="s">
        <v>1520</v>
      </c>
      <c r="V151" t="s">
        <v>2963</v>
      </c>
      <c r="W151" t="s">
        <v>1767</v>
      </c>
      <c r="X151" t="s">
        <v>2571</v>
      </c>
      <c r="Y151" t="s">
        <v>2964</v>
      </c>
      <c r="Z151" t="s">
        <v>1603</v>
      </c>
      <c r="AA151" t="s">
        <v>2375</v>
      </c>
      <c r="AB151" t="s">
        <v>2717</v>
      </c>
      <c r="AC151" t="s">
        <v>1510</v>
      </c>
      <c r="AD151" t="s">
        <v>1725</v>
      </c>
      <c r="AE151" t="s">
        <v>3114</v>
      </c>
      <c r="AF151" t="s">
        <v>3298</v>
      </c>
      <c r="AG151" t="s">
        <v>4643</v>
      </c>
      <c r="AH151" t="s">
        <v>4886</v>
      </c>
    </row>
    <row r="152" spans="1:34" ht="13.5">
      <c r="A152" s="18" t="s">
        <v>1948</v>
      </c>
      <c r="B152" s="7" t="s">
        <v>1787</v>
      </c>
      <c r="C152" s="18" t="s">
        <v>216</v>
      </c>
      <c r="D152" s="32" t="s">
        <v>85</v>
      </c>
      <c r="E152" s="32" t="s">
        <v>525</v>
      </c>
      <c r="F152" s="32" t="s">
        <v>41</v>
      </c>
      <c r="G152" s="32" t="s">
        <v>1098</v>
      </c>
      <c r="H152" s="32" t="s">
        <v>1318</v>
      </c>
      <c r="I152" s="32" t="s">
        <v>115</v>
      </c>
      <c r="J152" s="32" t="s">
        <v>24</v>
      </c>
      <c r="K152" s="32" t="s">
        <v>1145</v>
      </c>
      <c r="L152" s="32" t="s">
        <v>29</v>
      </c>
      <c r="M152" s="32" t="s">
        <v>273</v>
      </c>
      <c r="N152" s="32" t="s">
        <v>346</v>
      </c>
      <c r="O152" s="32" t="s">
        <v>510</v>
      </c>
      <c r="Q152" s="32" t="s">
        <v>530</v>
      </c>
      <c r="R152" s="32" t="s">
        <v>51</v>
      </c>
      <c r="S152" s="32" t="s">
        <v>348</v>
      </c>
      <c r="T152" s="32" t="s">
        <v>2353</v>
      </c>
      <c r="U152" t="s">
        <v>2839</v>
      </c>
      <c r="V152" t="s">
        <v>2965</v>
      </c>
      <c r="W152" t="s">
        <v>1768</v>
      </c>
      <c r="X152" t="s">
        <v>1534</v>
      </c>
      <c r="Y152" t="s">
        <v>1765</v>
      </c>
      <c r="Z152" t="s">
        <v>2966</v>
      </c>
      <c r="AA152" t="s">
        <v>1512</v>
      </c>
      <c r="AB152" t="s">
        <v>2974</v>
      </c>
      <c r="AC152" t="s">
        <v>2717</v>
      </c>
      <c r="AD152" t="s">
        <v>1926</v>
      </c>
      <c r="AE152" t="s">
        <v>3117</v>
      </c>
      <c r="AF152" t="s">
        <v>1581</v>
      </c>
      <c r="AG152" t="s">
        <v>1533</v>
      </c>
      <c r="AH152" t="s">
        <v>4887</v>
      </c>
    </row>
    <row r="153" spans="1:34" ht="13.5">
      <c r="A153" s="18" t="s">
        <v>1581</v>
      </c>
      <c r="B153" s="7" t="s">
        <v>1788</v>
      </c>
      <c r="C153" s="18" t="s">
        <v>217</v>
      </c>
      <c r="D153" s="32" t="s">
        <v>730</v>
      </c>
      <c r="E153" s="32" t="s">
        <v>526</v>
      </c>
      <c r="F153" s="32" t="s">
        <v>38</v>
      </c>
      <c r="G153" s="32" t="s">
        <v>1011</v>
      </c>
      <c r="H153" s="32" t="s">
        <v>1319</v>
      </c>
      <c r="I153" s="32" t="s">
        <v>512</v>
      </c>
      <c r="J153" s="32" t="s">
        <v>28</v>
      </c>
      <c r="K153" s="32" t="s">
        <v>753</v>
      </c>
      <c r="L153" s="32" t="s">
        <v>30</v>
      </c>
      <c r="M153" s="32" t="s">
        <v>274</v>
      </c>
      <c r="N153" s="32" t="s">
        <v>96</v>
      </c>
      <c r="O153" s="32" t="s">
        <v>43</v>
      </c>
      <c r="Q153" s="32" t="s">
        <v>348</v>
      </c>
      <c r="R153" s="32" t="s">
        <v>529</v>
      </c>
      <c r="S153" s="32" t="s">
        <v>24</v>
      </c>
      <c r="T153" s="32" t="s">
        <v>1781</v>
      </c>
      <c r="U153" t="s">
        <v>1735</v>
      </c>
      <c r="V153" t="s">
        <v>2967</v>
      </c>
      <c r="W153" t="s">
        <v>1533</v>
      </c>
      <c r="X153" t="s">
        <v>2572</v>
      </c>
      <c r="Y153" t="s">
        <v>1766</v>
      </c>
      <c r="Z153" t="s">
        <v>1735</v>
      </c>
      <c r="AA153" t="s">
        <v>3910</v>
      </c>
      <c r="AB153" t="s">
        <v>2977</v>
      </c>
      <c r="AC153" t="s">
        <v>2974</v>
      </c>
      <c r="AD153" t="s">
        <v>1733</v>
      </c>
      <c r="AE153" t="s">
        <v>3119</v>
      </c>
      <c r="AF153" t="s">
        <v>3299</v>
      </c>
      <c r="AG153" t="s">
        <v>2570</v>
      </c>
      <c r="AH153" t="s">
        <v>4888</v>
      </c>
    </row>
    <row r="154" spans="1:34" ht="13.5">
      <c r="A154" s="18" t="s">
        <v>1949</v>
      </c>
      <c r="B154" s="7" t="s">
        <v>1789</v>
      </c>
      <c r="C154" s="18" t="s">
        <v>218</v>
      </c>
      <c r="D154" s="32" t="s">
        <v>731</v>
      </c>
      <c r="E154" s="32" t="s">
        <v>40</v>
      </c>
      <c r="F154" s="32" t="s">
        <v>29</v>
      </c>
      <c r="G154" s="32" t="s">
        <v>523</v>
      </c>
      <c r="H154" s="32" t="s">
        <v>1320</v>
      </c>
      <c r="I154" s="32" t="s">
        <v>52</v>
      </c>
      <c r="J154" s="32" t="s">
        <v>25</v>
      </c>
      <c r="K154" s="32" t="s">
        <v>1167</v>
      </c>
      <c r="L154" s="32" t="s">
        <v>34</v>
      </c>
      <c r="M154" s="32" t="s">
        <v>629</v>
      </c>
      <c r="N154" s="32" t="s">
        <v>279</v>
      </c>
      <c r="O154" s="32" t="s">
        <v>1261</v>
      </c>
      <c r="Q154" s="32" t="s">
        <v>24</v>
      </c>
      <c r="R154" s="32" t="s">
        <v>530</v>
      </c>
      <c r="S154" s="32" t="s">
        <v>28</v>
      </c>
      <c r="T154" s="32" t="s">
        <v>2354</v>
      </c>
      <c r="U154" t="s">
        <v>1929</v>
      </c>
      <c r="V154" t="s">
        <v>2968</v>
      </c>
      <c r="W154" t="s">
        <v>2570</v>
      </c>
      <c r="X154" t="s">
        <v>1531</v>
      </c>
      <c r="Y154" t="s">
        <v>1767</v>
      </c>
      <c r="Z154" t="s">
        <v>1929</v>
      </c>
      <c r="AA154" t="s">
        <v>1980</v>
      </c>
      <c r="AB154" t="s">
        <v>1529</v>
      </c>
      <c r="AC154" t="s">
        <v>2977</v>
      </c>
      <c r="AD154" t="s">
        <v>1528</v>
      </c>
      <c r="AE154" t="s">
        <v>3121</v>
      </c>
      <c r="AF154" t="s">
        <v>3300</v>
      </c>
      <c r="AG154" t="s">
        <v>1927</v>
      </c>
      <c r="AH154" t="s">
        <v>1571</v>
      </c>
    </row>
    <row r="155" spans="1:34" ht="13.5">
      <c r="A155" s="18" t="s">
        <v>1985</v>
      </c>
      <c r="B155" s="7" t="s">
        <v>1790</v>
      </c>
      <c r="C155" s="18" t="s">
        <v>219</v>
      </c>
      <c r="D155" s="32" t="s">
        <v>732</v>
      </c>
      <c r="E155" s="32" t="s">
        <v>44</v>
      </c>
      <c r="F155" s="32" t="s">
        <v>30</v>
      </c>
      <c r="G155" s="32" t="s">
        <v>524</v>
      </c>
      <c r="H155" s="32" t="s">
        <v>1321</v>
      </c>
      <c r="I155" s="32" t="s">
        <v>513</v>
      </c>
      <c r="J155" s="32" t="s">
        <v>26</v>
      </c>
      <c r="K155" s="32" t="s">
        <v>523</v>
      </c>
      <c r="L155" s="32" t="s">
        <v>510</v>
      </c>
      <c r="M155" s="32" t="s">
        <v>275</v>
      </c>
      <c r="N155" s="32" t="s">
        <v>523</v>
      </c>
      <c r="O155" s="32" t="s">
        <v>527</v>
      </c>
      <c r="Q155" s="32" t="s">
        <v>28</v>
      </c>
      <c r="R155" s="32" t="s">
        <v>348</v>
      </c>
      <c r="S155" s="32" t="s">
        <v>25</v>
      </c>
      <c r="T155" s="32" t="s">
        <v>1782</v>
      </c>
      <c r="U155" t="s">
        <v>2969</v>
      </c>
      <c r="V155" t="s">
        <v>2970</v>
      </c>
      <c r="W155" t="s">
        <v>1927</v>
      </c>
      <c r="X155" t="s">
        <v>2573</v>
      </c>
      <c r="Y155" t="s">
        <v>1768</v>
      </c>
      <c r="Z155" t="s">
        <v>1736</v>
      </c>
      <c r="AA155" t="s">
        <v>1524</v>
      </c>
      <c r="AB155" t="s">
        <v>1530</v>
      </c>
      <c r="AC155" t="s">
        <v>1529</v>
      </c>
      <c r="AD155" t="s">
        <v>1928</v>
      </c>
      <c r="AE155" t="s">
        <v>3123</v>
      </c>
      <c r="AF155" t="s">
        <v>3302</v>
      </c>
      <c r="AG155" t="s">
        <v>1532</v>
      </c>
      <c r="AH155" t="s">
        <v>1576</v>
      </c>
    </row>
    <row r="156" spans="1:34" ht="13.5">
      <c r="A156" s="18" t="s">
        <v>1986</v>
      </c>
      <c r="B156" s="7" t="s">
        <v>1791</v>
      </c>
      <c r="C156" s="18" t="s">
        <v>220</v>
      </c>
      <c r="D156" s="32" t="s">
        <v>733</v>
      </c>
      <c r="E156" s="32" t="s">
        <v>39</v>
      </c>
      <c r="F156" s="32" t="s">
        <v>34</v>
      </c>
      <c r="G156" s="32" t="s">
        <v>525</v>
      </c>
      <c r="H156" s="32" t="s">
        <v>1322</v>
      </c>
      <c r="I156" s="32" t="s">
        <v>532</v>
      </c>
      <c r="J156" s="32" t="s">
        <v>27</v>
      </c>
      <c r="K156" s="32" t="s">
        <v>524</v>
      </c>
      <c r="L156" s="32" t="s">
        <v>43</v>
      </c>
      <c r="M156" s="32" t="s">
        <v>276</v>
      </c>
      <c r="N156" s="32" t="s">
        <v>524</v>
      </c>
      <c r="O156" s="32" t="s">
        <v>528</v>
      </c>
      <c r="Q156" s="32" t="s">
        <v>25</v>
      </c>
      <c r="R156" s="32" t="s">
        <v>24</v>
      </c>
      <c r="S156" s="32" t="s">
        <v>26</v>
      </c>
      <c r="T156" s="32" t="s">
        <v>2355</v>
      </c>
      <c r="U156" t="s">
        <v>1736</v>
      </c>
      <c r="V156" t="s">
        <v>2971</v>
      </c>
      <c r="W156" t="s">
        <v>1532</v>
      </c>
      <c r="X156" t="s">
        <v>1522</v>
      </c>
      <c r="Y156" t="s">
        <v>1533</v>
      </c>
      <c r="Z156" t="s">
        <v>1510</v>
      </c>
      <c r="AA156" t="s">
        <v>1764</v>
      </c>
      <c r="AB156" t="s">
        <v>4413</v>
      </c>
      <c r="AC156" t="s">
        <v>1530</v>
      </c>
      <c r="AD156" t="s">
        <v>2949</v>
      </c>
      <c r="AE156" t="s">
        <v>3125</v>
      </c>
      <c r="AF156" t="s">
        <v>3303</v>
      </c>
      <c r="AG156" t="s">
        <v>2571</v>
      </c>
      <c r="AH156" t="s">
        <v>1578</v>
      </c>
    </row>
    <row r="157" spans="1:34" ht="13.5">
      <c r="A157" s="18" t="s">
        <v>1987</v>
      </c>
      <c r="B157" s="7" t="s">
        <v>1792</v>
      </c>
      <c r="C157" s="18" t="s">
        <v>221</v>
      </c>
      <c r="D157" s="32" t="s">
        <v>734</v>
      </c>
      <c r="E157" s="32" t="s">
        <v>41</v>
      </c>
      <c r="F157" s="32" t="s">
        <v>757</v>
      </c>
      <c r="G157" s="32" t="s">
        <v>1060</v>
      </c>
      <c r="H157" s="32" t="s">
        <v>1323</v>
      </c>
      <c r="I157" s="32" t="s">
        <v>669</v>
      </c>
      <c r="J157" s="32" t="s">
        <v>531</v>
      </c>
      <c r="K157" s="32" t="s">
        <v>525</v>
      </c>
      <c r="L157" s="32" t="s">
        <v>978</v>
      </c>
      <c r="M157" s="32" t="s">
        <v>277</v>
      </c>
      <c r="N157" s="32" t="s">
        <v>525</v>
      </c>
      <c r="O157" s="32" t="s">
        <v>511</v>
      </c>
      <c r="Q157" s="32" t="s">
        <v>26</v>
      </c>
      <c r="R157" s="32" t="s">
        <v>28</v>
      </c>
      <c r="S157" s="32" t="s">
        <v>27</v>
      </c>
      <c r="T157" s="32" t="s">
        <v>1783</v>
      </c>
      <c r="U157" t="s">
        <v>2972</v>
      </c>
      <c r="V157" t="s">
        <v>1535</v>
      </c>
      <c r="W157" t="s">
        <v>2571</v>
      </c>
      <c r="X157" t="s">
        <v>2574</v>
      </c>
      <c r="Y157" t="s">
        <v>2570</v>
      </c>
      <c r="Z157" t="s">
        <v>2973</v>
      </c>
      <c r="AA157" t="s">
        <v>3911</v>
      </c>
      <c r="AB157" t="s">
        <v>1754</v>
      </c>
      <c r="AC157" t="s">
        <v>4413</v>
      </c>
      <c r="AD157" t="s">
        <v>4416</v>
      </c>
      <c r="AE157" t="s">
        <v>4415</v>
      </c>
      <c r="AF157" t="s">
        <v>4065</v>
      </c>
      <c r="AG157" t="s">
        <v>1534</v>
      </c>
      <c r="AH157" t="s">
        <v>1579</v>
      </c>
    </row>
    <row r="158" spans="1:34" ht="13.5">
      <c r="A158" s="18" t="s">
        <v>1923</v>
      </c>
      <c r="B158" s="7" t="s">
        <v>1793</v>
      </c>
      <c r="C158" s="18" t="s">
        <v>222</v>
      </c>
      <c r="D158" s="32" t="s">
        <v>234</v>
      </c>
      <c r="E158" s="32" t="s">
        <v>754</v>
      </c>
      <c r="F158" s="32" t="s">
        <v>510</v>
      </c>
      <c r="G158" s="32" t="s">
        <v>1061</v>
      </c>
      <c r="H158" s="32" t="s">
        <v>1324</v>
      </c>
      <c r="I158" s="32" t="s">
        <v>121</v>
      </c>
      <c r="J158" s="32" t="s">
        <v>115</v>
      </c>
      <c r="K158" s="32" t="s">
        <v>526</v>
      </c>
      <c r="L158" s="32" t="s">
        <v>527</v>
      </c>
      <c r="M158" s="32" t="s">
        <v>278</v>
      </c>
      <c r="N158" s="32" t="s">
        <v>526</v>
      </c>
      <c r="O158" s="32" t="s">
        <v>35</v>
      </c>
      <c r="Q158" s="32" t="s">
        <v>27</v>
      </c>
      <c r="R158" s="32" t="s">
        <v>25</v>
      </c>
      <c r="S158" s="32" t="s">
        <v>531</v>
      </c>
      <c r="T158" s="32" t="s">
        <v>2356</v>
      </c>
      <c r="U158" t="s">
        <v>1510</v>
      </c>
      <c r="V158" t="s">
        <v>1763</v>
      </c>
      <c r="W158" t="s">
        <v>1534</v>
      </c>
      <c r="X158" t="s">
        <v>1523</v>
      </c>
      <c r="Y158" t="s">
        <v>1927</v>
      </c>
      <c r="Z158" t="s">
        <v>2717</v>
      </c>
      <c r="AA158" t="s">
        <v>3912</v>
      </c>
      <c r="AB158" t="s">
        <v>1755</v>
      </c>
      <c r="AC158" t="s">
        <v>1754</v>
      </c>
      <c r="AD158" t="s">
        <v>4417</v>
      </c>
      <c r="AE158" t="s">
        <v>1525</v>
      </c>
      <c r="AF158" t="s">
        <v>3315</v>
      </c>
      <c r="AG158" t="s">
        <v>2572</v>
      </c>
      <c r="AH158" t="s">
        <v>1948</v>
      </c>
    </row>
    <row r="159" spans="1:34" ht="13.5">
      <c r="A159" s="18" t="s">
        <v>1765</v>
      </c>
      <c r="B159" s="7" t="s">
        <v>1482</v>
      </c>
      <c r="C159" s="18" t="s">
        <v>72</v>
      </c>
      <c r="D159" s="32" t="s">
        <v>735</v>
      </c>
      <c r="E159" s="32" t="s">
        <v>38</v>
      </c>
      <c r="F159" s="32" t="s">
        <v>43</v>
      </c>
      <c r="G159" s="32" t="s">
        <v>1062</v>
      </c>
      <c r="H159" s="32" t="s">
        <v>1325</v>
      </c>
      <c r="I159" s="32" t="s">
        <v>533</v>
      </c>
      <c r="J159" s="32" t="s">
        <v>512</v>
      </c>
      <c r="K159" s="32" t="s">
        <v>40</v>
      </c>
      <c r="L159" s="32" t="s">
        <v>963</v>
      </c>
      <c r="M159" s="32" t="s">
        <v>92</v>
      </c>
      <c r="N159" s="32" t="s">
        <v>40</v>
      </c>
      <c r="O159" s="32" t="s">
        <v>51</v>
      </c>
      <c r="Q159" s="32" t="s">
        <v>531</v>
      </c>
      <c r="R159" s="32" t="s">
        <v>26</v>
      </c>
      <c r="S159" s="32" t="s">
        <v>512</v>
      </c>
      <c r="T159" s="32" t="s">
        <v>1784</v>
      </c>
      <c r="U159" t="s">
        <v>2840</v>
      </c>
      <c r="V159" t="s">
        <v>1536</v>
      </c>
      <c r="W159" t="s">
        <v>2572</v>
      </c>
      <c r="X159" t="s">
        <v>2575</v>
      </c>
      <c r="Y159" t="s">
        <v>1532</v>
      </c>
      <c r="Z159" t="s">
        <v>2974</v>
      </c>
      <c r="AA159" t="s">
        <v>3109</v>
      </c>
      <c r="AB159" t="s">
        <v>1756</v>
      </c>
      <c r="AC159" t="s">
        <v>1755</v>
      </c>
      <c r="AD159" t="s">
        <v>4418</v>
      </c>
      <c r="AE159" t="s">
        <v>4425</v>
      </c>
      <c r="AF159" t="s">
        <v>3316</v>
      </c>
      <c r="AG159" t="s">
        <v>1531</v>
      </c>
      <c r="AH159" t="s">
        <v>1581</v>
      </c>
    </row>
    <row r="160" spans="1:34" ht="13.5">
      <c r="A160" s="18" t="s">
        <v>1766</v>
      </c>
      <c r="B160" s="7" t="s">
        <v>1483</v>
      </c>
      <c r="C160" s="18" t="s">
        <v>73</v>
      </c>
      <c r="D160" s="32" t="s">
        <v>736</v>
      </c>
      <c r="E160" s="32" t="s">
        <v>29</v>
      </c>
      <c r="F160" s="32" t="s">
        <v>527</v>
      </c>
      <c r="G160" s="32" t="s">
        <v>1063</v>
      </c>
      <c r="H160" s="32" t="s">
        <v>1326</v>
      </c>
      <c r="I160" s="32" t="s">
        <v>534</v>
      </c>
      <c r="J160" s="32" t="s">
        <v>52</v>
      </c>
      <c r="K160" s="32" t="s">
        <v>44</v>
      </c>
      <c r="L160" s="32" t="s">
        <v>528</v>
      </c>
      <c r="M160" s="32" t="s">
        <v>94</v>
      </c>
      <c r="N160" s="32" t="s">
        <v>44</v>
      </c>
      <c r="O160" s="32" t="s">
        <v>529</v>
      </c>
      <c r="Q160" s="32" t="s">
        <v>512</v>
      </c>
      <c r="R160" s="32" t="s">
        <v>27</v>
      </c>
      <c r="S160" s="32" t="s">
        <v>52</v>
      </c>
      <c r="T160" s="32" t="s">
        <v>2357</v>
      </c>
      <c r="U160" t="s">
        <v>2717</v>
      </c>
      <c r="V160" t="s">
        <v>2975</v>
      </c>
      <c r="W160" t="s">
        <v>1531</v>
      </c>
      <c r="X160" t="s">
        <v>2976</v>
      </c>
      <c r="Y160" t="s">
        <v>2571</v>
      </c>
      <c r="Z160" t="s">
        <v>2977</v>
      </c>
      <c r="AA160" t="s">
        <v>3111</v>
      </c>
      <c r="AB160" t="s">
        <v>1757</v>
      </c>
      <c r="AC160" t="s">
        <v>1756</v>
      </c>
      <c r="AD160" t="s">
        <v>1517</v>
      </c>
      <c r="AE160" t="s">
        <v>4426</v>
      </c>
      <c r="AF160" t="s">
        <v>1533</v>
      </c>
      <c r="AG160" t="s">
        <v>2573</v>
      </c>
      <c r="AH160" t="s">
        <v>4889</v>
      </c>
    </row>
    <row r="161" spans="1:34" ht="13.5">
      <c r="A161" s="18" t="s">
        <v>1767</v>
      </c>
      <c r="B161" s="7" t="s">
        <v>1484</v>
      </c>
      <c r="C161" s="18" t="s">
        <v>74</v>
      </c>
      <c r="D161" s="32" t="s">
        <v>240</v>
      </c>
      <c r="E161" s="32" t="s">
        <v>30</v>
      </c>
      <c r="F161" s="32" t="s">
        <v>528</v>
      </c>
      <c r="G161" s="32" t="s">
        <v>1064</v>
      </c>
      <c r="H161" s="32" t="s">
        <v>1327</v>
      </c>
      <c r="I161" s="32" t="s">
        <v>36</v>
      </c>
      <c r="J161" s="32" t="s">
        <v>1264</v>
      </c>
      <c r="K161" s="32" t="s">
        <v>39</v>
      </c>
      <c r="L161" s="32" t="s">
        <v>964</v>
      </c>
      <c r="M161" s="32" t="s">
        <v>95</v>
      </c>
      <c r="N161" s="32" t="s">
        <v>39</v>
      </c>
      <c r="O161" s="32" t="s">
        <v>530</v>
      </c>
      <c r="Q161" s="32" t="s">
        <v>52</v>
      </c>
      <c r="R161" s="32" t="s">
        <v>531</v>
      </c>
      <c r="S161" s="32" t="s">
        <v>513</v>
      </c>
      <c r="T161" s="32" t="s">
        <v>1785</v>
      </c>
      <c r="U161" t="s">
        <v>2974</v>
      </c>
      <c r="V161" t="s">
        <v>2978</v>
      </c>
      <c r="W161" t="s">
        <v>2573</v>
      </c>
      <c r="X161" t="s">
        <v>1527</v>
      </c>
      <c r="Y161" t="s">
        <v>1534</v>
      </c>
      <c r="Z161" t="s">
        <v>2979</v>
      </c>
      <c r="AA161" t="s">
        <v>3913</v>
      </c>
      <c r="AB161" t="s">
        <v>1758</v>
      </c>
      <c r="AC161" t="s">
        <v>1757</v>
      </c>
      <c r="AD161" t="s">
        <v>1521</v>
      </c>
      <c r="AE161" t="s">
        <v>4427</v>
      </c>
      <c r="AF161" t="s">
        <v>2570</v>
      </c>
      <c r="AG161" t="s">
        <v>1522</v>
      </c>
      <c r="AH161" t="s">
        <v>1582</v>
      </c>
    </row>
    <row r="162" spans="1:34" ht="13.5">
      <c r="A162" s="18" t="s">
        <v>1768</v>
      </c>
      <c r="B162" s="7" t="s">
        <v>1485</v>
      </c>
      <c r="C162" s="18" t="s">
        <v>75</v>
      </c>
      <c r="D162" s="32" t="s">
        <v>31</v>
      </c>
      <c r="E162" s="32" t="s">
        <v>755</v>
      </c>
      <c r="F162" s="32" t="s">
        <v>511</v>
      </c>
      <c r="G162" s="32" t="s">
        <v>1065</v>
      </c>
      <c r="H162" s="32" t="s">
        <v>1328</v>
      </c>
      <c r="I162" s="32" t="s">
        <v>37</v>
      </c>
      <c r="J162" s="32" t="s">
        <v>1265</v>
      </c>
      <c r="K162" s="32" t="s">
        <v>41</v>
      </c>
      <c r="L162" s="32" t="s">
        <v>979</v>
      </c>
      <c r="M162" s="32" t="s">
        <v>343</v>
      </c>
      <c r="N162" s="32" t="s">
        <v>41</v>
      </c>
      <c r="O162" s="32" t="s">
        <v>24</v>
      </c>
      <c r="Q162" s="32" t="s">
        <v>513</v>
      </c>
      <c r="R162" s="32" t="s">
        <v>512</v>
      </c>
      <c r="S162" s="32" t="s">
        <v>532</v>
      </c>
      <c r="T162" s="32" t="s">
        <v>2358</v>
      </c>
      <c r="U162" t="s">
        <v>2977</v>
      </c>
      <c r="V162" t="s">
        <v>2980</v>
      </c>
      <c r="W162" t="s">
        <v>1522</v>
      </c>
      <c r="X162" t="s">
        <v>2981</v>
      </c>
      <c r="Y162" t="s">
        <v>2572</v>
      </c>
      <c r="Z162" t="s">
        <v>2982</v>
      </c>
      <c r="AA162" t="s">
        <v>3914</v>
      </c>
      <c r="AB162" t="s">
        <v>1759</v>
      </c>
      <c r="AC162" t="s">
        <v>1758</v>
      </c>
      <c r="AD162" t="s">
        <v>1518</v>
      </c>
      <c r="AE162" t="s">
        <v>4428</v>
      </c>
      <c r="AF162" t="s">
        <v>1927</v>
      </c>
      <c r="AG162" t="s">
        <v>2574</v>
      </c>
      <c r="AH162" t="s">
        <v>4890</v>
      </c>
    </row>
    <row r="163" spans="1:34" ht="13.5">
      <c r="A163" s="18" t="s">
        <v>1533</v>
      </c>
      <c r="B163" s="7" t="s">
        <v>1486</v>
      </c>
      <c r="C163" s="18" t="s">
        <v>76</v>
      </c>
      <c r="D163" s="32" t="s">
        <v>522</v>
      </c>
      <c r="E163" s="32" t="s">
        <v>34</v>
      </c>
      <c r="F163" s="32" t="s">
        <v>35</v>
      </c>
      <c r="G163" s="32" t="s">
        <v>1066</v>
      </c>
      <c r="H163" s="32" t="s">
        <v>1329</v>
      </c>
      <c r="I163" s="32" t="s">
        <v>127</v>
      </c>
      <c r="J163" s="32" t="s">
        <v>1266</v>
      </c>
      <c r="K163" s="32" t="s">
        <v>38</v>
      </c>
      <c r="L163" s="32" t="s">
        <v>980</v>
      </c>
      <c r="M163" s="32" t="s">
        <v>344</v>
      </c>
      <c r="N163" s="32" t="s">
        <v>38</v>
      </c>
      <c r="O163" s="32" t="s">
        <v>28</v>
      </c>
      <c r="Q163" s="32" t="s">
        <v>532</v>
      </c>
      <c r="R163" s="32" t="s">
        <v>52</v>
      </c>
      <c r="S163" s="32" t="s">
        <v>121</v>
      </c>
      <c r="T163" s="32" t="s">
        <v>1786</v>
      </c>
      <c r="U163" t="s">
        <v>1955</v>
      </c>
      <c r="V163" t="s">
        <v>2983</v>
      </c>
      <c r="W163" t="s">
        <v>2574</v>
      </c>
      <c r="X163" t="s">
        <v>1725</v>
      </c>
      <c r="Y163" t="s">
        <v>1531</v>
      </c>
      <c r="Z163" t="s">
        <v>1529</v>
      </c>
      <c r="AA163" t="s">
        <v>1676</v>
      </c>
      <c r="AB163" t="s">
        <v>1760</v>
      </c>
      <c r="AC163" t="s">
        <v>1759</v>
      </c>
      <c r="AD163" t="s">
        <v>1519</v>
      </c>
      <c r="AE163" t="s">
        <v>4429</v>
      </c>
      <c r="AF163" t="s">
        <v>1532</v>
      </c>
      <c r="AG163" t="s">
        <v>1523</v>
      </c>
      <c r="AH163" t="s">
        <v>4891</v>
      </c>
    </row>
    <row r="164" spans="1:34" ht="13.5">
      <c r="A164" s="18" t="s">
        <v>1927</v>
      </c>
      <c r="B164" s="7" t="s">
        <v>1672</v>
      </c>
      <c r="C164" s="18" t="s">
        <v>77</v>
      </c>
      <c r="D164" s="32" t="s">
        <v>737</v>
      </c>
      <c r="E164" s="32" t="s">
        <v>757</v>
      </c>
      <c r="F164" s="32" t="s">
        <v>51</v>
      </c>
      <c r="G164" s="32" t="s">
        <v>1067</v>
      </c>
      <c r="H164" s="32" t="s">
        <v>1330</v>
      </c>
      <c r="I164" s="32" t="s">
        <v>128</v>
      </c>
      <c r="J164" s="32" t="s">
        <v>1267</v>
      </c>
      <c r="K164" s="32" t="s">
        <v>29</v>
      </c>
      <c r="L164" s="32" t="s">
        <v>511</v>
      </c>
      <c r="M164" s="32" t="s">
        <v>345</v>
      </c>
      <c r="N164" s="32" t="s">
        <v>29</v>
      </c>
      <c r="O164" s="32" t="s">
        <v>25</v>
      </c>
      <c r="Q164" s="32" t="s">
        <v>121</v>
      </c>
      <c r="R164" s="32" t="s">
        <v>513</v>
      </c>
      <c r="S164" s="32" t="s">
        <v>533</v>
      </c>
      <c r="T164" s="32" t="s">
        <v>2359</v>
      </c>
      <c r="U164" t="s">
        <v>1529</v>
      </c>
      <c r="V164" t="s">
        <v>2984</v>
      </c>
      <c r="W164" t="s">
        <v>1523</v>
      </c>
      <c r="X164" t="s">
        <v>2985</v>
      </c>
      <c r="Y164" t="s">
        <v>2573</v>
      </c>
      <c r="Z164" t="s">
        <v>1530</v>
      </c>
      <c r="AA164" t="s">
        <v>2452</v>
      </c>
      <c r="AB164" t="s">
        <v>2832</v>
      </c>
      <c r="AC164" t="s">
        <v>1760</v>
      </c>
      <c r="AD164" t="s">
        <v>1520</v>
      </c>
      <c r="AE164" t="s">
        <v>4430</v>
      </c>
      <c r="AF164" t="s">
        <v>2571</v>
      </c>
      <c r="AG164" t="s">
        <v>2575</v>
      </c>
      <c r="AH164" t="s">
        <v>1586</v>
      </c>
    </row>
    <row r="165" spans="1:34" ht="13.5">
      <c r="A165" s="18" t="s">
        <v>1532</v>
      </c>
      <c r="B165" s="7" t="s">
        <v>1673</v>
      </c>
      <c r="C165" s="18" t="s">
        <v>78</v>
      </c>
      <c r="D165" s="32" t="s">
        <v>384</v>
      </c>
      <c r="E165" s="32" t="s">
        <v>510</v>
      </c>
      <c r="F165" s="32" t="s">
        <v>529</v>
      </c>
      <c r="G165" s="32" t="s">
        <v>1068</v>
      </c>
      <c r="H165" s="32" t="s">
        <v>1331</v>
      </c>
      <c r="I165" s="32" t="s">
        <v>535</v>
      </c>
      <c r="J165" s="32" t="s">
        <v>1268</v>
      </c>
      <c r="K165" s="32" t="s">
        <v>30</v>
      </c>
      <c r="L165" s="32" t="s">
        <v>965</v>
      </c>
      <c r="M165" s="32" t="s">
        <v>346</v>
      </c>
      <c r="N165" s="32" t="s">
        <v>30</v>
      </c>
      <c r="O165" s="32" t="s">
        <v>26</v>
      </c>
      <c r="Q165" s="32" t="s">
        <v>533</v>
      </c>
      <c r="R165" s="32" t="s">
        <v>1038</v>
      </c>
      <c r="S165" s="32" t="s">
        <v>329</v>
      </c>
      <c r="T165" s="32" t="s">
        <v>1787</v>
      </c>
      <c r="U165" t="s">
        <v>1530</v>
      </c>
      <c r="V165" t="s">
        <v>2986</v>
      </c>
      <c r="W165" t="s">
        <v>2575</v>
      </c>
      <c r="X165" t="s">
        <v>1926</v>
      </c>
      <c r="Y165" t="s">
        <v>1522</v>
      </c>
      <c r="Z165" t="s">
        <v>2987</v>
      </c>
      <c r="AA165" t="s">
        <v>3915</v>
      </c>
      <c r="AB165" s="18" t="s">
        <v>3006</v>
      </c>
      <c r="AC165" t="s">
        <v>2832</v>
      </c>
      <c r="AD165" t="s">
        <v>1735</v>
      </c>
      <c r="AE165" t="s">
        <v>4431</v>
      </c>
      <c r="AF165" t="s">
        <v>1534</v>
      </c>
      <c r="AG165" t="s">
        <v>4644</v>
      </c>
      <c r="AH165" t="s">
        <v>4892</v>
      </c>
    </row>
    <row r="166" spans="1:34" ht="13.5">
      <c r="A166" s="18" t="s">
        <v>1534</v>
      </c>
      <c r="B166" s="7" t="s">
        <v>1565</v>
      </c>
      <c r="C166" s="18" t="s">
        <v>79</v>
      </c>
      <c r="D166" s="32" t="s">
        <v>32</v>
      </c>
      <c r="E166" s="32" t="s">
        <v>43</v>
      </c>
      <c r="F166" s="32" t="s">
        <v>530</v>
      </c>
      <c r="G166" s="32" t="s">
        <v>1069</v>
      </c>
      <c r="H166" s="32" t="s">
        <v>1332</v>
      </c>
      <c r="I166" s="32" t="s">
        <v>514</v>
      </c>
      <c r="J166" s="32" t="s">
        <v>1269</v>
      </c>
      <c r="K166" s="32" t="s">
        <v>1168</v>
      </c>
      <c r="L166" s="32" t="s">
        <v>35</v>
      </c>
      <c r="M166" s="32" t="s">
        <v>96</v>
      </c>
      <c r="N166" s="32" t="s">
        <v>347</v>
      </c>
      <c r="O166" s="32" t="s">
        <v>27</v>
      </c>
      <c r="Q166" s="32" t="s">
        <v>329</v>
      </c>
      <c r="R166" s="32" t="s">
        <v>532</v>
      </c>
      <c r="S166" s="32" t="s">
        <v>534</v>
      </c>
      <c r="T166" s="32" t="s">
        <v>2360</v>
      </c>
      <c r="U166" t="s">
        <v>2987</v>
      </c>
      <c r="V166" t="s">
        <v>2988</v>
      </c>
      <c r="W166" t="s">
        <v>2584</v>
      </c>
      <c r="X166" t="s">
        <v>1769</v>
      </c>
      <c r="Y166" t="s">
        <v>2574</v>
      </c>
      <c r="Z166" t="s">
        <v>1754</v>
      </c>
      <c r="AA166" t="s">
        <v>1525</v>
      </c>
      <c r="AC166" s="18" t="s">
        <v>3006</v>
      </c>
      <c r="AD166" t="s">
        <v>1929</v>
      </c>
      <c r="AE166" t="s">
        <v>4432</v>
      </c>
      <c r="AF166" t="s">
        <v>2572</v>
      </c>
      <c r="AG166" t="s">
        <v>4645</v>
      </c>
      <c r="AH166" t="s">
        <v>4893</v>
      </c>
    </row>
    <row r="167" spans="1:34" ht="13.5">
      <c r="A167" s="18" t="s">
        <v>1531</v>
      </c>
      <c r="B167" s="7" t="s">
        <v>1674</v>
      </c>
      <c r="C167" s="18" t="s">
        <v>80</v>
      </c>
      <c r="D167" s="32" t="s">
        <v>90</v>
      </c>
      <c r="E167" s="32" t="s">
        <v>527</v>
      </c>
      <c r="F167" s="32" t="s">
        <v>24</v>
      </c>
      <c r="G167" s="32" t="s">
        <v>526</v>
      </c>
      <c r="H167" s="32" t="s">
        <v>1333</v>
      </c>
      <c r="I167" s="32" t="s">
        <v>515</v>
      </c>
      <c r="J167" s="32" t="s">
        <v>1270</v>
      </c>
      <c r="K167" s="32" t="s">
        <v>1169</v>
      </c>
      <c r="L167" s="32" t="s">
        <v>51</v>
      </c>
      <c r="M167" s="32" t="s">
        <v>279</v>
      </c>
      <c r="N167" s="32" t="s">
        <v>2050</v>
      </c>
      <c r="O167" s="32" t="s">
        <v>531</v>
      </c>
      <c r="Q167" s="32" t="s">
        <v>534</v>
      </c>
      <c r="R167" s="32" t="s">
        <v>121</v>
      </c>
      <c r="S167" s="32" t="s">
        <v>36</v>
      </c>
      <c r="T167" s="32" t="s">
        <v>1788</v>
      </c>
      <c r="U167" t="s">
        <v>370</v>
      </c>
      <c r="V167" t="s">
        <v>2989</v>
      </c>
      <c r="W167" t="s">
        <v>2585</v>
      </c>
      <c r="X167" t="s">
        <v>2595</v>
      </c>
      <c r="Y167" t="s">
        <v>1523</v>
      </c>
      <c r="Z167" t="s">
        <v>1755</v>
      </c>
      <c r="AA167" t="s">
        <v>3916</v>
      </c>
      <c r="AD167" t="s">
        <v>1736</v>
      </c>
      <c r="AE167" t="s">
        <v>4433</v>
      </c>
      <c r="AF167" t="s">
        <v>1531</v>
      </c>
      <c r="AG167" t="s">
        <v>4646</v>
      </c>
      <c r="AH167" t="s">
        <v>4894</v>
      </c>
    </row>
    <row r="168" spans="1:34" ht="13.5">
      <c r="A168" s="18" t="s">
        <v>1522</v>
      </c>
      <c r="B168" s="7" t="s">
        <v>1566</v>
      </c>
      <c r="C168" s="18" t="s">
        <v>81</v>
      </c>
      <c r="D168" s="32" t="s">
        <v>626</v>
      </c>
      <c r="E168" s="32" t="s">
        <v>528</v>
      </c>
      <c r="F168" s="32" t="s">
        <v>28</v>
      </c>
      <c r="G168" s="32" t="s">
        <v>1036</v>
      </c>
      <c r="H168" s="32" t="s">
        <v>1334</v>
      </c>
      <c r="I168" s="32" t="s">
        <v>516</v>
      </c>
      <c r="J168" s="32" t="s">
        <v>1271</v>
      </c>
      <c r="K168" s="32" t="s">
        <v>34</v>
      </c>
      <c r="L168" s="32" t="s">
        <v>529</v>
      </c>
      <c r="M168" s="32" t="s">
        <v>1395</v>
      </c>
      <c r="N168" s="32" t="s">
        <v>2051</v>
      </c>
      <c r="O168" s="32" t="s">
        <v>449</v>
      </c>
      <c r="Q168" s="32" t="s">
        <v>36</v>
      </c>
      <c r="R168" s="32" t="s">
        <v>533</v>
      </c>
      <c r="S168" s="32" t="s">
        <v>37</v>
      </c>
      <c r="T168" s="32" t="s">
        <v>2361</v>
      </c>
      <c r="U168" t="s">
        <v>1754</v>
      </c>
      <c r="V168" t="s">
        <v>2990</v>
      </c>
      <c r="W168" t="s">
        <v>1527</v>
      </c>
      <c r="X168" t="s">
        <v>1770</v>
      </c>
      <c r="Y168" t="s">
        <v>2575</v>
      </c>
      <c r="Z168" t="s">
        <v>1756</v>
      </c>
      <c r="AA168" t="s">
        <v>2832</v>
      </c>
      <c r="AD168" t="s">
        <v>1510</v>
      </c>
      <c r="AE168" t="s">
        <v>4434</v>
      </c>
      <c r="AF168" t="s">
        <v>2573</v>
      </c>
      <c r="AG168" t="s">
        <v>4647</v>
      </c>
      <c r="AH168" t="s">
        <v>4895</v>
      </c>
    </row>
    <row r="169" spans="1:34" ht="13.5">
      <c r="A169" s="18" t="s">
        <v>1523</v>
      </c>
      <c r="B169" s="7" t="s">
        <v>1512</v>
      </c>
      <c r="C169" s="18" t="s">
        <v>223</v>
      </c>
      <c r="D169" s="32" t="s">
        <v>627</v>
      </c>
      <c r="E169" s="32" t="s">
        <v>511</v>
      </c>
      <c r="F169" s="32" t="s">
        <v>25</v>
      </c>
      <c r="G169" s="32" t="s">
        <v>40</v>
      </c>
      <c r="H169" s="32" t="s">
        <v>1335</v>
      </c>
      <c r="I169" s="32" t="s">
        <v>517</v>
      </c>
      <c r="J169" s="32" t="s">
        <v>1272</v>
      </c>
      <c r="K169" s="32" t="s">
        <v>757</v>
      </c>
      <c r="L169" s="32" t="s">
        <v>530</v>
      </c>
      <c r="M169" s="32" t="s">
        <v>523</v>
      </c>
      <c r="N169" s="32" t="s">
        <v>2052</v>
      </c>
      <c r="O169" s="32" t="s">
        <v>512</v>
      </c>
      <c r="Q169" s="32" t="s">
        <v>37</v>
      </c>
      <c r="R169" s="32" t="s">
        <v>534</v>
      </c>
      <c r="S169" s="32" t="s">
        <v>2118</v>
      </c>
      <c r="T169" s="32" t="s">
        <v>2362</v>
      </c>
      <c r="U169" t="s">
        <v>1755</v>
      </c>
      <c r="V169" t="s">
        <v>2991</v>
      </c>
      <c r="W169" t="s">
        <v>2586</v>
      </c>
      <c r="X169" t="s">
        <v>2597</v>
      </c>
      <c r="Y169" t="s">
        <v>2992</v>
      </c>
      <c r="Z169" t="s">
        <v>1757</v>
      </c>
      <c r="AA169" t="s">
        <v>2928</v>
      </c>
      <c r="AD169" t="s">
        <v>2717</v>
      </c>
      <c r="AE169" t="s">
        <v>4435</v>
      </c>
      <c r="AF169" t="s">
        <v>1522</v>
      </c>
      <c r="AG169" t="s">
        <v>4648</v>
      </c>
      <c r="AH169" t="s">
        <v>4896</v>
      </c>
    </row>
    <row r="170" spans="1:34" ht="13.5">
      <c r="A170" s="18" t="s">
        <v>1988</v>
      </c>
      <c r="B170" s="7" t="s">
        <v>1567</v>
      </c>
      <c r="C170" s="18" t="s">
        <v>82</v>
      </c>
      <c r="D170" s="32" t="s">
        <v>738</v>
      </c>
      <c r="E170" s="32" t="s">
        <v>35</v>
      </c>
      <c r="F170" s="32" t="s">
        <v>26</v>
      </c>
      <c r="G170" s="32" t="s">
        <v>44</v>
      </c>
      <c r="H170" s="32" t="s">
        <v>1336</v>
      </c>
      <c r="I170" s="32" t="s">
        <v>518</v>
      </c>
      <c r="J170" s="32" t="s">
        <v>513</v>
      </c>
      <c r="K170" s="32" t="s">
        <v>510</v>
      </c>
      <c r="L170" s="32" t="s">
        <v>24</v>
      </c>
      <c r="M170" s="32" t="s">
        <v>524</v>
      </c>
      <c r="N170" s="32" t="s">
        <v>34</v>
      </c>
      <c r="O170" s="32" t="s">
        <v>52</v>
      </c>
      <c r="Q170" s="32" t="s">
        <v>336</v>
      </c>
      <c r="R170" s="32" t="s">
        <v>36</v>
      </c>
      <c r="S170" s="32" t="s">
        <v>2119</v>
      </c>
      <c r="T170" s="32" t="s">
        <v>1789</v>
      </c>
      <c r="U170" t="s">
        <v>1756</v>
      </c>
      <c r="V170" t="s">
        <v>2993</v>
      </c>
      <c r="W170" t="s">
        <v>1725</v>
      </c>
      <c r="X170" t="s">
        <v>2994</v>
      </c>
      <c r="Y170" t="s">
        <v>1527</v>
      </c>
      <c r="Z170" t="s">
        <v>1758</v>
      </c>
      <c r="AA170" t="s">
        <v>3917</v>
      </c>
      <c r="AD170" t="s">
        <v>4419</v>
      </c>
      <c r="AE170" t="s">
        <v>4436</v>
      </c>
      <c r="AF170" t="s">
        <v>2574</v>
      </c>
      <c r="AG170" t="s">
        <v>4649</v>
      </c>
      <c r="AH170" t="s">
        <v>4897</v>
      </c>
    </row>
    <row r="171" spans="1:34" ht="13.5">
      <c r="A171" s="18" t="s">
        <v>1527</v>
      </c>
      <c r="B171" s="7" t="s">
        <v>1568</v>
      </c>
      <c r="C171" s="18" t="s">
        <v>83</v>
      </c>
      <c r="D171" s="32" t="s">
        <v>739</v>
      </c>
      <c r="E171" s="32" t="s">
        <v>51</v>
      </c>
      <c r="F171" s="32" t="s">
        <v>27</v>
      </c>
      <c r="G171" s="32" t="s">
        <v>39</v>
      </c>
      <c r="H171" s="32" t="s">
        <v>1337</v>
      </c>
      <c r="I171" s="32" t="s">
        <v>519</v>
      </c>
      <c r="J171" s="32" t="s">
        <v>532</v>
      </c>
      <c r="K171" s="32" t="s">
        <v>1170</v>
      </c>
      <c r="L171" s="32" t="s">
        <v>28</v>
      </c>
      <c r="M171" s="32" t="s">
        <v>525</v>
      </c>
      <c r="N171" s="32" t="s">
        <v>510</v>
      </c>
      <c r="O171" s="32" t="s">
        <v>284</v>
      </c>
      <c r="Q171" s="32" t="s">
        <v>535</v>
      </c>
      <c r="R171" s="32" t="s">
        <v>37</v>
      </c>
      <c r="S171" s="32" t="s">
        <v>2120</v>
      </c>
      <c r="T171" s="32" t="s">
        <v>1790</v>
      </c>
      <c r="U171" t="s">
        <v>1757</v>
      </c>
      <c r="V171" t="s">
        <v>2995</v>
      </c>
      <c r="W171" t="s">
        <v>2588</v>
      </c>
      <c r="X171" t="s">
        <v>2996</v>
      </c>
      <c r="Y171" t="s">
        <v>1725</v>
      </c>
      <c r="Z171" t="s">
        <v>1759</v>
      </c>
      <c r="AA171" t="s">
        <v>3918</v>
      </c>
      <c r="AD171" t="s">
        <v>4420</v>
      </c>
      <c r="AE171" t="s">
        <v>3274</v>
      </c>
      <c r="AF171" t="s">
        <v>1523</v>
      </c>
      <c r="AG171" t="s">
        <v>4650</v>
      </c>
      <c r="AH171" t="s">
        <v>4898</v>
      </c>
    </row>
    <row r="172" spans="1:34" ht="13.5">
      <c r="A172" s="18" t="s">
        <v>1725</v>
      </c>
      <c r="B172" s="7" t="s">
        <v>1569</v>
      </c>
      <c r="C172" s="18" t="s">
        <v>84</v>
      </c>
      <c r="D172" s="32" t="s">
        <v>740</v>
      </c>
      <c r="E172" s="32" t="s">
        <v>529</v>
      </c>
      <c r="F172" s="32" t="s">
        <v>1016</v>
      </c>
      <c r="G172" s="32" t="s">
        <v>41</v>
      </c>
      <c r="H172" s="32" t="s">
        <v>240</v>
      </c>
      <c r="I172" s="32" t="s">
        <v>520</v>
      </c>
      <c r="J172" s="32" t="s">
        <v>669</v>
      </c>
      <c r="K172" s="32" t="s">
        <v>43</v>
      </c>
      <c r="L172" s="32" t="s">
        <v>25</v>
      </c>
      <c r="M172" s="32" t="s">
        <v>280</v>
      </c>
      <c r="N172" s="32" t="s">
        <v>43</v>
      </c>
      <c r="O172" s="32" t="s">
        <v>513</v>
      </c>
      <c r="Q172" s="32" t="s">
        <v>514</v>
      </c>
      <c r="R172" s="32" t="s">
        <v>336</v>
      </c>
      <c r="S172" s="32" t="s">
        <v>535</v>
      </c>
      <c r="T172" s="32" t="s">
        <v>2363</v>
      </c>
      <c r="U172" t="s">
        <v>1758</v>
      </c>
      <c r="V172" t="s">
        <v>2997</v>
      </c>
      <c r="W172" t="s">
        <v>2591</v>
      </c>
      <c r="X172" t="s">
        <v>2998</v>
      </c>
      <c r="Y172" t="s">
        <v>1926</v>
      </c>
      <c r="Z172" t="s">
        <v>1760</v>
      </c>
      <c r="AA172" t="s">
        <v>3919</v>
      </c>
      <c r="AD172" t="s">
        <v>2974</v>
      </c>
      <c r="AE172" t="s">
        <v>4437</v>
      </c>
      <c r="AF172" t="s">
        <v>2575</v>
      </c>
      <c r="AG172" t="s">
        <v>4651</v>
      </c>
      <c r="AH172" t="s">
        <v>4899</v>
      </c>
    </row>
    <row r="173" spans="1:34" ht="13.5">
      <c r="A173" s="18" t="s">
        <v>1926</v>
      </c>
      <c r="B173" s="7" t="s">
        <v>1635</v>
      </c>
      <c r="C173" s="18" t="s">
        <v>224</v>
      </c>
      <c r="D173" s="32" t="s">
        <v>741</v>
      </c>
      <c r="E173" s="32" t="s">
        <v>530</v>
      </c>
      <c r="F173" s="32" t="s">
        <v>1017</v>
      </c>
      <c r="G173" s="32" t="s">
        <v>38</v>
      </c>
      <c r="H173" s="32" t="s">
        <v>31</v>
      </c>
      <c r="I173" s="32" t="s">
        <v>1407</v>
      </c>
      <c r="J173" s="32" t="s">
        <v>121</v>
      </c>
      <c r="K173" s="32" t="s">
        <v>527</v>
      </c>
      <c r="L173" s="32" t="s">
        <v>26</v>
      </c>
      <c r="M173" s="32" t="s">
        <v>526</v>
      </c>
      <c r="N173" s="32" t="s">
        <v>527</v>
      </c>
      <c r="O173" s="32" t="s">
        <v>1038</v>
      </c>
      <c r="Q173" s="32" t="s">
        <v>515</v>
      </c>
      <c r="R173" s="32" t="s">
        <v>1039</v>
      </c>
      <c r="S173" s="32" t="s">
        <v>514</v>
      </c>
      <c r="T173" s="32" t="s">
        <v>2364</v>
      </c>
      <c r="U173" t="s">
        <v>1759</v>
      </c>
      <c r="V173" t="s">
        <v>2999</v>
      </c>
      <c r="W173" t="s">
        <v>1926</v>
      </c>
      <c r="X173" t="s">
        <v>1733</v>
      </c>
      <c r="Y173" t="s">
        <v>1769</v>
      </c>
      <c r="Z173" t="s">
        <v>3000</v>
      </c>
      <c r="AA173" t="s">
        <v>3920</v>
      </c>
      <c r="AD173" t="s">
        <v>2977</v>
      </c>
      <c r="AE173" t="s">
        <v>4438</v>
      </c>
      <c r="AF173" t="s">
        <v>3317</v>
      </c>
      <c r="AG173" t="s">
        <v>4652</v>
      </c>
      <c r="AH173" t="s">
        <v>4900</v>
      </c>
    </row>
    <row r="174" spans="1:34" ht="13.5">
      <c r="A174" s="18" t="s">
        <v>1769</v>
      </c>
      <c r="B174" s="7" t="s">
        <v>1636</v>
      </c>
      <c r="C174" s="18" t="s">
        <v>225</v>
      </c>
      <c r="D174" s="32" t="s">
        <v>742</v>
      </c>
      <c r="E174" s="32" t="s">
        <v>24</v>
      </c>
      <c r="F174" s="32" t="s">
        <v>1018</v>
      </c>
      <c r="G174" s="32" t="s">
        <v>29</v>
      </c>
      <c r="H174" s="32" t="s">
        <v>522</v>
      </c>
      <c r="I174" s="32" t="s">
        <v>1408</v>
      </c>
      <c r="J174" s="32" t="s">
        <v>1224</v>
      </c>
      <c r="K174" s="32" t="s">
        <v>528</v>
      </c>
      <c r="L174" s="32" t="s">
        <v>27</v>
      </c>
      <c r="M174" s="32" t="s">
        <v>40</v>
      </c>
      <c r="N174" s="32" t="s">
        <v>528</v>
      </c>
      <c r="O174" s="32" t="s">
        <v>532</v>
      </c>
      <c r="Q174" s="32" t="s">
        <v>516</v>
      </c>
      <c r="R174" s="32" t="s">
        <v>535</v>
      </c>
      <c r="S174" s="32" t="s">
        <v>515</v>
      </c>
      <c r="T174" s="32" t="s">
        <v>1791</v>
      </c>
      <c r="U174" t="s">
        <v>1760</v>
      </c>
      <c r="V174" t="s">
        <v>3001</v>
      </c>
      <c r="W174" t="s">
        <v>1728</v>
      </c>
      <c r="X174" t="s">
        <v>1528</v>
      </c>
      <c r="Y174" t="s">
        <v>1770</v>
      </c>
      <c r="Z174" t="s">
        <v>3002</v>
      </c>
      <c r="AA174" t="s">
        <v>3921</v>
      </c>
      <c r="AD174" t="s">
        <v>1529</v>
      </c>
      <c r="AE174" t="s">
        <v>4439</v>
      </c>
      <c r="AF174" t="s">
        <v>1527</v>
      </c>
      <c r="AG174" t="s">
        <v>1527</v>
      </c>
      <c r="AH174" t="s">
        <v>4901</v>
      </c>
    </row>
    <row r="175" spans="1:34" ht="13.5">
      <c r="A175" s="18" t="s">
        <v>1924</v>
      </c>
      <c r="B175" s="7" t="s">
        <v>1637</v>
      </c>
      <c r="C175" s="18" t="s">
        <v>226</v>
      </c>
      <c r="D175" s="32" t="s">
        <v>628</v>
      </c>
      <c r="E175" s="32" t="s">
        <v>28</v>
      </c>
      <c r="F175" s="32" t="s">
        <v>1019</v>
      </c>
      <c r="G175" s="32" t="s">
        <v>30</v>
      </c>
      <c r="H175" s="32" t="s">
        <v>384</v>
      </c>
      <c r="I175" s="32" t="s">
        <v>1409</v>
      </c>
      <c r="J175" s="32" t="s">
        <v>1226</v>
      </c>
      <c r="K175" s="32" t="s">
        <v>1171</v>
      </c>
      <c r="L175" s="32" t="s">
        <v>1016</v>
      </c>
      <c r="M175" s="32" t="s">
        <v>44</v>
      </c>
      <c r="N175" s="32" t="s">
        <v>2053</v>
      </c>
      <c r="O175" s="32" t="s">
        <v>669</v>
      </c>
      <c r="Q175" s="32" t="s">
        <v>517</v>
      </c>
      <c r="R175" s="32" t="s">
        <v>514</v>
      </c>
      <c r="S175" s="32" t="s">
        <v>516</v>
      </c>
      <c r="T175" s="32" t="s">
        <v>2365</v>
      </c>
      <c r="U175" s="32" t="s">
        <v>2832</v>
      </c>
      <c r="V175" t="s">
        <v>3003</v>
      </c>
      <c r="W175" t="s">
        <v>1769</v>
      </c>
      <c r="X175" t="s">
        <v>1928</v>
      </c>
      <c r="Y175" t="s">
        <v>3004</v>
      </c>
      <c r="Z175" t="s">
        <v>3005</v>
      </c>
      <c r="AA175" t="s">
        <v>3922</v>
      </c>
      <c r="AD175" t="s">
        <v>1530</v>
      </c>
      <c r="AE175" t="s">
        <v>1540</v>
      </c>
      <c r="AF175" t="s">
        <v>1725</v>
      </c>
      <c r="AG175" t="s">
        <v>1725</v>
      </c>
      <c r="AH175" t="s">
        <v>4902</v>
      </c>
    </row>
    <row r="176" spans="1:34" ht="13.5">
      <c r="A176" s="18" t="s">
        <v>1950</v>
      </c>
      <c r="B176" s="7" t="s">
        <v>1638</v>
      </c>
      <c r="C176" s="18" t="s">
        <v>227</v>
      </c>
      <c r="D176" s="32" t="s">
        <v>743</v>
      </c>
      <c r="E176" s="32" t="s">
        <v>25</v>
      </c>
      <c r="F176" s="32" t="s">
        <v>1020</v>
      </c>
      <c r="G176" s="32" t="s">
        <v>1070</v>
      </c>
      <c r="H176" s="32" t="s">
        <v>32</v>
      </c>
      <c r="I176" s="32" t="s">
        <v>1410</v>
      </c>
      <c r="J176" s="32" t="s">
        <v>533</v>
      </c>
      <c r="K176" s="32" t="s">
        <v>511</v>
      </c>
      <c r="L176" s="32" t="s">
        <v>1017</v>
      </c>
      <c r="M176" s="32" t="s">
        <v>39</v>
      </c>
      <c r="N176" s="32" t="s">
        <v>511</v>
      </c>
      <c r="O176" s="32" t="s">
        <v>121</v>
      </c>
      <c r="Q176" s="32" t="s">
        <v>518</v>
      </c>
      <c r="R176" s="32" t="s">
        <v>515</v>
      </c>
      <c r="S176" s="32" t="s">
        <v>517</v>
      </c>
      <c r="T176" s="32" t="s">
        <v>1792</v>
      </c>
      <c r="U176" s="32" t="s">
        <v>3006</v>
      </c>
      <c r="V176" t="s">
        <v>3007</v>
      </c>
      <c r="W176" t="s">
        <v>1586</v>
      </c>
      <c r="X176" t="s">
        <v>2949</v>
      </c>
      <c r="Y176" t="s">
        <v>1733</v>
      </c>
      <c r="Z176" t="s">
        <v>2832</v>
      </c>
      <c r="AA176" t="s">
        <v>3923</v>
      </c>
      <c r="AD176" t="s">
        <v>4421</v>
      </c>
      <c r="AE176" t="s">
        <v>1541</v>
      </c>
      <c r="AF176" t="s">
        <v>1926</v>
      </c>
      <c r="AG176" t="s">
        <v>1926</v>
      </c>
      <c r="AH176" t="s">
        <v>4903</v>
      </c>
    </row>
    <row r="177" spans="1:34" ht="15.5">
      <c r="A177" s="18" t="s">
        <v>1770</v>
      </c>
      <c r="B177" s="7" t="s">
        <v>1639</v>
      </c>
      <c r="C177" s="18" t="s">
        <v>228</v>
      </c>
      <c r="D177" s="32" t="s">
        <v>744</v>
      </c>
      <c r="E177" s="32" t="s">
        <v>26</v>
      </c>
      <c r="F177" s="32" t="s">
        <v>1021</v>
      </c>
      <c r="G177" s="32" t="s">
        <v>34</v>
      </c>
      <c r="H177" s="32" t="s">
        <v>90</v>
      </c>
      <c r="I177" s="33"/>
      <c r="J177" s="32" t="s">
        <v>534</v>
      </c>
      <c r="K177" s="32" t="s">
        <v>1146</v>
      </c>
      <c r="L177" s="32" t="s">
        <v>1018</v>
      </c>
      <c r="M177" s="32" t="s">
        <v>41</v>
      </c>
      <c r="N177" s="32" t="s">
        <v>35</v>
      </c>
      <c r="O177" s="32" t="s">
        <v>285</v>
      </c>
      <c r="Q177" s="32" t="s">
        <v>519</v>
      </c>
      <c r="R177" s="32" t="s">
        <v>516</v>
      </c>
      <c r="S177" s="32" t="s">
        <v>518</v>
      </c>
      <c r="T177" s="32" t="s">
        <v>2366</v>
      </c>
      <c r="V177" t="s">
        <v>1565</v>
      </c>
      <c r="W177" t="s">
        <v>3008</v>
      </c>
      <c r="X177" t="s">
        <v>1771</v>
      </c>
      <c r="Y177" t="s">
        <v>3009</v>
      </c>
      <c r="Z177" s="32" t="s">
        <v>3006</v>
      </c>
      <c r="AA177" t="s">
        <v>3924</v>
      </c>
      <c r="AD177" t="s">
        <v>4422</v>
      </c>
      <c r="AE177" t="s">
        <v>1539</v>
      </c>
      <c r="AF177" t="s">
        <v>3318</v>
      </c>
      <c r="AG177" t="s">
        <v>4653</v>
      </c>
      <c r="AH177" t="s">
        <v>4904</v>
      </c>
    </row>
    <row r="178" spans="1:34" ht="13.5">
      <c r="A178" s="18" t="s">
        <v>1733</v>
      </c>
      <c r="B178" s="7" t="s">
        <v>1640</v>
      </c>
      <c r="C178" s="18" t="s">
        <v>229</v>
      </c>
      <c r="D178" s="32" t="s">
        <v>49</v>
      </c>
      <c r="E178" s="32" t="s">
        <v>27</v>
      </c>
      <c r="F178" s="32" t="s">
        <v>1022</v>
      </c>
      <c r="G178" s="32" t="s">
        <v>510</v>
      </c>
      <c r="H178" s="32" t="s">
        <v>1338</v>
      </c>
      <c r="J178" s="32" t="s">
        <v>36</v>
      </c>
      <c r="K178" s="32" t="s">
        <v>1147</v>
      </c>
      <c r="L178" s="32" t="s">
        <v>1019</v>
      </c>
      <c r="M178" s="32" t="s">
        <v>38</v>
      </c>
      <c r="N178" s="32" t="s">
        <v>51</v>
      </c>
      <c r="O178" s="32" t="s">
        <v>533</v>
      </c>
      <c r="Q178" s="32" t="s">
        <v>520</v>
      </c>
      <c r="R178" s="32" t="s">
        <v>517</v>
      </c>
      <c r="S178" s="32" t="s">
        <v>519</v>
      </c>
      <c r="T178" s="32" t="s">
        <v>1793</v>
      </c>
      <c r="V178" t="s">
        <v>1512</v>
      </c>
      <c r="W178" t="s">
        <v>2593</v>
      </c>
      <c r="X178" t="s">
        <v>1772</v>
      </c>
      <c r="Y178" t="s">
        <v>3010</v>
      </c>
      <c r="AA178" t="s">
        <v>3925</v>
      </c>
      <c r="AD178" t="s">
        <v>4423</v>
      </c>
      <c r="AE178" t="s">
        <v>1538</v>
      </c>
      <c r="AF178" t="s">
        <v>3553</v>
      </c>
      <c r="AG178" t="s">
        <v>1733</v>
      </c>
      <c r="AH178" t="s">
        <v>4905</v>
      </c>
    </row>
    <row r="179" spans="1:34" ht="13.5">
      <c r="A179" s="18" t="s">
        <v>1528</v>
      </c>
      <c r="B179" s="7" t="s">
        <v>1641</v>
      </c>
      <c r="C179" s="18" t="s">
        <v>230</v>
      </c>
      <c r="D179" s="32" t="s">
        <v>50</v>
      </c>
      <c r="E179" s="32" t="s">
        <v>531</v>
      </c>
      <c r="F179" s="32" t="s">
        <v>1023</v>
      </c>
      <c r="G179" s="32" t="s">
        <v>43</v>
      </c>
      <c r="H179" s="32" t="s">
        <v>1339</v>
      </c>
      <c r="J179" s="32" t="s">
        <v>37</v>
      </c>
      <c r="K179" s="32" t="s">
        <v>35</v>
      </c>
      <c r="L179" s="32" t="s">
        <v>1020</v>
      </c>
      <c r="M179" s="32" t="s">
        <v>29</v>
      </c>
      <c r="N179" s="32" t="s">
        <v>529</v>
      </c>
      <c r="O179" s="32" t="s">
        <v>2087</v>
      </c>
      <c r="Q179" s="32" t="s">
        <v>2084</v>
      </c>
      <c r="R179" s="32" t="s">
        <v>518</v>
      </c>
      <c r="S179" s="32" t="s">
        <v>520</v>
      </c>
      <c r="T179" s="32" t="s">
        <v>2367</v>
      </c>
      <c r="V179" t="s">
        <v>3011</v>
      </c>
      <c r="W179" t="s">
        <v>2594</v>
      </c>
      <c r="X179" t="s">
        <v>1517</v>
      </c>
      <c r="Y179" t="s">
        <v>3012</v>
      </c>
      <c r="AA179" t="s">
        <v>3926</v>
      </c>
      <c r="AD179" t="s">
        <v>1754</v>
      </c>
      <c r="AE179" t="s">
        <v>1537</v>
      </c>
      <c r="AF179" t="s">
        <v>3556</v>
      </c>
      <c r="AG179" t="s">
        <v>1528</v>
      </c>
      <c r="AH179" t="s">
        <v>4906</v>
      </c>
    </row>
    <row r="180" spans="1:34" ht="14.5">
      <c r="A180" s="18" t="s">
        <v>1928</v>
      </c>
      <c r="B180" s="7" t="s">
        <v>1642</v>
      </c>
      <c r="C180" s="18" t="s">
        <v>42</v>
      </c>
      <c r="D180" s="32" t="s">
        <v>48</v>
      </c>
      <c r="E180" s="32" t="s">
        <v>115</v>
      </c>
      <c r="F180" s="32" t="s">
        <v>1024</v>
      </c>
      <c r="G180" s="32" t="s">
        <v>1071</v>
      </c>
      <c r="H180" s="32" t="s">
        <v>1340</v>
      </c>
      <c r="J180" s="32" t="s">
        <v>127</v>
      </c>
      <c r="K180" s="32" t="s">
        <v>51</v>
      </c>
      <c r="L180" s="32" t="s">
        <v>1021</v>
      </c>
      <c r="M180" s="32" t="s">
        <v>30</v>
      </c>
      <c r="N180" s="32" t="s">
        <v>530</v>
      </c>
      <c r="O180" s="32" t="s">
        <v>2088</v>
      </c>
      <c r="Q180" s="45"/>
      <c r="R180" s="32" t="s">
        <v>519</v>
      </c>
      <c r="S180" s="32" t="s">
        <v>2084</v>
      </c>
      <c r="T180" s="32" t="s">
        <v>1482</v>
      </c>
      <c r="V180" t="s">
        <v>3013</v>
      </c>
      <c r="W180" t="s">
        <v>2595</v>
      </c>
      <c r="X180" t="s">
        <v>1521</v>
      </c>
      <c r="Y180" t="s">
        <v>3014</v>
      </c>
      <c r="AA180" t="s">
        <v>3927</v>
      </c>
      <c r="AD180" t="s">
        <v>1755</v>
      </c>
      <c r="AE180" t="s">
        <v>1526</v>
      </c>
      <c r="AF180" t="s">
        <v>1733</v>
      </c>
      <c r="AG180" t="s">
        <v>1928</v>
      </c>
      <c r="AH180" t="s">
        <v>4907</v>
      </c>
    </row>
    <row r="181" spans="1:34" ht="14.5">
      <c r="A181" s="18" t="s">
        <v>1771</v>
      </c>
      <c r="B181" s="7" t="s">
        <v>1643</v>
      </c>
      <c r="C181" s="18" t="s">
        <v>521</v>
      </c>
      <c r="D181" s="32" t="s">
        <v>47</v>
      </c>
      <c r="E181" s="32" t="s">
        <v>636</v>
      </c>
      <c r="F181" s="32" t="s">
        <v>1025</v>
      </c>
      <c r="G181" s="32" t="s">
        <v>1099</v>
      </c>
      <c r="H181" s="32" t="s">
        <v>1341</v>
      </c>
      <c r="J181" s="32" t="s">
        <v>535</v>
      </c>
      <c r="K181" s="32" t="s">
        <v>529</v>
      </c>
      <c r="L181" s="32" t="s">
        <v>1022</v>
      </c>
      <c r="M181" s="32" t="s">
        <v>347</v>
      </c>
      <c r="N181" s="32" t="s">
        <v>348</v>
      </c>
      <c r="O181" s="32" t="s">
        <v>329</v>
      </c>
      <c r="R181" s="32" t="s">
        <v>520</v>
      </c>
      <c r="S181" s="45"/>
      <c r="T181" s="32" t="s">
        <v>2368</v>
      </c>
      <c r="V181" t="s">
        <v>3015</v>
      </c>
      <c r="W181" t="s">
        <v>2596</v>
      </c>
      <c r="X181" t="s">
        <v>1518</v>
      </c>
      <c r="Y181" t="s">
        <v>3016</v>
      </c>
      <c r="AA181" t="s">
        <v>3928</v>
      </c>
      <c r="AD181" t="s">
        <v>1756</v>
      </c>
      <c r="AE181" t="s">
        <v>1576</v>
      </c>
      <c r="AF181" t="s">
        <v>1528</v>
      </c>
      <c r="AG181" t="s">
        <v>2949</v>
      </c>
      <c r="AH181" t="s">
        <v>4908</v>
      </c>
    </row>
    <row r="182" spans="1:34" ht="13.5">
      <c r="A182" s="18" t="s">
        <v>1772</v>
      </c>
      <c r="B182" s="7" t="s">
        <v>1644</v>
      </c>
      <c r="C182" s="18" t="s">
        <v>231</v>
      </c>
      <c r="D182" s="32" t="s">
        <v>46</v>
      </c>
      <c r="E182" s="32" t="s">
        <v>867</v>
      </c>
      <c r="F182" s="32" t="s">
        <v>531</v>
      </c>
      <c r="G182" s="32" t="s">
        <v>1072</v>
      </c>
      <c r="H182" s="32" t="s">
        <v>1342</v>
      </c>
      <c r="J182" s="32" t="s">
        <v>1228</v>
      </c>
      <c r="K182" s="32" t="s">
        <v>530</v>
      </c>
      <c r="L182" s="32" t="s">
        <v>1023</v>
      </c>
      <c r="M182" s="32" t="s">
        <v>281</v>
      </c>
      <c r="N182" s="32" t="s">
        <v>24</v>
      </c>
      <c r="O182" s="32" t="s">
        <v>534</v>
      </c>
      <c r="R182" s="32" t="s">
        <v>2084</v>
      </c>
      <c r="T182" s="32" t="s">
        <v>1483</v>
      </c>
      <c r="V182" t="s">
        <v>3017</v>
      </c>
      <c r="W182" t="s">
        <v>3018</v>
      </c>
      <c r="X182" t="s">
        <v>1519</v>
      </c>
      <c r="Y182" t="s">
        <v>1528</v>
      </c>
      <c r="AA182" t="s">
        <v>3929</v>
      </c>
      <c r="AD182" t="s">
        <v>1757</v>
      </c>
      <c r="AE182" t="s">
        <v>1578</v>
      </c>
      <c r="AF182" t="s">
        <v>1928</v>
      </c>
      <c r="AG182" t="s">
        <v>1517</v>
      </c>
      <c r="AH182" t="s">
        <v>4909</v>
      </c>
    </row>
    <row r="183" spans="1:34" ht="14.5">
      <c r="A183" s="18" t="s">
        <v>1517</v>
      </c>
      <c r="B183" s="7" t="s">
        <v>1675</v>
      </c>
      <c r="C183" s="18" t="s">
        <v>232</v>
      </c>
      <c r="D183" s="32" t="s">
        <v>745</v>
      </c>
      <c r="E183" s="32" t="s">
        <v>637</v>
      </c>
      <c r="F183" s="32" t="s">
        <v>1026</v>
      </c>
      <c r="G183" s="32" t="s">
        <v>527</v>
      </c>
      <c r="H183" s="32" t="s">
        <v>1343</v>
      </c>
      <c r="J183" s="32" t="s">
        <v>514</v>
      </c>
      <c r="K183" s="32" t="s">
        <v>1148</v>
      </c>
      <c r="L183" s="32" t="s">
        <v>1024</v>
      </c>
      <c r="M183" s="32" t="s">
        <v>282</v>
      </c>
      <c r="N183" s="32" t="s">
        <v>28</v>
      </c>
      <c r="O183" s="32" t="s">
        <v>36</v>
      </c>
      <c r="R183" s="45"/>
      <c r="T183" s="32" t="s">
        <v>2369</v>
      </c>
      <c r="V183" t="s">
        <v>3019</v>
      </c>
      <c r="W183" t="s">
        <v>3020</v>
      </c>
      <c r="X183" t="s">
        <v>1520</v>
      </c>
      <c r="Y183" t="s">
        <v>1928</v>
      </c>
      <c r="AA183" t="s">
        <v>3930</v>
      </c>
      <c r="AD183" t="s">
        <v>1758</v>
      </c>
      <c r="AE183" t="s">
        <v>2475</v>
      </c>
      <c r="AF183" t="s">
        <v>2949</v>
      </c>
      <c r="AG183" t="s">
        <v>1521</v>
      </c>
      <c r="AH183" t="s">
        <v>4910</v>
      </c>
    </row>
    <row r="184" spans="1:34" ht="13.5">
      <c r="A184" s="18" t="s">
        <v>1989</v>
      </c>
      <c r="B184" s="7" t="s">
        <v>1524</v>
      </c>
      <c r="C184" s="18" t="s">
        <v>45</v>
      </c>
      <c r="D184" s="32" t="s">
        <v>746</v>
      </c>
      <c r="E184" s="32" t="s">
        <v>449</v>
      </c>
      <c r="F184" s="32" t="s">
        <v>115</v>
      </c>
      <c r="G184" s="32" t="s">
        <v>1073</v>
      </c>
      <c r="H184" s="32" t="s">
        <v>1344</v>
      </c>
      <c r="J184" s="32" t="s">
        <v>515</v>
      </c>
      <c r="K184" s="32" t="s">
        <v>1149</v>
      </c>
      <c r="L184" s="32" t="s">
        <v>1025</v>
      </c>
      <c r="M184" s="32" t="s">
        <v>283</v>
      </c>
      <c r="N184" s="32" t="s">
        <v>25</v>
      </c>
      <c r="O184" s="32" t="s">
        <v>37</v>
      </c>
      <c r="T184" s="32" t="s">
        <v>1484</v>
      </c>
      <c r="V184" t="s">
        <v>3021</v>
      </c>
      <c r="W184" t="s">
        <v>1770</v>
      </c>
      <c r="X184" t="s">
        <v>1951</v>
      </c>
      <c r="Y184" t="s">
        <v>2949</v>
      </c>
      <c r="AA184" t="s">
        <v>3931</v>
      </c>
      <c r="AD184" t="s">
        <v>1759</v>
      </c>
      <c r="AE184" t="s">
        <v>1579</v>
      </c>
      <c r="AF184" t="s">
        <v>4461</v>
      </c>
      <c r="AG184" t="s">
        <v>1518</v>
      </c>
      <c r="AH184" t="s">
        <v>4911</v>
      </c>
    </row>
    <row r="185" spans="1:34" ht="13.5">
      <c r="A185" s="18" t="s">
        <v>1521</v>
      </c>
      <c r="B185" s="7" t="s">
        <v>1764</v>
      </c>
      <c r="C185" s="18" t="s">
        <v>233</v>
      </c>
      <c r="D185" s="32" t="s">
        <v>33</v>
      </c>
      <c r="E185" s="32" t="s">
        <v>764</v>
      </c>
      <c r="F185" s="32" t="s">
        <v>1027</v>
      </c>
      <c r="G185" s="32" t="s">
        <v>633</v>
      </c>
      <c r="H185" s="32" t="s">
        <v>1345</v>
      </c>
      <c r="J185" s="32" t="s">
        <v>516</v>
      </c>
      <c r="K185" s="32" t="s">
        <v>1150</v>
      </c>
      <c r="L185" s="32" t="s">
        <v>531</v>
      </c>
      <c r="M185" s="32" t="s">
        <v>34</v>
      </c>
      <c r="N185" s="32" t="s">
        <v>26</v>
      </c>
      <c r="O185" s="32" t="s">
        <v>353</v>
      </c>
      <c r="T185" s="32" t="s">
        <v>2370</v>
      </c>
      <c r="V185" t="s">
        <v>3022</v>
      </c>
      <c r="W185" t="s">
        <v>2597</v>
      </c>
      <c r="X185" t="s">
        <v>1773</v>
      </c>
      <c r="Y185" t="s">
        <v>1771</v>
      </c>
      <c r="AA185" t="s">
        <v>3932</v>
      </c>
      <c r="AD185" t="s">
        <v>1760</v>
      </c>
      <c r="AE185" t="s">
        <v>1948</v>
      </c>
      <c r="AF185" t="s">
        <v>1517</v>
      </c>
      <c r="AG185" t="s">
        <v>1519</v>
      </c>
      <c r="AH185" t="s">
        <v>1602</v>
      </c>
    </row>
    <row r="186" spans="1:34" ht="13.5">
      <c r="A186" s="18" t="s">
        <v>1518</v>
      </c>
      <c r="B186" s="7" t="s">
        <v>1676</v>
      </c>
      <c r="C186" s="18" t="s">
        <v>137</v>
      </c>
      <c r="D186" s="32" t="s">
        <v>91</v>
      </c>
      <c r="E186" s="32" t="s">
        <v>911</v>
      </c>
      <c r="F186" s="32" t="s">
        <v>1037</v>
      </c>
      <c r="G186" s="32" t="s">
        <v>528</v>
      </c>
      <c r="H186" s="32" t="s">
        <v>1346</v>
      </c>
      <c r="J186" s="32" t="s">
        <v>517</v>
      </c>
      <c r="K186" s="32" t="s">
        <v>1151</v>
      </c>
      <c r="L186" s="32" t="s">
        <v>1026</v>
      </c>
      <c r="M186" s="32" t="s">
        <v>510</v>
      </c>
      <c r="N186" s="32" t="s">
        <v>27</v>
      </c>
      <c r="O186" s="32" t="s">
        <v>811</v>
      </c>
      <c r="T186" s="32" t="s">
        <v>1485</v>
      </c>
      <c r="V186" t="s">
        <v>3023</v>
      </c>
      <c r="W186" t="s">
        <v>1733</v>
      </c>
      <c r="X186" t="s">
        <v>1603</v>
      </c>
      <c r="Y186" t="s">
        <v>1772</v>
      </c>
      <c r="AA186" t="s">
        <v>3933</v>
      </c>
      <c r="AD186" t="s">
        <v>2832</v>
      </c>
      <c r="AE186" t="s">
        <v>3292</v>
      </c>
      <c r="AF186" t="s">
        <v>1521</v>
      </c>
      <c r="AG186" t="s">
        <v>1520</v>
      </c>
      <c r="AH186" t="s">
        <v>4912</v>
      </c>
    </row>
    <row r="187" spans="1:34" ht="13.5">
      <c r="A187" s="18" t="s">
        <v>1519</v>
      </c>
      <c r="B187" s="7" t="s">
        <v>1645</v>
      </c>
      <c r="C187" s="18" t="s">
        <v>138</v>
      </c>
      <c r="D187" s="32" t="s">
        <v>629</v>
      </c>
      <c r="E187" s="32" t="s">
        <v>868</v>
      </c>
      <c r="F187" s="32" t="s">
        <v>512</v>
      </c>
      <c r="G187" s="32" t="s">
        <v>511</v>
      </c>
      <c r="H187" s="32" t="s">
        <v>1347</v>
      </c>
      <c r="J187" s="32" t="s">
        <v>518</v>
      </c>
      <c r="K187" s="32" t="s">
        <v>1152</v>
      </c>
      <c r="L187" s="32" t="s">
        <v>966</v>
      </c>
      <c r="M187" s="32" t="s">
        <v>43</v>
      </c>
      <c r="N187" s="32" t="s">
        <v>531</v>
      </c>
      <c r="O187" s="32" t="s">
        <v>2082</v>
      </c>
      <c r="T187" s="32" t="s">
        <v>2371</v>
      </c>
      <c r="V187" t="s">
        <v>3024</v>
      </c>
      <c r="W187" t="s">
        <v>3025</v>
      </c>
      <c r="X187" t="s">
        <v>3026</v>
      </c>
      <c r="Y187" t="s">
        <v>1517</v>
      </c>
      <c r="AA187" t="s">
        <v>3934</v>
      </c>
      <c r="AD187" s="18" t="s">
        <v>3006</v>
      </c>
      <c r="AE187" t="s">
        <v>4060</v>
      </c>
      <c r="AF187" t="s">
        <v>1518</v>
      </c>
      <c r="AG187" t="s">
        <v>1602</v>
      </c>
      <c r="AH187" t="s">
        <v>4913</v>
      </c>
    </row>
    <row r="188" spans="1:34" ht="13.5">
      <c r="A188" s="18" t="s">
        <v>1520</v>
      </c>
      <c r="B188" s="7" t="s">
        <v>1646</v>
      </c>
      <c r="C188" s="18" t="s">
        <v>139</v>
      </c>
      <c r="D188" s="32" t="s">
        <v>92</v>
      </c>
      <c r="E188" s="32" t="s">
        <v>639</v>
      </c>
      <c r="F188" s="32" t="s">
        <v>52</v>
      </c>
      <c r="G188" s="32" t="s">
        <v>35</v>
      </c>
      <c r="H188" s="32" t="s">
        <v>1348</v>
      </c>
      <c r="J188" s="32" t="s">
        <v>519</v>
      </c>
      <c r="K188" s="32" t="s">
        <v>1153</v>
      </c>
      <c r="L188" s="32" t="s">
        <v>967</v>
      </c>
      <c r="M188" s="32" t="s">
        <v>527</v>
      </c>
      <c r="N188" s="32" t="s">
        <v>512</v>
      </c>
      <c r="O188" s="32" t="s">
        <v>336</v>
      </c>
      <c r="T188" s="32" t="s">
        <v>1486</v>
      </c>
      <c r="V188" t="s">
        <v>3027</v>
      </c>
      <c r="W188" t="s">
        <v>3028</v>
      </c>
      <c r="X188" t="s">
        <v>1735</v>
      </c>
      <c r="Y188" t="s">
        <v>1521</v>
      </c>
      <c r="AA188" t="s">
        <v>3935</v>
      </c>
      <c r="AE188" t="s">
        <v>4440</v>
      </c>
      <c r="AF188" t="s">
        <v>1519</v>
      </c>
      <c r="AG188" t="s">
        <v>4654</v>
      </c>
      <c r="AH188" t="s">
        <v>4914</v>
      </c>
    </row>
    <row r="189" spans="1:34" ht="13.5">
      <c r="A189" s="18" t="s">
        <v>1951</v>
      </c>
      <c r="B189" s="7" t="s">
        <v>1647</v>
      </c>
      <c r="C189" s="18" t="s">
        <v>140</v>
      </c>
      <c r="D189" s="32" t="s">
        <v>747</v>
      </c>
      <c r="E189" s="32" t="s">
        <v>768</v>
      </c>
      <c r="F189" s="32" t="s">
        <v>1028</v>
      </c>
      <c r="G189" s="32" t="s">
        <v>51</v>
      </c>
      <c r="H189" s="32" t="s">
        <v>1349</v>
      </c>
      <c r="J189" s="32" t="s">
        <v>520</v>
      </c>
      <c r="K189" s="32" t="s">
        <v>1154</v>
      </c>
      <c r="L189" s="32" t="s">
        <v>968</v>
      </c>
      <c r="M189" s="32" t="s">
        <v>528</v>
      </c>
      <c r="N189" s="32" t="s">
        <v>52</v>
      </c>
      <c r="O189" s="32" t="s">
        <v>354</v>
      </c>
      <c r="T189" s="32" t="s">
        <v>2372</v>
      </c>
      <c r="V189" t="s">
        <v>3029</v>
      </c>
      <c r="W189" t="s">
        <v>1528</v>
      </c>
      <c r="X189" t="s">
        <v>1929</v>
      </c>
      <c r="Y189" t="s">
        <v>1518</v>
      </c>
      <c r="AA189" t="s">
        <v>3936</v>
      </c>
      <c r="AE189" t="s">
        <v>1581</v>
      </c>
      <c r="AF189" t="s">
        <v>1520</v>
      </c>
      <c r="AG189" t="s">
        <v>4655</v>
      </c>
      <c r="AH189" t="s">
        <v>4915</v>
      </c>
    </row>
    <row r="190" spans="1:34" ht="13.5">
      <c r="A190" s="18" t="s">
        <v>1773</v>
      </c>
      <c r="B190" s="7" t="s">
        <v>1648</v>
      </c>
      <c r="C190" s="18" t="s">
        <v>141</v>
      </c>
      <c r="D190" s="32" t="s">
        <v>748</v>
      </c>
      <c r="E190" s="32" t="s">
        <v>640</v>
      </c>
      <c r="F190" s="32" t="s">
        <v>513</v>
      </c>
      <c r="G190" s="32" t="s">
        <v>529</v>
      </c>
      <c r="H190" s="32" t="s">
        <v>1350</v>
      </c>
      <c r="J190" s="32" t="s">
        <v>1273</v>
      </c>
      <c r="K190" s="32" t="s">
        <v>24</v>
      </c>
      <c r="L190" s="32" t="s">
        <v>969</v>
      </c>
      <c r="M190" s="32" t="s">
        <v>511</v>
      </c>
      <c r="N190" s="32" t="s">
        <v>2054</v>
      </c>
      <c r="O190" s="32" t="s">
        <v>355</v>
      </c>
      <c r="T190" s="32" t="s">
        <v>1672</v>
      </c>
      <c r="V190" t="s">
        <v>3030</v>
      </c>
      <c r="W190" t="s">
        <v>1928</v>
      </c>
      <c r="X190" t="s">
        <v>1736</v>
      </c>
      <c r="Y190" t="s">
        <v>1519</v>
      </c>
      <c r="AA190" t="s">
        <v>3937</v>
      </c>
      <c r="AE190" t="s">
        <v>1533</v>
      </c>
      <c r="AF190" t="s">
        <v>3707</v>
      </c>
      <c r="AG190" t="s">
        <v>4656</v>
      </c>
      <c r="AH190" t="s">
        <v>4916</v>
      </c>
    </row>
    <row r="191" spans="1:34" ht="13.5">
      <c r="A191" s="18" t="s">
        <v>1602</v>
      </c>
      <c r="B191" s="7" t="s">
        <v>1649</v>
      </c>
      <c r="C191" s="18" t="s">
        <v>142</v>
      </c>
      <c r="D191" s="32" t="s">
        <v>749</v>
      </c>
      <c r="E191" s="32" t="s">
        <v>641</v>
      </c>
      <c r="F191" s="32" t="s">
        <v>1038</v>
      </c>
      <c r="G191" s="32" t="s">
        <v>530</v>
      </c>
      <c r="H191" s="32" t="s">
        <v>1365</v>
      </c>
      <c r="J191" s="32" t="s">
        <v>1274</v>
      </c>
      <c r="K191" s="32" t="s">
        <v>28</v>
      </c>
      <c r="L191" s="32" t="s">
        <v>115</v>
      </c>
      <c r="M191" s="32" t="s">
        <v>35</v>
      </c>
      <c r="N191" s="32" t="s">
        <v>284</v>
      </c>
      <c r="O191" s="32" t="s">
        <v>356</v>
      </c>
      <c r="T191" s="32" t="s">
        <v>1673</v>
      </c>
      <c r="V191" t="s">
        <v>3031</v>
      </c>
      <c r="W191" t="s">
        <v>2949</v>
      </c>
      <c r="X191" t="s">
        <v>1774</v>
      </c>
      <c r="Y191" t="s">
        <v>1520</v>
      </c>
      <c r="AA191" t="s">
        <v>3938</v>
      </c>
      <c r="AE191" t="s">
        <v>2570</v>
      </c>
      <c r="AF191" t="s">
        <v>3708</v>
      </c>
      <c r="AG191" t="s">
        <v>1734</v>
      </c>
      <c r="AH191" t="s">
        <v>4917</v>
      </c>
    </row>
    <row r="192" spans="1:34" ht="13.5">
      <c r="A192" s="18" t="s">
        <v>1990</v>
      </c>
      <c r="B192" s="7" t="s">
        <v>1650</v>
      </c>
      <c r="C192" s="18" t="s">
        <v>143</v>
      </c>
      <c r="D192" s="32" t="s">
        <v>750</v>
      </c>
      <c r="E192" s="32" t="s">
        <v>642</v>
      </c>
      <c r="F192" s="32" t="s">
        <v>532</v>
      </c>
      <c r="G192" s="32" t="s">
        <v>1100</v>
      </c>
      <c r="H192" s="32" t="s">
        <v>1366</v>
      </c>
      <c r="J192" s="32" t="s">
        <v>1275</v>
      </c>
      <c r="K192" s="32" t="s">
        <v>25</v>
      </c>
      <c r="L192" s="32" t="s">
        <v>1027</v>
      </c>
      <c r="M192" s="32" t="s">
        <v>51</v>
      </c>
      <c r="N192" s="32" t="s">
        <v>513</v>
      </c>
      <c r="O192" s="32" t="s">
        <v>357</v>
      </c>
      <c r="T192" s="32" t="s">
        <v>2373</v>
      </c>
      <c r="V192" t="s">
        <v>3032</v>
      </c>
      <c r="W192" t="s">
        <v>1771</v>
      </c>
      <c r="X192" t="s">
        <v>1510</v>
      </c>
      <c r="Y192" t="s">
        <v>1588</v>
      </c>
      <c r="AA192" t="s">
        <v>3939</v>
      </c>
      <c r="AE192" t="s">
        <v>1927</v>
      </c>
      <c r="AF192" t="s">
        <v>3709</v>
      </c>
      <c r="AG192" t="s">
        <v>1735</v>
      </c>
      <c r="AH192" t="s">
        <v>4918</v>
      </c>
    </row>
    <row r="193" spans="1:34" ht="13.5">
      <c r="A193" s="18" t="s">
        <v>1991</v>
      </c>
      <c r="B193" s="7" t="s">
        <v>1651</v>
      </c>
      <c r="C193" s="18" t="s">
        <v>144</v>
      </c>
      <c r="D193" s="32" t="s">
        <v>751</v>
      </c>
      <c r="E193" s="32" t="s">
        <v>643</v>
      </c>
      <c r="F193" s="32" t="s">
        <v>121</v>
      </c>
      <c r="G193" s="32" t="s">
        <v>1101</v>
      </c>
      <c r="H193" s="32" t="s">
        <v>1367</v>
      </c>
      <c r="J193" s="32" t="s">
        <v>1276</v>
      </c>
      <c r="K193" s="32" t="s">
        <v>26</v>
      </c>
      <c r="L193" s="32" t="s">
        <v>970</v>
      </c>
      <c r="M193" s="32" t="s">
        <v>529</v>
      </c>
      <c r="N193" s="32" t="s">
        <v>532</v>
      </c>
      <c r="O193" s="32" t="s">
        <v>358</v>
      </c>
      <c r="T193" s="32" t="s">
        <v>2374</v>
      </c>
      <c r="V193" t="s">
        <v>3033</v>
      </c>
      <c r="W193" t="s">
        <v>1772</v>
      </c>
      <c r="X193" t="s">
        <v>3034</v>
      </c>
      <c r="Y193" t="s">
        <v>1589</v>
      </c>
      <c r="AA193" t="s">
        <v>3940</v>
      </c>
      <c r="AE193" t="s">
        <v>1532</v>
      </c>
      <c r="AF193" t="s">
        <v>3710</v>
      </c>
      <c r="AG193" t="s">
        <v>1929</v>
      </c>
      <c r="AH193" t="s">
        <v>4919</v>
      </c>
    </row>
    <row r="194" spans="1:34" ht="13.5">
      <c r="A194" s="18" t="s">
        <v>1992</v>
      </c>
      <c r="B194" s="7" t="s">
        <v>1652</v>
      </c>
      <c r="C194" s="18" t="s">
        <v>145</v>
      </c>
      <c r="D194" s="32" t="s">
        <v>94</v>
      </c>
      <c r="E194" s="32" t="s">
        <v>644</v>
      </c>
      <c r="F194" s="32" t="s">
        <v>809</v>
      </c>
      <c r="G194" s="32" t="s">
        <v>1102</v>
      </c>
      <c r="H194" s="32" t="s">
        <v>1368</v>
      </c>
      <c r="J194" s="32" t="s">
        <v>1277</v>
      </c>
      <c r="K194" s="32" t="s">
        <v>27</v>
      </c>
      <c r="L194" s="32" t="s">
        <v>1037</v>
      </c>
      <c r="M194" s="32" t="s">
        <v>530</v>
      </c>
      <c r="N194" s="32" t="s">
        <v>669</v>
      </c>
      <c r="O194" s="32" t="s">
        <v>359</v>
      </c>
      <c r="T194" s="32" t="s">
        <v>1565</v>
      </c>
      <c r="V194" t="s">
        <v>3035</v>
      </c>
      <c r="W194" t="s">
        <v>2602</v>
      </c>
      <c r="X194" t="s">
        <v>3036</v>
      </c>
      <c r="Y194" t="s">
        <v>1590</v>
      </c>
      <c r="AA194" t="s">
        <v>3941</v>
      </c>
      <c r="AE194" t="s">
        <v>2571</v>
      </c>
      <c r="AF194" t="s">
        <v>4462</v>
      </c>
      <c r="AG194" t="s">
        <v>1736</v>
      </c>
      <c r="AH194" t="s">
        <v>4920</v>
      </c>
    </row>
    <row r="195" spans="1:34" ht="13.5">
      <c r="A195" s="18" t="s">
        <v>1993</v>
      </c>
      <c r="B195" s="7" t="s">
        <v>1653</v>
      </c>
      <c r="C195" s="18" t="s">
        <v>146</v>
      </c>
      <c r="D195" s="32" t="s">
        <v>95</v>
      </c>
      <c r="E195" s="32" t="s">
        <v>645</v>
      </c>
      <c r="F195" s="32" t="s">
        <v>1029</v>
      </c>
      <c r="G195" s="32" t="s">
        <v>1103</v>
      </c>
      <c r="H195" s="32" t="s">
        <v>1369</v>
      </c>
      <c r="J195" s="32" t="s">
        <v>1278</v>
      </c>
      <c r="K195" s="32" t="s">
        <v>1172</v>
      </c>
      <c r="L195" s="32" t="s">
        <v>512</v>
      </c>
      <c r="M195" s="32" t="s">
        <v>348</v>
      </c>
      <c r="N195" s="32" t="s">
        <v>121</v>
      </c>
      <c r="O195" s="32" t="s">
        <v>2083</v>
      </c>
      <c r="T195" s="32" t="s">
        <v>2375</v>
      </c>
      <c r="V195" t="s">
        <v>3037</v>
      </c>
      <c r="W195" t="s">
        <v>1517</v>
      </c>
      <c r="X195" t="s">
        <v>3038</v>
      </c>
      <c r="Y195" t="s">
        <v>1591</v>
      </c>
      <c r="AA195" t="s">
        <v>3942</v>
      </c>
      <c r="AE195" t="s">
        <v>1534</v>
      </c>
      <c r="AF195" t="s">
        <v>4463</v>
      </c>
      <c r="AG195" t="s">
        <v>1510</v>
      </c>
      <c r="AH195" t="s">
        <v>4921</v>
      </c>
    </row>
    <row r="196" spans="1:34" ht="13.5">
      <c r="A196" s="18" t="s">
        <v>1994</v>
      </c>
      <c r="B196" s="7" t="s">
        <v>1654</v>
      </c>
      <c r="C196" s="18" t="s">
        <v>147</v>
      </c>
      <c r="D196" s="32" t="s">
        <v>96</v>
      </c>
      <c r="E196" s="32" t="s">
        <v>646</v>
      </c>
      <c r="F196" s="32" t="s">
        <v>533</v>
      </c>
      <c r="G196" s="32" t="s">
        <v>1104</v>
      </c>
      <c r="H196" s="32" t="s">
        <v>1370</v>
      </c>
      <c r="J196" s="32" t="s">
        <v>1279</v>
      </c>
      <c r="K196" s="32" t="s">
        <v>1155</v>
      </c>
      <c r="L196" s="32" t="s">
        <v>52</v>
      </c>
      <c r="M196" s="32" t="s">
        <v>24</v>
      </c>
      <c r="N196" s="32" t="s">
        <v>533</v>
      </c>
      <c r="O196" s="32" t="s">
        <v>1039</v>
      </c>
      <c r="T196" s="32" t="s">
        <v>1512</v>
      </c>
      <c r="V196" t="s">
        <v>3039</v>
      </c>
      <c r="W196" t="s">
        <v>1521</v>
      </c>
      <c r="X196" t="s">
        <v>2717</v>
      </c>
      <c r="Y196" t="s">
        <v>1592</v>
      </c>
      <c r="AA196" t="s">
        <v>3943</v>
      </c>
      <c r="AE196" t="s">
        <v>2572</v>
      </c>
      <c r="AF196" t="s">
        <v>4464</v>
      </c>
      <c r="AG196" t="s">
        <v>4657</v>
      </c>
      <c r="AH196" t="s">
        <v>4922</v>
      </c>
    </row>
    <row r="197" spans="1:34" ht="13.5">
      <c r="A197" s="18" t="s">
        <v>1995</v>
      </c>
      <c r="B197" s="7" t="s">
        <v>1525</v>
      </c>
      <c r="C197" s="18" t="s">
        <v>148</v>
      </c>
      <c r="D197" s="32" t="s">
        <v>752</v>
      </c>
      <c r="E197" s="32" t="s">
        <v>647</v>
      </c>
      <c r="F197" s="32" t="s">
        <v>1030</v>
      </c>
      <c r="G197" s="32" t="s">
        <v>1105</v>
      </c>
      <c r="H197" s="32" t="s">
        <v>1371</v>
      </c>
      <c r="J197" s="32" t="s">
        <v>1280</v>
      </c>
      <c r="K197" s="32" t="s">
        <v>1016</v>
      </c>
      <c r="L197" s="32" t="s">
        <v>1028</v>
      </c>
      <c r="M197" s="32" t="s">
        <v>28</v>
      </c>
      <c r="N197" s="32" t="s">
        <v>329</v>
      </c>
      <c r="O197" s="32" t="s">
        <v>360</v>
      </c>
      <c r="T197" s="32" t="s">
        <v>2376</v>
      </c>
      <c r="V197" t="s">
        <v>3040</v>
      </c>
      <c r="W197" t="s">
        <v>1518</v>
      </c>
      <c r="X197" t="s">
        <v>2974</v>
      </c>
      <c r="Y197" t="s">
        <v>1593</v>
      </c>
      <c r="AA197" t="s">
        <v>3944</v>
      </c>
      <c r="AE197" t="s">
        <v>1531</v>
      </c>
      <c r="AF197" t="s">
        <v>4465</v>
      </c>
      <c r="AG197" t="s">
        <v>2717</v>
      </c>
      <c r="AH197" t="s">
        <v>4923</v>
      </c>
    </row>
    <row r="198" spans="1:34" ht="13.5">
      <c r="A198" s="18" t="s">
        <v>1996</v>
      </c>
      <c r="B198" s="7" t="s">
        <v>1570</v>
      </c>
      <c r="C198" s="18" t="s">
        <v>149</v>
      </c>
      <c r="D198" s="32" t="s">
        <v>630</v>
      </c>
      <c r="E198" s="32" t="s">
        <v>648</v>
      </c>
      <c r="F198" s="32" t="s">
        <v>534</v>
      </c>
      <c r="G198" s="32" t="s">
        <v>1106</v>
      </c>
      <c r="H198" s="32" t="s">
        <v>1372</v>
      </c>
      <c r="J198" s="32" t="s">
        <v>1281</v>
      </c>
      <c r="K198" s="32" t="s">
        <v>1017</v>
      </c>
      <c r="L198" s="32" t="s">
        <v>971</v>
      </c>
      <c r="M198" s="32" t="s">
        <v>25</v>
      </c>
      <c r="N198" s="32" t="s">
        <v>534</v>
      </c>
      <c r="O198" s="32" t="s">
        <v>361</v>
      </c>
      <c r="T198" s="32" t="s">
        <v>2377</v>
      </c>
      <c r="V198" t="s">
        <v>3041</v>
      </c>
      <c r="W198" t="s">
        <v>1519</v>
      </c>
      <c r="X198" t="s">
        <v>2977</v>
      </c>
      <c r="Y198" t="s">
        <v>1594</v>
      </c>
      <c r="AA198" t="s">
        <v>3945</v>
      </c>
      <c r="AE198" t="s">
        <v>2573</v>
      </c>
      <c r="AF198" t="s">
        <v>1735</v>
      </c>
      <c r="AG198" t="s">
        <v>2974</v>
      </c>
      <c r="AH198" t="s">
        <v>4924</v>
      </c>
    </row>
    <row r="199" spans="1:34" ht="13.5">
      <c r="A199" s="18" t="s">
        <v>1997</v>
      </c>
      <c r="B199" s="7" t="s">
        <v>1571</v>
      </c>
      <c r="C199" s="18" t="s">
        <v>150</v>
      </c>
      <c r="D199" s="32" t="s">
        <v>631</v>
      </c>
      <c r="E199" s="32" t="s">
        <v>649</v>
      </c>
      <c r="F199" s="32" t="s">
        <v>36</v>
      </c>
      <c r="G199" s="32" t="s">
        <v>1107</v>
      </c>
      <c r="H199" s="32" t="s">
        <v>1373</v>
      </c>
      <c r="J199" s="32" t="s">
        <v>1230</v>
      </c>
      <c r="K199" s="32" t="s">
        <v>1018</v>
      </c>
      <c r="L199" s="32" t="s">
        <v>513</v>
      </c>
      <c r="M199" s="32" t="s">
        <v>26</v>
      </c>
      <c r="N199" s="32" t="s">
        <v>36</v>
      </c>
      <c r="O199" s="32" t="s">
        <v>362</v>
      </c>
      <c r="T199" s="32" t="s">
        <v>2378</v>
      </c>
      <c r="V199" t="s">
        <v>3042</v>
      </c>
      <c r="W199" t="s">
        <v>1520</v>
      </c>
      <c r="X199" t="s">
        <v>1775</v>
      </c>
      <c r="Y199" t="s">
        <v>1595</v>
      </c>
      <c r="AA199" t="s">
        <v>3946</v>
      </c>
      <c r="AE199" t="s">
        <v>1522</v>
      </c>
      <c r="AF199" t="s">
        <v>1929</v>
      </c>
      <c r="AG199" t="s">
        <v>2977</v>
      </c>
      <c r="AH199" t="s">
        <v>4925</v>
      </c>
    </row>
    <row r="200" spans="1:34" ht="13.5">
      <c r="A200" s="18" t="s">
        <v>1925</v>
      </c>
      <c r="B200" s="7" t="s">
        <v>1540</v>
      </c>
      <c r="C200" s="18" t="s">
        <v>151</v>
      </c>
      <c r="D200" s="32" t="s">
        <v>632</v>
      </c>
      <c r="E200" s="32" t="s">
        <v>773</v>
      </c>
      <c r="F200" s="32" t="s">
        <v>37</v>
      </c>
      <c r="G200" s="32" t="s">
        <v>1108</v>
      </c>
      <c r="H200" s="32" t="s">
        <v>1374</v>
      </c>
      <c r="J200" s="32" t="s">
        <v>1231</v>
      </c>
      <c r="K200" s="32" t="s">
        <v>1019</v>
      </c>
      <c r="L200" s="32" t="s">
        <v>532</v>
      </c>
      <c r="M200" s="32" t="s">
        <v>27</v>
      </c>
      <c r="N200" s="32" t="s">
        <v>37</v>
      </c>
      <c r="O200" s="32" t="s">
        <v>363</v>
      </c>
      <c r="T200" s="32" t="s">
        <v>2379</v>
      </c>
      <c r="V200" t="s">
        <v>3043</v>
      </c>
      <c r="W200" t="s">
        <v>1773</v>
      </c>
      <c r="X200" t="s">
        <v>1955</v>
      </c>
      <c r="Y200" t="s">
        <v>1596</v>
      </c>
      <c r="AA200" t="s">
        <v>3947</v>
      </c>
      <c r="AE200" t="s">
        <v>2574</v>
      </c>
      <c r="AF200" t="s">
        <v>1736</v>
      </c>
      <c r="AG200" t="s">
        <v>1606</v>
      </c>
      <c r="AH200" t="s">
        <v>4926</v>
      </c>
    </row>
    <row r="201" spans="1:34" ht="13.5">
      <c r="A201" s="18" t="s">
        <v>1998</v>
      </c>
      <c r="B201" s="7" t="s">
        <v>1541</v>
      </c>
      <c r="C201" s="18" t="s">
        <v>152</v>
      </c>
      <c r="D201" s="32" t="s">
        <v>753</v>
      </c>
      <c r="E201" s="32" t="s">
        <v>650</v>
      </c>
      <c r="F201" s="32" t="s">
        <v>1039</v>
      </c>
      <c r="G201" s="32" t="s">
        <v>1109</v>
      </c>
      <c r="H201" s="32" t="s">
        <v>1375</v>
      </c>
      <c r="J201" s="32" t="s">
        <v>1282</v>
      </c>
      <c r="K201" s="32" t="s">
        <v>1020</v>
      </c>
      <c r="L201" s="32" t="s">
        <v>121</v>
      </c>
      <c r="M201" s="32" t="s">
        <v>531</v>
      </c>
      <c r="N201" s="32" t="s">
        <v>2055</v>
      </c>
      <c r="O201" s="32" t="s">
        <v>364</v>
      </c>
      <c r="T201" s="32" t="s">
        <v>2380</v>
      </c>
      <c r="V201" t="s">
        <v>3044</v>
      </c>
      <c r="W201" t="s">
        <v>1602</v>
      </c>
      <c r="X201" t="s">
        <v>1776</v>
      </c>
      <c r="Y201" t="s">
        <v>1597</v>
      </c>
      <c r="AA201" t="s">
        <v>3948</v>
      </c>
      <c r="AE201" t="s">
        <v>1523</v>
      </c>
      <c r="AF201" t="s">
        <v>1737</v>
      </c>
      <c r="AG201" t="s">
        <v>4658</v>
      </c>
      <c r="AH201" t="s">
        <v>4927</v>
      </c>
    </row>
    <row r="202" spans="1:34" ht="13.5">
      <c r="A202" s="18" t="s">
        <v>1735</v>
      </c>
      <c r="B202" s="7" t="s">
        <v>1539</v>
      </c>
      <c r="C202" s="18" t="s">
        <v>153</v>
      </c>
      <c r="D202" s="32" t="s">
        <v>523</v>
      </c>
      <c r="E202" s="32" t="s">
        <v>652</v>
      </c>
      <c r="F202" s="32" t="s">
        <v>535</v>
      </c>
      <c r="G202" s="32" t="s">
        <v>1110</v>
      </c>
      <c r="H202" s="32" t="s">
        <v>1376</v>
      </c>
      <c r="J202" s="32" t="s">
        <v>1283</v>
      </c>
      <c r="K202" s="32" t="s">
        <v>1021</v>
      </c>
      <c r="L202" s="32" t="s">
        <v>972</v>
      </c>
      <c r="M202" s="32" t="s">
        <v>449</v>
      </c>
      <c r="N202" s="32" t="s">
        <v>2056</v>
      </c>
      <c r="O202" s="32" t="s">
        <v>535</v>
      </c>
      <c r="T202" s="32" t="s">
        <v>2381</v>
      </c>
      <c r="V202" t="s">
        <v>3045</v>
      </c>
      <c r="W202" t="s">
        <v>3046</v>
      </c>
      <c r="X202" t="s">
        <v>1529</v>
      </c>
      <c r="Y202" t="s">
        <v>1773</v>
      </c>
      <c r="AA202" t="s">
        <v>3949</v>
      </c>
      <c r="AE202" t="s">
        <v>2575</v>
      </c>
      <c r="AF202" t="s">
        <v>4466</v>
      </c>
      <c r="AG202" t="s">
        <v>1955</v>
      </c>
      <c r="AH202" t="s">
        <v>4928</v>
      </c>
    </row>
    <row r="203" spans="1:34" ht="13.5">
      <c r="A203" s="18" t="s">
        <v>1929</v>
      </c>
      <c r="B203" s="7" t="s">
        <v>1538</v>
      </c>
      <c r="C203" s="18" t="s">
        <v>154</v>
      </c>
      <c r="D203" s="32" t="s">
        <v>524</v>
      </c>
      <c r="E203" s="32" t="s">
        <v>654</v>
      </c>
      <c r="F203" s="32" t="s">
        <v>1031</v>
      </c>
      <c r="G203" s="32" t="s">
        <v>24</v>
      </c>
      <c r="H203" s="32" t="s">
        <v>1377</v>
      </c>
      <c r="J203" s="32" t="s">
        <v>1284</v>
      </c>
      <c r="K203" s="32" t="s">
        <v>1022</v>
      </c>
      <c r="L203" s="32" t="s">
        <v>973</v>
      </c>
      <c r="M203" s="32" t="s">
        <v>512</v>
      </c>
      <c r="N203" s="32" t="s">
        <v>335</v>
      </c>
      <c r="O203" s="32" t="s">
        <v>514</v>
      </c>
      <c r="T203" s="32" t="s">
        <v>2382</v>
      </c>
      <c r="V203" t="s">
        <v>3047</v>
      </c>
      <c r="W203" t="s">
        <v>3048</v>
      </c>
      <c r="X203" t="s">
        <v>1530</v>
      </c>
      <c r="Y203" t="s">
        <v>3049</v>
      </c>
      <c r="AA203" t="s">
        <v>3950</v>
      </c>
      <c r="AE203" t="s">
        <v>3317</v>
      </c>
      <c r="AF203" t="s">
        <v>1510</v>
      </c>
      <c r="AG203" t="s">
        <v>1529</v>
      </c>
      <c r="AH203" t="s">
        <v>4929</v>
      </c>
    </row>
    <row r="204" spans="1:34" ht="13.5">
      <c r="A204" s="18" t="s">
        <v>1952</v>
      </c>
      <c r="B204" s="7" t="s">
        <v>1537</v>
      </c>
      <c r="C204" s="18" t="s">
        <v>155</v>
      </c>
      <c r="D204" s="32" t="s">
        <v>525</v>
      </c>
      <c r="E204" s="32" t="s">
        <v>655</v>
      </c>
      <c r="F204" s="32" t="s">
        <v>514</v>
      </c>
      <c r="G204" s="32" t="s">
        <v>28</v>
      </c>
      <c r="H204" s="32" t="s">
        <v>1378</v>
      </c>
      <c r="J204" s="32" t="s">
        <v>1285</v>
      </c>
      <c r="K204" s="32" t="s">
        <v>1023</v>
      </c>
      <c r="L204" s="32" t="s">
        <v>1029</v>
      </c>
      <c r="M204" s="32" t="s">
        <v>52</v>
      </c>
      <c r="N204" s="32" t="s">
        <v>336</v>
      </c>
      <c r="O204" s="32" t="s">
        <v>515</v>
      </c>
      <c r="T204" s="32" t="s">
        <v>2383</v>
      </c>
      <c r="V204" t="s">
        <v>3050</v>
      </c>
      <c r="W204" t="s">
        <v>3051</v>
      </c>
      <c r="X204" t="s">
        <v>1956</v>
      </c>
      <c r="Y204" t="s">
        <v>3052</v>
      </c>
      <c r="AA204" t="s">
        <v>3951</v>
      </c>
      <c r="AE204" t="s">
        <v>1527</v>
      </c>
      <c r="AF204" t="s">
        <v>2717</v>
      </c>
      <c r="AG204" t="s">
        <v>1530</v>
      </c>
      <c r="AH204" t="s">
        <v>4930</v>
      </c>
    </row>
    <row r="205" spans="1:34" ht="13.5">
      <c r="A205" s="18" t="s">
        <v>1736</v>
      </c>
      <c r="B205" s="7" t="s">
        <v>1677</v>
      </c>
      <c r="C205" s="18" t="s">
        <v>156</v>
      </c>
      <c r="D205" s="32" t="s">
        <v>415</v>
      </c>
      <c r="E205" s="32" t="s">
        <v>656</v>
      </c>
      <c r="F205" s="32" t="s">
        <v>515</v>
      </c>
      <c r="G205" s="32" t="s">
        <v>25</v>
      </c>
      <c r="H205" s="32" t="s">
        <v>1379</v>
      </c>
      <c r="J205" s="32" t="s">
        <v>1286</v>
      </c>
      <c r="K205" s="32" t="s">
        <v>1024</v>
      </c>
      <c r="L205" s="32" t="s">
        <v>533</v>
      </c>
      <c r="M205" s="32" t="s">
        <v>284</v>
      </c>
      <c r="N205" s="32" t="s">
        <v>2057</v>
      </c>
      <c r="O205" s="32" t="s">
        <v>516</v>
      </c>
      <c r="T205" s="32" t="s">
        <v>2384</v>
      </c>
      <c r="V205" t="s">
        <v>3053</v>
      </c>
      <c r="W205" t="s">
        <v>3054</v>
      </c>
      <c r="X205" t="s">
        <v>3055</v>
      </c>
      <c r="Y205" t="s">
        <v>3056</v>
      </c>
      <c r="AA205" t="s">
        <v>3952</v>
      </c>
      <c r="AE205" t="s">
        <v>1725</v>
      </c>
      <c r="AF205" t="s">
        <v>2974</v>
      </c>
      <c r="AG205" t="s">
        <v>4659</v>
      </c>
      <c r="AH205" t="s">
        <v>4931</v>
      </c>
    </row>
    <row r="206" spans="1:34" ht="13.5">
      <c r="A206" s="18" t="s">
        <v>1953</v>
      </c>
      <c r="B206" s="7" t="s">
        <v>1572</v>
      </c>
      <c r="C206" s="18" t="s">
        <v>85</v>
      </c>
      <c r="D206" s="32" t="s">
        <v>526</v>
      </c>
      <c r="E206" s="32" t="s">
        <v>657</v>
      </c>
      <c r="F206" s="32" t="s">
        <v>516</v>
      </c>
      <c r="G206" s="32" t="s">
        <v>26</v>
      </c>
      <c r="H206" s="32" t="s">
        <v>1380</v>
      </c>
      <c r="J206" s="32" t="s">
        <v>1287</v>
      </c>
      <c r="K206" s="32" t="s">
        <v>1025</v>
      </c>
      <c r="L206" s="32" t="s">
        <v>1030</v>
      </c>
      <c r="M206" s="32" t="s">
        <v>513</v>
      </c>
      <c r="N206" s="32" t="s">
        <v>535</v>
      </c>
      <c r="O206" s="32" t="s">
        <v>517</v>
      </c>
      <c r="T206" s="32" t="s">
        <v>2385</v>
      </c>
      <c r="V206" t="s">
        <v>3057</v>
      </c>
      <c r="W206" t="s">
        <v>3058</v>
      </c>
      <c r="X206" t="s">
        <v>2987</v>
      </c>
      <c r="Y206" t="s">
        <v>3059</v>
      </c>
      <c r="AA206" t="s">
        <v>3953</v>
      </c>
      <c r="AE206" t="s">
        <v>1926</v>
      </c>
      <c r="AF206" t="s">
        <v>2977</v>
      </c>
      <c r="AG206" t="s">
        <v>4660</v>
      </c>
      <c r="AH206" t="s">
        <v>4932</v>
      </c>
    </row>
    <row r="207" spans="1:34" ht="13.5">
      <c r="A207" s="18" t="s">
        <v>1774</v>
      </c>
      <c r="B207" s="7" t="s">
        <v>1678</v>
      </c>
      <c r="C207" s="18" t="s">
        <v>86</v>
      </c>
      <c r="D207" s="32" t="s">
        <v>40</v>
      </c>
      <c r="E207" s="32" t="s">
        <v>658</v>
      </c>
      <c r="F207" s="32" t="s">
        <v>517</v>
      </c>
      <c r="G207" s="32" t="s">
        <v>27</v>
      </c>
      <c r="H207" s="32" t="s">
        <v>1381</v>
      </c>
      <c r="J207" s="32" t="s">
        <v>1288</v>
      </c>
      <c r="K207" s="32" t="s">
        <v>1173</v>
      </c>
      <c r="L207" s="32" t="s">
        <v>974</v>
      </c>
      <c r="M207" s="32" t="s">
        <v>1038</v>
      </c>
      <c r="N207" s="32" t="s">
        <v>514</v>
      </c>
      <c r="O207" s="32" t="s">
        <v>518</v>
      </c>
      <c r="T207" s="32" t="s">
        <v>2386</v>
      </c>
      <c r="V207" t="s">
        <v>3060</v>
      </c>
      <c r="W207" t="s">
        <v>3061</v>
      </c>
      <c r="X207" t="s">
        <v>3062</v>
      </c>
      <c r="Y207" t="s">
        <v>1602</v>
      </c>
      <c r="AA207" t="s">
        <v>3954</v>
      </c>
      <c r="AE207" t="s">
        <v>3318</v>
      </c>
      <c r="AF207" t="s">
        <v>1529</v>
      </c>
      <c r="AG207" t="s">
        <v>4661</v>
      </c>
      <c r="AH207" t="s">
        <v>4933</v>
      </c>
    </row>
    <row r="208" spans="1:34" ht="13.5">
      <c r="A208" s="18" t="s">
        <v>1999</v>
      </c>
      <c r="B208" s="7" t="s">
        <v>1573</v>
      </c>
      <c r="C208" s="18" t="s">
        <v>234</v>
      </c>
      <c r="D208" s="32" t="s">
        <v>44</v>
      </c>
      <c r="E208" s="32" t="s">
        <v>659</v>
      </c>
      <c r="F208" s="32" t="s">
        <v>518</v>
      </c>
      <c r="G208" s="32" t="s">
        <v>1074</v>
      </c>
      <c r="H208" s="32" t="s">
        <v>1382</v>
      </c>
      <c r="J208" s="32" t="s">
        <v>1289</v>
      </c>
      <c r="K208" s="32" t="s">
        <v>1156</v>
      </c>
      <c r="L208" s="32" t="s">
        <v>981</v>
      </c>
      <c r="M208" s="32" t="s">
        <v>532</v>
      </c>
      <c r="N208" s="32" t="s">
        <v>515</v>
      </c>
      <c r="O208" s="32" t="s">
        <v>519</v>
      </c>
      <c r="T208" s="32" t="s">
        <v>1980</v>
      </c>
      <c r="V208" t="s">
        <v>3063</v>
      </c>
      <c r="W208" t="s">
        <v>3064</v>
      </c>
      <c r="X208" t="s">
        <v>1777</v>
      </c>
      <c r="Y208" t="s">
        <v>1603</v>
      </c>
      <c r="AA208" t="s">
        <v>3955</v>
      </c>
      <c r="AE208" t="s">
        <v>1733</v>
      </c>
      <c r="AF208" t="s">
        <v>1530</v>
      </c>
      <c r="AG208" t="s">
        <v>4662</v>
      </c>
      <c r="AH208" t="s">
        <v>4934</v>
      </c>
    </row>
    <row r="209" spans="1:34" ht="13.5">
      <c r="A209" s="18" t="s">
        <v>1954</v>
      </c>
      <c r="B209" s="7" t="s">
        <v>1526</v>
      </c>
      <c r="C209" s="18" t="s">
        <v>235</v>
      </c>
      <c r="D209" s="32" t="s">
        <v>39</v>
      </c>
      <c r="E209" s="32" t="s">
        <v>869</v>
      </c>
      <c r="F209" s="32" t="s">
        <v>519</v>
      </c>
      <c r="G209" s="32" t="s">
        <v>531</v>
      </c>
      <c r="H209" s="32" t="s">
        <v>1215</v>
      </c>
      <c r="J209" s="32" t="s">
        <v>1290</v>
      </c>
      <c r="K209" s="32" t="s">
        <v>531</v>
      </c>
      <c r="L209" s="32" t="s">
        <v>975</v>
      </c>
      <c r="M209" s="32" t="s">
        <v>669</v>
      </c>
      <c r="N209" s="32" t="s">
        <v>516</v>
      </c>
      <c r="O209" s="32" t="s">
        <v>520</v>
      </c>
      <c r="T209" s="32" t="s">
        <v>2387</v>
      </c>
      <c r="V209" t="s">
        <v>3065</v>
      </c>
      <c r="W209" t="s">
        <v>3066</v>
      </c>
      <c r="X209" t="s">
        <v>1754</v>
      </c>
      <c r="Y209" t="s">
        <v>1734</v>
      </c>
      <c r="AA209" t="s">
        <v>3956</v>
      </c>
      <c r="AE209" t="s">
        <v>1528</v>
      </c>
      <c r="AF209" t="s">
        <v>3839</v>
      </c>
      <c r="AG209" t="s">
        <v>4663</v>
      </c>
      <c r="AH209" t="s">
        <v>1510</v>
      </c>
    </row>
    <row r="210" spans="1:34" ht="13.5">
      <c r="A210" s="18" t="s">
        <v>1510</v>
      </c>
      <c r="B210" s="7" t="s">
        <v>1574</v>
      </c>
      <c r="C210" s="18" t="s">
        <v>236</v>
      </c>
      <c r="D210" s="32" t="s">
        <v>41</v>
      </c>
      <c r="E210" s="32" t="s">
        <v>660</v>
      </c>
      <c r="F210" s="32" t="s">
        <v>520</v>
      </c>
      <c r="G210" s="32" t="s">
        <v>1026</v>
      </c>
      <c r="H210" s="32" t="s">
        <v>49</v>
      </c>
      <c r="J210" s="32" t="s">
        <v>1233</v>
      </c>
      <c r="K210" s="32" t="s">
        <v>1037</v>
      </c>
      <c r="L210" s="32" t="s">
        <v>976</v>
      </c>
      <c r="M210" s="32" t="s">
        <v>121</v>
      </c>
      <c r="N210" s="32" t="s">
        <v>517</v>
      </c>
      <c r="O210" s="32" t="s">
        <v>2084</v>
      </c>
      <c r="T210" s="32" t="s">
        <v>2388</v>
      </c>
      <c r="V210" t="s">
        <v>3067</v>
      </c>
      <c r="W210" t="s">
        <v>3068</v>
      </c>
      <c r="X210" t="s">
        <v>1755</v>
      </c>
      <c r="Y210" t="s">
        <v>1735</v>
      </c>
      <c r="AA210" t="s">
        <v>3957</v>
      </c>
      <c r="AE210" t="s">
        <v>1928</v>
      </c>
      <c r="AF210" t="s">
        <v>3840</v>
      </c>
      <c r="AG210" t="s">
        <v>4664</v>
      </c>
      <c r="AH210" t="s">
        <v>4935</v>
      </c>
    </row>
    <row r="211" spans="1:34" ht="14.5">
      <c r="A211" s="18" t="s">
        <v>2000</v>
      </c>
      <c r="B211" s="7" t="s">
        <v>1575</v>
      </c>
      <c r="C211" s="18" t="s">
        <v>87</v>
      </c>
      <c r="D211" s="32" t="s">
        <v>754</v>
      </c>
      <c r="E211" s="32" t="s">
        <v>661</v>
      </c>
      <c r="F211" s="32" t="s">
        <v>1032</v>
      </c>
      <c r="G211" s="32" t="s">
        <v>115</v>
      </c>
      <c r="H211" s="32" t="s">
        <v>50</v>
      </c>
      <c r="J211" s="32" t="s">
        <v>1234</v>
      </c>
      <c r="K211" s="32" t="s">
        <v>512</v>
      </c>
      <c r="L211" s="32" t="s">
        <v>534</v>
      </c>
      <c r="M211" s="32" t="s">
        <v>285</v>
      </c>
      <c r="N211" s="32" t="s">
        <v>518</v>
      </c>
      <c r="O211" s="45"/>
      <c r="T211" s="32" t="s">
        <v>2389</v>
      </c>
      <c r="V211" t="s">
        <v>3069</v>
      </c>
      <c r="W211" t="s">
        <v>3070</v>
      </c>
      <c r="X211" t="s">
        <v>1756</v>
      </c>
      <c r="Y211" t="s">
        <v>1929</v>
      </c>
      <c r="AA211" t="s">
        <v>3958</v>
      </c>
      <c r="AE211" t="s">
        <v>2949</v>
      </c>
      <c r="AF211" t="s">
        <v>3841</v>
      </c>
      <c r="AG211" t="s">
        <v>4665</v>
      </c>
      <c r="AH211" t="s">
        <v>4936</v>
      </c>
    </row>
    <row r="212" spans="1:34" ht="15.5">
      <c r="A212" s="18" t="s">
        <v>2001</v>
      </c>
      <c r="B212" s="7" t="s">
        <v>1576</v>
      </c>
      <c r="C212" s="18" t="s">
        <v>237</v>
      </c>
      <c r="D212" s="32" t="s">
        <v>38</v>
      </c>
      <c r="E212" s="32" t="s">
        <v>870</v>
      </c>
      <c r="F212" s="33"/>
      <c r="G212" s="32" t="s">
        <v>1111</v>
      </c>
      <c r="H212" s="32" t="s">
        <v>48</v>
      </c>
      <c r="J212" s="33"/>
      <c r="K212" s="32" t="s">
        <v>52</v>
      </c>
      <c r="L212" s="32" t="s">
        <v>36</v>
      </c>
      <c r="M212" s="32" t="s">
        <v>533</v>
      </c>
      <c r="N212" s="32" t="s">
        <v>519</v>
      </c>
      <c r="T212" s="32" t="s">
        <v>2390</v>
      </c>
      <c r="V212" t="s">
        <v>3071</v>
      </c>
      <c r="W212" t="s">
        <v>3072</v>
      </c>
      <c r="X212" t="s">
        <v>1757</v>
      </c>
      <c r="Y212" t="s">
        <v>1736</v>
      </c>
      <c r="AA212" t="s">
        <v>3959</v>
      </c>
      <c r="AE212" t="s">
        <v>1517</v>
      </c>
      <c r="AF212" t="s">
        <v>3842</v>
      </c>
      <c r="AG212" t="s">
        <v>1777</v>
      </c>
      <c r="AH212" t="s">
        <v>4937</v>
      </c>
    </row>
    <row r="213" spans="1:34" ht="13.5">
      <c r="A213" s="18" t="s">
        <v>2002</v>
      </c>
      <c r="B213" s="7" t="s">
        <v>1577</v>
      </c>
      <c r="C213" s="18" t="s">
        <v>238</v>
      </c>
      <c r="D213" s="32" t="s">
        <v>29</v>
      </c>
      <c r="E213" s="32" t="s">
        <v>662</v>
      </c>
      <c r="G213" s="32" t="s">
        <v>1112</v>
      </c>
      <c r="H213" s="32" t="s">
        <v>47</v>
      </c>
      <c r="K213" s="32" t="s">
        <v>1174</v>
      </c>
      <c r="L213" s="32" t="s">
        <v>37</v>
      </c>
      <c r="M213" s="32" t="s">
        <v>286</v>
      </c>
      <c r="N213" s="32" t="s">
        <v>520</v>
      </c>
      <c r="T213" s="32" t="s">
        <v>2391</v>
      </c>
      <c r="V213" t="s">
        <v>3073</v>
      </c>
      <c r="W213" t="s">
        <v>3074</v>
      </c>
      <c r="X213" t="s">
        <v>1758</v>
      </c>
      <c r="Y213" t="s">
        <v>1774</v>
      </c>
      <c r="AA213" t="s">
        <v>3960</v>
      </c>
      <c r="AE213" t="s">
        <v>1521</v>
      </c>
      <c r="AF213" t="s">
        <v>3843</v>
      </c>
      <c r="AG213" t="s">
        <v>4666</v>
      </c>
      <c r="AH213" t="s">
        <v>4938</v>
      </c>
    </row>
    <row r="214" spans="1:34" ht="14.5">
      <c r="A214" s="18" t="s">
        <v>2003</v>
      </c>
      <c r="B214" s="7" t="s">
        <v>1578</v>
      </c>
      <c r="C214" s="18" t="s">
        <v>239</v>
      </c>
      <c r="D214" s="32" t="s">
        <v>30</v>
      </c>
      <c r="E214" s="32" t="s">
        <v>871</v>
      </c>
      <c r="G214" s="32" t="s">
        <v>1113</v>
      </c>
      <c r="H214" s="32" t="s">
        <v>46</v>
      </c>
      <c r="K214" s="32" t="s">
        <v>513</v>
      </c>
      <c r="L214" s="32" t="s">
        <v>977</v>
      </c>
      <c r="M214" s="32" t="s">
        <v>287</v>
      </c>
      <c r="N214" s="45"/>
      <c r="T214" s="32" t="s">
        <v>2392</v>
      </c>
      <c r="V214" t="s">
        <v>3075</v>
      </c>
      <c r="W214" t="s">
        <v>3076</v>
      </c>
      <c r="X214" t="s">
        <v>1759</v>
      </c>
      <c r="Y214" t="s">
        <v>1510</v>
      </c>
      <c r="AA214" t="s">
        <v>3961</v>
      </c>
      <c r="AE214" t="s">
        <v>1518</v>
      </c>
      <c r="AF214" t="s">
        <v>3844</v>
      </c>
      <c r="AG214" t="s">
        <v>1754</v>
      </c>
      <c r="AH214" t="s">
        <v>4939</v>
      </c>
    </row>
    <row r="215" spans="1:34" ht="13.5">
      <c r="A215" s="18" t="s">
        <v>2004</v>
      </c>
      <c r="B215" s="7" t="s">
        <v>1515</v>
      </c>
      <c r="C215" s="18" t="s">
        <v>88</v>
      </c>
      <c r="D215" s="32" t="s">
        <v>755</v>
      </c>
      <c r="E215" s="32" t="s">
        <v>872</v>
      </c>
      <c r="G215" s="32" t="s">
        <v>1114</v>
      </c>
      <c r="H215" s="32" t="s">
        <v>1383</v>
      </c>
      <c r="K215" s="32" t="s">
        <v>532</v>
      </c>
      <c r="L215" s="32" t="s">
        <v>535</v>
      </c>
      <c r="M215" s="32" t="s">
        <v>288</v>
      </c>
      <c r="T215" s="32" t="s">
        <v>2393</v>
      </c>
      <c r="V215" t="s">
        <v>3077</v>
      </c>
      <c r="W215" t="s">
        <v>3078</v>
      </c>
      <c r="X215" t="s">
        <v>1760</v>
      </c>
      <c r="Y215" t="s">
        <v>2717</v>
      </c>
      <c r="AA215" t="s">
        <v>3962</v>
      </c>
      <c r="AE215" t="s">
        <v>1519</v>
      </c>
      <c r="AF215" t="s">
        <v>3062</v>
      </c>
      <c r="AG215" t="s">
        <v>1755</v>
      </c>
      <c r="AH215" t="s">
        <v>4940</v>
      </c>
    </row>
    <row r="216" spans="1:34" ht="13.5">
      <c r="A216" s="18" t="s">
        <v>2005</v>
      </c>
      <c r="B216" s="7" t="s">
        <v>1679</v>
      </c>
      <c r="C216" s="18" t="s">
        <v>89</v>
      </c>
      <c r="D216" s="32" t="s">
        <v>756</v>
      </c>
      <c r="E216" s="32" t="s">
        <v>873</v>
      </c>
      <c r="G216" s="32" t="s">
        <v>1115</v>
      </c>
      <c r="H216" s="32" t="s">
        <v>1384</v>
      </c>
      <c r="K216" s="32" t="s">
        <v>121</v>
      </c>
      <c r="L216" s="32" t="s">
        <v>1031</v>
      </c>
      <c r="M216" s="32" t="s">
        <v>289</v>
      </c>
      <c r="T216" s="32" t="s">
        <v>2394</v>
      </c>
      <c r="V216" t="s">
        <v>3079</v>
      </c>
      <c r="W216" t="s">
        <v>3080</v>
      </c>
      <c r="X216" t="s">
        <v>3081</v>
      </c>
      <c r="Y216" t="s">
        <v>2974</v>
      </c>
      <c r="AA216" t="s">
        <v>3963</v>
      </c>
      <c r="AE216" t="s">
        <v>1520</v>
      </c>
      <c r="AF216" t="s">
        <v>4355</v>
      </c>
      <c r="AG216" t="s">
        <v>1756</v>
      </c>
      <c r="AH216" t="s">
        <v>4941</v>
      </c>
    </row>
    <row r="217" spans="1:34" ht="13.5">
      <c r="A217" s="18" t="s">
        <v>1775</v>
      </c>
      <c r="B217" s="7" t="s">
        <v>1680</v>
      </c>
      <c r="C217" s="18" t="s">
        <v>240</v>
      </c>
      <c r="D217" s="32" t="s">
        <v>34</v>
      </c>
      <c r="E217" s="32" t="s">
        <v>874</v>
      </c>
      <c r="G217" s="32" t="s">
        <v>1116</v>
      </c>
      <c r="H217" s="32" t="s">
        <v>33</v>
      </c>
      <c r="K217" s="32" t="s">
        <v>1157</v>
      </c>
      <c r="L217" s="32" t="s">
        <v>514</v>
      </c>
      <c r="M217" s="32" t="s">
        <v>290</v>
      </c>
      <c r="T217" s="32" t="s">
        <v>2395</v>
      </c>
      <c r="V217" t="s">
        <v>3082</v>
      </c>
      <c r="W217" t="s">
        <v>3083</v>
      </c>
      <c r="X217" t="s">
        <v>3084</v>
      </c>
      <c r="Y217" t="s">
        <v>2977</v>
      </c>
      <c r="AA217" t="s">
        <v>3964</v>
      </c>
      <c r="AE217" t="s">
        <v>4441</v>
      </c>
      <c r="AF217" t="s">
        <v>4356</v>
      </c>
      <c r="AG217" t="s">
        <v>1757</v>
      </c>
      <c r="AH217" t="s">
        <v>4942</v>
      </c>
    </row>
    <row r="218" spans="1:34" ht="13.5">
      <c r="A218" s="18" t="s">
        <v>1955</v>
      </c>
      <c r="B218" s="7" t="s">
        <v>1681</v>
      </c>
      <c r="C218" s="18" t="s">
        <v>241</v>
      </c>
      <c r="D218" s="32" t="s">
        <v>757</v>
      </c>
      <c r="E218" s="32" t="s">
        <v>875</v>
      </c>
      <c r="G218" s="32" t="s">
        <v>1117</v>
      </c>
      <c r="H218" s="32" t="s">
        <v>1385</v>
      </c>
      <c r="K218" s="32" t="s">
        <v>1175</v>
      </c>
      <c r="L218" s="32" t="s">
        <v>515</v>
      </c>
      <c r="M218" s="32" t="s">
        <v>291</v>
      </c>
      <c r="T218" s="32" t="s">
        <v>2396</v>
      </c>
      <c r="V218" t="s">
        <v>3085</v>
      </c>
      <c r="W218" t="s">
        <v>3086</v>
      </c>
      <c r="X218" t="s">
        <v>3087</v>
      </c>
      <c r="Y218" t="s">
        <v>1606</v>
      </c>
      <c r="AA218" t="s">
        <v>3965</v>
      </c>
      <c r="AE218" t="s">
        <v>4442</v>
      </c>
      <c r="AF218" t="s">
        <v>4357</v>
      </c>
      <c r="AG218" t="s">
        <v>1758</v>
      </c>
      <c r="AH218" t="s">
        <v>4943</v>
      </c>
    </row>
    <row r="219" spans="1:34" ht="13.5">
      <c r="A219" s="18" t="s">
        <v>1776</v>
      </c>
      <c r="B219" s="7" t="s">
        <v>1682</v>
      </c>
      <c r="C219" s="18" t="s">
        <v>242</v>
      </c>
      <c r="D219" s="32" t="s">
        <v>510</v>
      </c>
      <c r="E219" s="32" t="s">
        <v>876</v>
      </c>
      <c r="G219" s="32" t="s">
        <v>1118</v>
      </c>
      <c r="H219" s="32" t="s">
        <v>1386</v>
      </c>
      <c r="K219" s="32" t="s">
        <v>809</v>
      </c>
      <c r="L219" s="32" t="s">
        <v>516</v>
      </c>
      <c r="M219" s="32" t="s">
        <v>292</v>
      </c>
      <c r="T219" s="32" t="s">
        <v>2397</v>
      </c>
      <c r="V219" t="s">
        <v>3088</v>
      </c>
      <c r="W219" t="s">
        <v>3089</v>
      </c>
      <c r="X219" t="s">
        <v>3090</v>
      </c>
      <c r="Y219" t="s">
        <v>1775</v>
      </c>
      <c r="AA219" t="s">
        <v>3966</v>
      </c>
      <c r="AE219" t="s">
        <v>4443</v>
      </c>
      <c r="AF219" t="s">
        <v>4358</v>
      </c>
      <c r="AG219" t="s">
        <v>1759</v>
      </c>
      <c r="AH219" t="s">
        <v>4944</v>
      </c>
    </row>
    <row r="220" spans="1:34" ht="13.5">
      <c r="A220" s="18" t="s">
        <v>1529</v>
      </c>
      <c r="B220" s="7" t="s">
        <v>1683</v>
      </c>
      <c r="C220" s="18" t="s">
        <v>31</v>
      </c>
      <c r="D220" s="32" t="s">
        <v>43</v>
      </c>
      <c r="E220" s="32" t="s">
        <v>877</v>
      </c>
      <c r="G220" s="32" t="s">
        <v>1119</v>
      </c>
      <c r="H220" s="32" t="s">
        <v>91</v>
      </c>
      <c r="K220" s="32" t="s">
        <v>533</v>
      </c>
      <c r="L220" s="32" t="s">
        <v>517</v>
      </c>
      <c r="M220" s="32" t="s">
        <v>293</v>
      </c>
      <c r="T220" s="32" t="s">
        <v>2398</v>
      </c>
      <c r="V220" t="s">
        <v>3091</v>
      </c>
      <c r="W220" t="s">
        <v>3092</v>
      </c>
      <c r="X220" t="s">
        <v>3093</v>
      </c>
      <c r="Y220" t="s">
        <v>1607</v>
      </c>
      <c r="AA220" t="s">
        <v>3967</v>
      </c>
      <c r="AE220" t="s">
        <v>4444</v>
      </c>
      <c r="AF220" t="s">
        <v>4359</v>
      </c>
      <c r="AG220" t="s">
        <v>1760</v>
      </c>
      <c r="AH220" t="s">
        <v>4945</v>
      </c>
    </row>
    <row r="221" spans="1:34" ht="13.5">
      <c r="A221" s="18" t="s">
        <v>1530</v>
      </c>
      <c r="B221" s="7" t="s">
        <v>1684</v>
      </c>
      <c r="C221" s="18" t="s">
        <v>243</v>
      </c>
      <c r="D221" s="32" t="s">
        <v>527</v>
      </c>
      <c r="E221" s="32" t="s">
        <v>878</v>
      </c>
      <c r="G221" s="32" t="s">
        <v>1027</v>
      </c>
      <c r="H221" s="32" t="s">
        <v>92</v>
      </c>
      <c r="K221" s="32" t="s">
        <v>1030</v>
      </c>
      <c r="L221" s="32" t="s">
        <v>518</v>
      </c>
      <c r="M221" s="32" t="s">
        <v>294</v>
      </c>
      <c r="T221" s="32" t="s">
        <v>2399</v>
      </c>
      <c r="V221" t="s">
        <v>3094</v>
      </c>
      <c r="W221" t="s">
        <v>3095</v>
      </c>
      <c r="X221" t="s">
        <v>3096</v>
      </c>
      <c r="Y221" t="s">
        <v>3097</v>
      </c>
      <c r="AA221" t="s">
        <v>3968</v>
      </c>
      <c r="AE221" t="s">
        <v>4445</v>
      </c>
      <c r="AF221" t="s">
        <v>4360</v>
      </c>
      <c r="AH221" t="s">
        <v>4946</v>
      </c>
    </row>
    <row r="222" spans="1:34" ht="13.5">
      <c r="A222" s="18" t="s">
        <v>1956</v>
      </c>
      <c r="B222" s="7" t="s">
        <v>1685</v>
      </c>
      <c r="C222" s="18" t="s">
        <v>522</v>
      </c>
      <c r="D222" s="32" t="s">
        <v>633</v>
      </c>
      <c r="E222" s="32" t="s">
        <v>512</v>
      </c>
      <c r="G222" s="32" t="s">
        <v>1037</v>
      </c>
      <c r="H222" s="32" t="s">
        <v>1387</v>
      </c>
      <c r="K222" s="32" t="s">
        <v>1176</v>
      </c>
      <c r="L222" s="32" t="s">
        <v>519</v>
      </c>
      <c r="M222" s="32" t="s">
        <v>295</v>
      </c>
      <c r="T222" s="32" t="s">
        <v>2400</v>
      </c>
      <c r="V222" t="s">
        <v>3098</v>
      </c>
      <c r="W222" t="s">
        <v>3099</v>
      </c>
      <c r="X222" t="s">
        <v>3100</v>
      </c>
      <c r="Y222" t="s">
        <v>3101</v>
      </c>
      <c r="AA222" t="s">
        <v>3969</v>
      </c>
      <c r="AE222" t="s">
        <v>4446</v>
      </c>
      <c r="AF222" t="s">
        <v>1753</v>
      </c>
      <c r="AH222" t="s">
        <v>4947</v>
      </c>
    </row>
    <row r="223" spans="1:34" ht="13.5">
      <c r="A223" s="18" t="s">
        <v>2006</v>
      </c>
      <c r="B223" s="7" t="s">
        <v>1686</v>
      </c>
      <c r="C223" s="18" t="s">
        <v>384</v>
      </c>
      <c r="D223" s="32" t="s">
        <v>634</v>
      </c>
      <c r="E223" s="32" t="s">
        <v>52</v>
      </c>
      <c r="G223" s="32" t="s">
        <v>512</v>
      </c>
      <c r="H223" s="32" t="s">
        <v>1388</v>
      </c>
      <c r="K223" s="32" t="s">
        <v>534</v>
      </c>
      <c r="L223" s="32" t="s">
        <v>520</v>
      </c>
      <c r="M223" s="32" t="s">
        <v>296</v>
      </c>
      <c r="T223" s="32" t="s">
        <v>2401</v>
      </c>
      <c r="V223" t="s">
        <v>3102</v>
      </c>
      <c r="W223" t="s">
        <v>3103</v>
      </c>
      <c r="X223" s="32" t="s">
        <v>2832</v>
      </c>
      <c r="Y223" t="s">
        <v>1776</v>
      </c>
      <c r="AA223" t="s">
        <v>3970</v>
      </c>
      <c r="AE223" t="s">
        <v>4447</v>
      </c>
      <c r="AF223" t="s">
        <v>4364</v>
      </c>
      <c r="AH223" t="s">
        <v>4948</v>
      </c>
    </row>
    <row r="224" spans="1:34" ht="13.5">
      <c r="A224" s="18" t="s">
        <v>2007</v>
      </c>
      <c r="B224" s="7" t="s">
        <v>1687</v>
      </c>
      <c r="C224" s="18" t="s">
        <v>385</v>
      </c>
      <c r="D224" s="32" t="s">
        <v>758</v>
      </c>
      <c r="E224" s="32" t="s">
        <v>513</v>
      </c>
      <c r="G224" s="32" t="s">
        <v>52</v>
      </c>
      <c r="H224" s="32" t="s">
        <v>94</v>
      </c>
      <c r="K224" s="32" t="s">
        <v>36</v>
      </c>
      <c r="L224" s="32" t="s">
        <v>1032</v>
      </c>
      <c r="M224" s="32" t="s">
        <v>297</v>
      </c>
      <c r="T224" s="32" t="s">
        <v>2402</v>
      </c>
      <c r="V224" t="s">
        <v>3104</v>
      </c>
      <c r="W224" t="s">
        <v>3105</v>
      </c>
      <c r="X224" s="32" t="s">
        <v>3006</v>
      </c>
      <c r="Y224" t="s">
        <v>1529</v>
      </c>
      <c r="AA224" t="s">
        <v>3971</v>
      </c>
      <c r="AE224" t="s">
        <v>4448</v>
      </c>
      <c r="AF224" t="s">
        <v>4365</v>
      </c>
      <c r="AH224" t="s">
        <v>4949</v>
      </c>
    </row>
    <row r="225" spans="1:34" ht="13.5">
      <c r="A225" s="18" t="s">
        <v>1777</v>
      </c>
      <c r="B225" s="7" t="s">
        <v>1688</v>
      </c>
      <c r="C225" s="18" t="s">
        <v>386</v>
      </c>
      <c r="D225" s="32" t="s">
        <v>528</v>
      </c>
      <c r="E225" s="32" t="s">
        <v>532</v>
      </c>
      <c r="G225" s="32" t="s">
        <v>1120</v>
      </c>
      <c r="H225" s="32" t="s">
        <v>95</v>
      </c>
      <c r="K225" s="32" t="s">
        <v>37</v>
      </c>
      <c r="L225" s="32" t="s">
        <v>982</v>
      </c>
      <c r="M225" s="32" t="s">
        <v>298</v>
      </c>
      <c r="T225" s="32" t="s">
        <v>2403</v>
      </c>
      <c r="V225" t="s">
        <v>1980</v>
      </c>
      <c r="W225" t="s">
        <v>3106</v>
      </c>
      <c r="Y225" t="s">
        <v>1530</v>
      </c>
      <c r="AA225" t="s">
        <v>3972</v>
      </c>
      <c r="AE225" t="s">
        <v>4449</v>
      </c>
      <c r="AF225" t="s">
        <v>4366</v>
      </c>
      <c r="AH225" t="s">
        <v>4950</v>
      </c>
    </row>
    <row r="226" spans="1:34" ht="13.5">
      <c r="A226" s="18" t="s">
        <v>2008</v>
      </c>
      <c r="B226" s="7" t="s">
        <v>1689</v>
      </c>
      <c r="C226" s="18" t="s">
        <v>387</v>
      </c>
      <c r="D226" s="32" t="s">
        <v>511</v>
      </c>
      <c r="E226" s="32" t="s">
        <v>669</v>
      </c>
      <c r="G226" s="32" t="s">
        <v>1121</v>
      </c>
      <c r="H226" s="32" t="s">
        <v>96</v>
      </c>
      <c r="K226" s="32" t="s">
        <v>1177</v>
      </c>
      <c r="L226" s="32" t="s">
        <v>983</v>
      </c>
      <c r="M226" s="32" t="s">
        <v>299</v>
      </c>
      <c r="T226" s="32" t="s">
        <v>2404</v>
      </c>
      <c r="V226" t="s">
        <v>1524</v>
      </c>
      <c r="W226" t="s">
        <v>3107</v>
      </c>
      <c r="Y226" t="s">
        <v>3108</v>
      </c>
      <c r="AA226" t="s">
        <v>3973</v>
      </c>
      <c r="AE226" t="s">
        <v>4450</v>
      </c>
      <c r="AF226" t="s">
        <v>4367</v>
      </c>
      <c r="AH226" t="s">
        <v>4951</v>
      </c>
    </row>
    <row r="227" spans="1:34" ht="13.5">
      <c r="A227" s="18" t="s">
        <v>2009</v>
      </c>
      <c r="B227" s="7" t="s">
        <v>1690</v>
      </c>
      <c r="C227" s="18" t="s">
        <v>388</v>
      </c>
      <c r="D227" s="32" t="s">
        <v>759</v>
      </c>
      <c r="E227" s="32" t="s">
        <v>121</v>
      </c>
      <c r="G227" s="32" t="s">
        <v>1122</v>
      </c>
      <c r="H227" s="32" t="s">
        <v>1389</v>
      </c>
      <c r="K227" s="32" t="s">
        <v>1178</v>
      </c>
      <c r="L227" s="32" t="s">
        <v>984</v>
      </c>
      <c r="M227" s="32" t="s">
        <v>300</v>
      </c>
      <c r="T227" s="32" t="s">
        <v>2405</v>
      </c>
      <c r="V227" t="s">
        <v>3109</v>
      </c>
      <c r="W227" t="s">
        <v>3110</v>
      </c>
      <c r="Y227" t="s">
        <v>1777</v>
      </c>
      <c r="AA227" t="s">
        <v>3974</v>
      </c>
      <c r="AE227" t="s">
        <v>4451</v>
      </c>
      <c r="AF227" t="s">
        <v>4368</v>
      </c>
      <c r="AH227" t="s">
        <v>4952</v>
      </c>
    </row>
    <row r="228" spans="1:34" ht="15.5">
      <c r="A228" s="18" t="s">
        <v>2010</v>
      </c>
      <c r="B228" s="7" t="s">
        <v>1691</v>
      </c>
      <c r="C228" s="18" t="s">
        <v>389</v>
      </c>
      <c r="D228" s="32" t="s">
        <v>760</v>
      </c>
      <c r="E228" s="32" t="s">
        <v>670</v>
      </c>
      <c r="G228" s="32" t="s">
        <v>1123</v>
      </c>
      <c r="H228" s="32" t="s">
        <v>1390</v>
      </c>
      <c r="K228" s="32" t="s">
        <v>535</v>
      </c>
      <c r="L228" s="33"/>
      <c r="M228" s="32" t="s">
        <v>301</v>
      </c>
      <c r="T228" s="32" t="s">
        <v>2406</v>
      </c>
      <c r="V228" t="s">
        <v>3111</v>
      </c>
      <c r="W228" t="s">
        <v>3112</v>
      </c>
      <c r="Y228" t="s">
        <v>3113</v>
      </c>
      <c r="AA228" t="s">
        <v>3975</v>
      </c>
      <c r="AE228" t="s">
        <v>4452</v>
      </c>
      <c r="AF228" t="s">
        <v>4467</v>
      </c>
      <c r="AH228" t="s">
        <v>4953</v>
      </c>
    </row>
    <row r="229" spans="1:34" ht="13.5">
      <c r="A229" s="18" t="s">
        <v>2011</v>
      </c>
      <c r="B229" s="7" t="s">
        <v>1692</v>
      </c>
      <c r="C229" s="18" t="s">
        <v>390</v>
      </c>
      <c r="D229" s="32" t="s">
        <v>761</v>
      </c>
      <c r="E229" s="32" t="s">
        <v>671</v>
      </c>
      <c r="G229" s="32" t="s">
        <v>1124</v>
      </c>
      <c r="H229" s="32" t="s">
        <v>1391</v>
      </c>
      <c r="K229" s="32" t="s">
        <v>514</v>
      </c>
      <c r="M229" s="32" t="s">
        <v>302</v>
      </c>
      <c r="T229" s="32" t="s">
        <v>2407</v>
      </c>
      <c r="V229" t="s">
        <v>3114</v>
      </c>
      <c r="W229" t="s">
        <v>3115</v>
      </c>
      <c r="Y229" t="s">
        <v>3116</v>
      </c>
      <c r="AA229" t="s">
        <v>3976</v>
      </c>
      <c r="AE229" t="s">
        <v>4453</v>
      </c>
      <c r="AF229" t="s">
        <v>4468</v>
      </c>
      <c r="AH229" t="s">
        <v>4954</v>
      </c>
    </row>
    <row r="230" spans="1:34" ht="13.5">
      <c r="A230" s="18" t="s">
        <v>2012</v>
      </c>
      <c r="B230" s="7" t="s">
        <v>1693</v>
      </c>
      <c r="C230" s="18" t="s">
        <v>391</v>
      </c>
      <c r="D230" s="32" t="s">
        <v>35</v>
      </c>
      <c r="E230" s="32" t="s">
        <v>794</v>
      </c>
      <c r="G230" s="32" t="s">
        <v>1125</v>
      </c>
      <c r="H230" s="32" t="s">
        <v>1392</v>
      </c>
      <c r="K230" s="32" t="s">
        <v>515</v>
      </c>
      <c r="M230" s="32" t="s">
        <v>303</v>
      </c>
      <c r="T230" s="32" t="s">
        <v>2408</v>
      </c>
      <c r="V230" t="s">
        <v>3117</v>
      </c>
      <c r="W230" t="s">
        <v>3118</v>
      </c>
      <c r="Y230" t="s">
        <v>1754</v>
      </c>
      <c r="AA230" t="s">
        <v>3977</v>
      </c>
      <c r="AE230" t="s">
        <v>4454</v>
      </c>
      <c r="AF230" t="s">
        <v>3868</v>
      </c>
      <c r="AH230" t="s">
        <v>4955</v>
      </c>
    </row>
    <row r="231" spans="1:34" ht="13.5">
      <c r="A231" s="18" t="s">
        <v>2013</v>
      </c>
      <c r="B231" s="7" t="s">
        <v>1694</v>
      </c>
      <c r="C231" s="18" t="s">
        <v>392</v>
      </c>
      <c r="D231" s="32" t="s">
        <v>51</v>
      </c>
      <c r="E231" s="32" t="s">
        <v>672</v>
      </c>
      <c r="G231" s="32" t="s">
        <v>1126</v>
      </c>
      <c r="H231" s="32" t="s">
        <v>1393</v>
      </c>
      <c r="K231" s="32" t="s">
        <v>516</v>
      </c>
      <c r="M231" s="32" t="s">
        <v>304</v>
      </c>
      <c r="T231" s="32" t="s">
        <v>2409</v>
      </c>
      <c r="V231" t="s">
        <v>3119</v>
      </c>
      <c r="W231" t="s">
        <v>3120</v>
      </c>
      <c r="Y231" t="s">
        <v>1755</v>
      </c>
      <c r="AA231" t="s">
        <v>3978</v>
      </c>
      <c r="AE231" t="s">
        <v>4455</v>
      </c>
      <c r="AF231" t="s">
        <v>4469</v>
      </c>
      <c r="AH231" t="s">
        <v>4956</v>
      </c>
    </row>
    <row r="232" spans="1:34" ht="13.5">
      <c r="A232" s="18" t="s">
        <v>2014</v>
      </c>
      <c r="B232" s="7" t="s">
        <v>1695</v>
      </c>
      <c r="C232" s="18" t="s">
        <v>393</v>
      </c>
      <c r="D232" s="32" t="s">
        <v>529</v>
      </c>
      <c r="E232" s="32" t="s">
        <v>674</v>
      </c>
      <c r="G232" s="32" t="s">
        <v>1127</v>
      </c>
      <c r="H232" s="32" t="s">
        <v>1394</v>
      </c>
      <c r="K232" s="32" t="s">
        <v>517</v>
      </c>
      <c r="M232" s="32" t="s">
        <v>305</v>
      </c>
      <c r="T232" s="32" t="s">
        <v>2410</v>
      </c>
      <c r="V232" t="s">
        <v>3121</v>
      </c>
      <c r="W232" t="s">
        <v>3122</v>
      </c>
      <c r="Y232" t="s">
        <v>1756</v>
      </c>
      <c r="AA232" t="s">
        <v>3979</v>
      </c>
      <c r="AE232" t="s">
        <v>3707</v>
      </c>
      <c r="AF232" t="s">
        <v>3869</v>
      </c>
      <c r="AH232" t="s">
        <v>1512</v>
      </c>
    </row>
    <row r="233" spans="1:34" ht="13.5">
      <c r="A233" s="18" t="s">
        <v>1754</v>
      </c>
      <c r="B233" s="7" t="s">
        <v>1696</v>
      </c>
      <c r="C233" s="18" t="s">
        <v>394</v>
      </c>
      <c r="D233" s="32" t="s">
        <v>530</v>
      </c>
      <c r="E233" s="32" t="s">
        <v>676</v>
      </c>
      <c r="G233" s="32" t="s">
        <v>1193</v>
      </c>
      <c r="H233" s="32" t="s">
        <v>1216</v>
      </c>
      <c r="K233" s="32" t="s">
        <v>518</v>
      </c>
      <c r="M233" s="32" t="s">
        <v>306</v>
      </c>
      <c r="T233" s="32" t="s">
        <v>2411</v>
      </c>
      <c r="V233" t="s">
        <v>3123</v>
      </c>
      <c r="W233" t="s">
        <v>3124</v>
      </c>
      <c r="Y233" t="s">
        <v>1757</v>
      </c>
      <c r="AA233" t="s">
        <v>3980</v>
      </c>
      <c r="AE233" t="s">
        <v>1735</v>
      </c>
      <c r="AF233" t="s">
        <v>1754</v>
      </c>
      <c r="AH233" t="s">
        <v>2376</v>
      </c>
    </row>
    <row r="234" spans="1:34" ht="13.5">
      <c r="A234" s="18" t="s">
        <v>1755</v>
      </c>
      <c r="B234" s="7" t="s">
        <v>1697</v>
      </c>
      <c r="C234" s="18" t="s">
        <v>395</v>
      </c>
      <c r="D234" s="32" t="s">
        <v>24</v>
      </c>
      <c r="E234" s="32" t="s">
        <v>677</v>
      </c>
      <c r="G234" s="32" t="s">
        <v>1194</v>
      </c>
      <c r="H234" s="32" t="s">
        <v>1217</v>
      </c>
      <c r="K234" s="32" t="s">
        <v>519</v>
      </c>
      <c r="M234" s="32" t="s">
        <v>307</v>
      </c>
      <c r="T234" s="32" t="s">
        <v>2412</v>
      </c>
      <c r="V234" t="s">
        <v>3125</v>
      </c>
      <c r="W234" t="s">
        <v>3126</v>
      </c>
      <c r="Y234" t="s">
        <v>1758</v>
      </c>
      <c r="AA234" t="s">
        <v>3981</v>
      </c>
      <c r="AE234" t="s">
        <v>1929</v>
      </c>
      <c r="AF234" t="s">
        <v>1755</v>
      </c>
      <c r="AH234" t="s">
        <v>1980</v>
      </c>
    </row>
    <row r="235" spans="1:34" ht="13.5">
      <c r="A235" s="18" t="s">
        <v>1756</v>
      </c>
      <c r="B235" s="7" t="s">
        <v>1698</v>
      </c>
      <c r="C235" s="18" t="s">
        <v>396</v>
      </c>
      <c r="D235" s="32" t="s">
        <v>28</v>
      </c>
      <c r="E235" s="32" t="s">
        <v>678</v>
      </c>
      <c r="G235" s="32" t="s">
        <v>1195</v>
      </c>
      <c r="H235" s="32" t="s">
        <v>1395</v>
      </c>
      <c r="K235" s="32" t="s">
        <v>520</v>
      </c>
      <c r="M235" s="32" t="s">
        <v>308</v>
      </c>
      <c r="T235" s="32" t="s">
        <v>2413</v>
      </c>
      <c r="V235" t="s">
        <v>1676</v>
      </c>
      <c r="W235" t="s">
        <v>3127</v>
      </c>
      <c r="Y235" t="s">
        <v>1759</v>
      </c>
      <c r="AA235" t="s">
        <v>3982</v>
      </c>
      <c r="AE235" t="s">
        <v>1736</v>
      </c>
      <c r="AF235" t="s">
        <v>1756</v>
      </c>
      <c r="AH235" t="s">
        <v>1676</v>
      </c>
    </row>
    <row r="236" spans="1:34" ht="13.5">
      <c r="A236" s="18" t="s">
        <v>1757</v>
      </c>
      <c r="B236" s="7" t="s">
        <v>1699</v>
      </c>
      <c r="C236" s="18" t="s">
        <v>397</v>
      </c>
      <c r="D236" s="32" t="s">
        <v>25</v>
      </c>
      <c r="E236" s="32" t="s">
        <v>679</v>
      </c>
      <c r="G236" s="32" t="s">
        <v>513</v>
      </c>
      <c r="H236" s="32" t="s">
        <v>523</v>
      </c>
      <c r="K236" s="32" t="s">
        <v>1179</v>
      </c>
      <c r="M236" s="32" t="s">
        <v>309</v>
      </c>
      <c r="T236" s="32" t="s">
        <v>2414</v>
      </c>
      <c r="V236" t="s">
        <v>1525</v>
      </c>
      <c r="W236" t="s">
        <v>3128</v>
      </c>
      <c r="Y236" t="s">
        <v>1760</v>
      </c>
      <c r="AA236" t="s">
        <v>3983</v>
      </c>
      <c r="AE236" t="s">
        <v>1737</v>
      </c>
      <c r="AF236" t="s">
        <v>1757</v>
      </c>
      <c r="AH236" t="s">
        <v>4957</v>
      </c>
    </row>
    <row r="237" spans="1:34" ht="13.5">
      <c r="A237" s="18" t="s">
        <v>1758</v>
      </c>
      <c r="B237" s="7" t="s">
        <v>1700</v>
      </c>
      <c r="C237" s="18" t="s">
        <v>32</v>
      </c>
      <c r="D237" s="32" t="s">
        <v>26</v>
      </c>
      <c r="E237" s="32" t="s">
        <v>680</v>
      </c>
      <c r="G237" s="32" t="s">
        <v>1038</v>
      </c>
      <c r="H237" s="32" t="s">
        <v>524</v>
      </c>
      <c r="K237" s="32" t="s">
        <v>1180</v>
      </c>
      <c r="M237" s="32" t="s">
        <v>310</v>
      </c>
      <c r="T237" s="32" t="s">
        <v>2415</v>
      </c>
      <c r="V237" t="s">
        <v>3129</v>
      </c>
      <c r="W237" t="s">
        <v>3130</v>
      </c>
      <c r="Y237" t="s">
        <v>1611</v>
      </c>
      <c r="AA237" t="s">
        <v>3984</v>
      </c>
      <c r="AE237" t="s">
        <v>1510</v>
      </c>
      <c r="AF237" t="s">
        <v>1758</v>
      </c>
      <c r="AH237" t="s">
        <v>2538</v>
      </c>
    </row>
    <row r="238" spans="1:34" ht="13.5">
      <c r="A238" s="18" t="s">
        <v>1759</v>
      </c>
      <c r="B238" s="7" t="s">
        <v>1701</v>
      </c>
      <c r="C238" s="18" t="s">
        <v>90</v>
      </c>
      <c r="D238" s="32" t="s">
        <v>27</v>
      </c>
      <c r="E238" s="32" t="s">
        <v>681</v>
      </c>
      <c r="G238" s="32" t="s">
        <v>532</v>
      </c>
      <c r="H238" s="32" t="s">
        <v>525</v>
      </c>
      <c r="K238" s="32" t="s">
        <v>1181</v>
      </c>
      <c r="M238" s="32" t="s">
        <v>311</v>
      </c>
      <c r="T238" s="32" t="s">
        <v>2416</v>
      </c>
      <c r="V238" t="s">
        <v>3131</v>
      </c>
      <c r="W238" t="s">
        <v>3132</v>
      </c>
      <c r="Y238" t="s">
        <v>3133</v>
      </c>
      <c r="AA238" t="s">
        <v>3985</v>
      </c>
      <c r="AE238" t="s">
        <v>2717</v>
      </c>
      <c r="AF238" t="s">
        <v>1759</v>
      </c>
      <c r="AH238" t="s">
        <v>4958</v>
      </c>
    </row>
    <row r="239" spans="1:34" ht="13.5">
      <c r="A239" s="18" t="s">
        <v>1760</v>
      </c>
      <c r="B239" s="7" t="s">
        <v>1702</v>
      </c>
      <c r="C239" s="18" t="s">
        <v>398</v>
      </c>
      <c r="D239" s="32" t="s">
        <v>762</v>
      </c>
      <c r="E239" s="32" t="s">
        <v>879</v>
      </c>
      <c r="G239" s="32" t="s">
        <v>121</v>
      </c>
      <c r="H239" s="32" t="s">
        <v>1396</v>
      </c>
      <c r="K239" s="32" t="s">
        <v>1182</v>
      </c>
      <c r="M239" s="32" t="s">
        <v>312</v>
      </c>
      <c r="T239" s="32" t="s">
        <v>2417</v>
      </c>
      <c r="V239" t="s">
        <v>3134</v>
      </c>
      <c r="W239" t="s">
        <v>3135</v>
      </c>
      <c r="Y239" t="s">
        <v>3136</v>
      </c>
      <c r="AA239" t="s">
        <v>3986</v>
      </c>
      <c r="AE239" t="s">
        <v>2974</v>
      </c>
      <c r="AF239" t="s">
        <v>1760</v>
      </c>
      <c r="AH239" t="s">
        <v>2586</v>
      </c>
    </row>
    <row r="240" spans="1:34" ht="13.5">
      <c r="A240" s="18" t="s">
        <v>1957</v>
      </c>
      <c r="B240" s="7" t="s">
        <v>1703</v>
      </c>
      <c r="C240" s="18" t="s">
        <v>399</v>
      </c>
      <c r="D240" s="32" t="s">
        <v>763</v>
      </c>
      <c r="E240" s="32" t="s">
        <v>682</v>
      </c>
      <c r="G240" s="32" t="s">
        <v>1075</v>
      </c>
      <c r="H240" s="32" t="s">
        <v>1397</v>
      </c>
      <c r="K240" s="32" t="s">
        <v>1183</v>
      </c>
      <c r="M240" s="32" t="s">
        <v>313</v>
      </c>
      <c r="T240" s="32" t="s">
        <v>2418</v>
      </c>
      <c r="V240" t="s">
        <v>3137</v>
      </c>
      <c r="W240" t="s">
        <v>3138</v>
      </c>
      <c r="Y240" t="s">
        <v>3139</v>
      </c>
      <c r="AA240" t="s">
        <v>3987</v>
      </c>
      <c r="AE240" t="s">
        <v>2977</v>
      </c>
      <c r="AH240" t="s">
        <v>4959</v>
      </c>
    </row>
    <row r="241" spans="1:34" ht="13.5">
      <c r="A241" s="18" t="s">
        <v>1958</v>
      </c>
      <c r="B241" s="7" t="s">
        <v>1579</v>
      </c>
      <c r="C241" s="18" t="s">
        <v>400</v>
      </c>
      <c r="D241" s="32" t="s">
        <v>531</v>
      </c>
      <c r="E241" s="32" t="s">
        <v>683</v>
      </c>
      <c r="G241" s="32" t="s">
        <v>1076</v>
      </c>
      <c r="H241" s="32" t="s">
        <v>1398</v>
      </c>
      <c r="K241" s="32" t="s">
        <v>1184</v>
      </c>
      <c r="M241" s="32" t="s">
        <v>314</v>
      </c>
      <c r="T241" s="32" t="s">
        <v>2419</v>
      </c>
      <c r="V241" t="s">
        <v>3140</v>
      </c>
      <c r="W241" t="s">
        <v>3141</v>
      </c>
      <c r="Y241" t="s">
        <v>3142</v>
      </c>
      <c r="AA241" t="s">
        <v>3988</v>
      </c>
      <c r="AE241" t="s">
        <v>1529</v>
      </c>
      <c r="AH241" t="s">
        <v>2689</v>
      </c>
    </row>
    <row r="242" spans="1:34" ht="15.5">
      <c r="A242" s="18" t="s">
        <v>1959</v>
      </c>
      <c r="B242" s="7" t="s">
        <v>1580</v>
      </c>
      <c r="C242" s="18" t="s">
        <v>401</v>
      </c>
      <c r="D242" s="32" t="s">
        <v>115</v>
      </c>
      <c r="E242" s="32" t="s">
        <v>880</v>
      </c>
      <c r="G242" s="32" t="s">
        <v>1029</v>
      </c>
      <c r="H242" s="32" t="s">
        <v>1399</v>
      </c>
      <c r="K242" s="33"/>
      <c r="M242" s="32" t="s">
        <v>315</v>
      </c>
      <c r="T242" s="32" t="s">
        <v>2420</v>
      </c>
      <c r="V242" t="s">
        <v>3143</v>
      </c>
      <c r="W242" t="s">
        <v>3144</v>
      </c>
      <c r="Y242" t="s">
        <v>3145</v>
      </c>
      <c r="AA242" t="s">
        <v>3989</v>
      </c>
      <c r="AE242" t="s">
        <v>1530</v>
      </c>
      <c r="AH242" t="s">
        <v>2697</v>
      </c>
    </row>
    <row r="243" spans="1:34" ht="13.5">
      <c r="A243" s="18" t="s">
        <v>1960</v>
      </c>
      <c r="B243" s="7" t="s">
        <v>1581</v>
      </c>
      <c r="C243" s="18" t="s">
        <v>402</v>
      </c>
      <c r="D243" s="32" t="s">
        <v>635</v>
      </c>
      <c r="E243" s="32" t="s">
        <v>881</v>
      </c>
      <c r="G243" s="32" t="s">
        <v>533</v>
      </c>
      <c r="H243" s="32" t="s">
        <v>1400</v>
      </c>
      <c r="M243" s="32" t="s">
        <v>316</v>
      </c>
      <c r="T243" s="32" t="s">
        <v>2421</v>
      </c>
      <c r="V243" t="s">
        <v>3146</v>
      </c>
      <c r="W243" t="s">
        <v>3147</v>
      </c>
      <c r="Y243" t="s">
        <v>2832</v>
      </c>
      <c r="AA243" t="s">
        <v>3990</v>
      </c>
      <c r="AE243" t="s">
        <v>3839</v>
      </c>
      <c r="AH243" t="s">
        <v>2720</v>
      </c>
    </row>
    <row r="244" spans="1:34" ht="13.5">
      <c r="A244" s="18" t="s">
        <v>1961</v>
      </c>
      <c r="B244" s="7" t="s">
        <v>1704</v>
      </c>
      <c r="C244" s="18" t="s">
        <v>403</v>
      </c>
      <c r="D244" s="32" t="s">
        <v>636</v>
      </c>
      <c r="E244" s="32" t="s">
        <v>684</v>
      </c>
      <c r="G244" s="32" t="s">
        <v>1030</v>
      </c>
      <c r="H244" s="32" t="s">
        <v>1401</v>
      </c>
      <c r="M244" s="32" t="s">
        <v>317</v>
      </c>
      <c r="T244" s="32" t="s">
        <v>2422</v>
      </c>
      <c r="V244" t="s">
        <v>3148</v>
      </c>
      <c r="W244" t="s">
        <v>3149</v>
      </c>
      <c r="Y244" s="32" t="s">
        <v>3006</v>
      </c>
      <c r="AA244" t="s">
        <v>3991</v>
      </c>
      <c r="AE244" t="s">
        <v>3840</v>
      </c>
      <c r="AH244" t="s">
        <v>4960</v>
      </c>
    </row>
    <row r="245" spans="1:34" ht="13.5">
      <c r="A245" s="18" t="s">
        <v>1962</v>
      </c>
      <c r="B245" s="7" t="s">
        <v>1705</v>
      </c>
      <c r="C245" s="18" t="s">
        <v>404</v>
      </c>
      <c r="D245" s="32" t="s">
        <v>637</v>
      </c>
      <c r="E245" s="32" t="s">
        <v>806</v>
      </c>
      <c r="G245" s="32" t="s">
        <v>1196</v>
      </c>
      <c r="H245" s="32" t="s">
        <v>1402</v>
      </c>
      <c r="M245" s="32" t="s">
        <v>318</v>
      </c>
      <c r="T245" s="32" t="s">
        <v>2423</v>
      </c>
      <c r="V245" t="s">
        <v>3150</v>
      </c>
      <c r="W245" t="s">
        <v>3151</v>
      </c>
      <c r="AA245" t="s">
        <v>3992</v>
      </c>
      <c r="AE245" t="s">
        <v>3845</v>
      </c>
      <c r="AH245" t="s">
        <v>4961</v>
      </c>
    </row>
    <row r="246" spans="1:34" ht="13.5">
      <c r="A246" s="18" t="s">
        <v>1963</v>
      </c>
      <c r="B246" s="7" t="s">
        <v>1582</v>
      </c>
      <c r="C246" s="18" t="s">
        <v>49</v>
      </c>
      <c r="D246" s="32" t="s">
        <v>449</v>
      </c>
      <c r="E246" s="32" t="s">
        <v>685</v>
      </c>
      <c r="G246" s="32" t="s">
        <v>534</v>
      </c>
      <c r="H246" s="32" t="s">
        <v>1403</v>
      </c>
      <c r="M246" s="32" t="s">
        <v>319</v>
      </c>
      <c r="T246" s="32" t="s">
        <v>2424</v>
      </c>
      <c r="V246" t="s">
        <v>3152</v>
      </c>
      <c r="W246" t="s">
        <v>3153</v>
      </c>
      <c r="AA246" t="s">
        <v>3993</v>
      </c>
      <c r="AE246" t="s">
        <v>3846</v>
      </c>
      <c r="AH246" t="s">
        <v>4962</v>
      </c>
    </row>
    <row r="247" spans="1:34" ht="13.5">
      <c r="A247" s="18" t="s">
        <v>1964</v>
      </c>
      <c r="B247" s="7" t="s">
        <v>1706</v>
      </c>
      <c r="C247" s="18" t="s">
        <v>50</v>
      </c>
      <c r="D247" s="32" t="s">
        <v>764</v>
      </c>
      <c r="E247" s="32" t="s">
        <v>686</v>
      </c>
      <c r="G247" s="32" t="s">
        <v>36</v>
      </c>
      <c r="H247" s="32" t="s">
        <v>1412</v>
      </c>
      <c r="M247" s="32" t="s">
        <v>320</v>
      </c>
      <c r="T247" s="32" t="s">
        <v>2425</v>
      </c>
      <c r="V247" t="s">
        <v>3154</v>
      </c>
      <c r="W247" t="s">
        <v>3155</v>
      </c>
      <c r="AA247" t="s">
        <v>3994</v>
      </c>
      <c r="AE247" t="s">
        <v>3847</v>
      </c>
      <c r="AH247" t="s">
        <v>1725</v>
      </c>
    </row>
    <row r="248" spans="1:34" ht="13.5">
      <c r="A248" s="18" t="s">
        <v>1965</v>
      </c>
      <c r="B248" s="7" t="s">
        <v>1707</v>
      </c>
      <c r="C248" s="18" t="s">
        <v>48</v>
      </c>
      <c r="D248" s="32" t="s">
        <v>765</v>
      </c>
      <c r="E248" s="32" t="s">
        <v>687</v>
      </c>
      <c r="G248" s="32" t="s">
        <v>37</v>
      </c>
      <c r="H248" s="32" t="s">
        <v>1413</v>
      </c>
      <c r="M248" s="32" t="s">
        <v>321</v>
      </c>
      <c r="T248" s="32" t="s">
        <v>2426</v>
      </c>
      <c r="V248" t="s">
        <v>3156</v>
      </c>
      <c r="W248" t="s">
        <v>3157</v>
      </c>
      <c r="AA248" t="s">
        <v>3995</v>
      </c>
      <c r="AE248" t="s">
        <v>3848</v>
      </c>
      <c r="AH248" t="s">
        <v>1733</v>
      </c>
    </row>
    <row r="249" spans="1:34" ht="13.5">
      <c r="A249" s="18" t="s">
        <v>1966</v>
      </c>
      <c r="B249" s="7" t="s">
        <v>1708</v>
      </c>
      <c r="C249" s="18" t="s">
        <v>47</v>
      </c>
      <c r="D249" s="32" t="s">
        <v>766</v>
      </c>
      <c r="E249" s="32" t="s">
        <v>688</v>
      </c>
      <c r="G249" s="32" t="s">
        <v>485</v>
      </c>
      <c r="H249" s="32" t="s">
        <v>1414</v>
      </c>
      <c r="M249" s="32" t="s">
        <v>322</v>
      </c>
      <c r="T249" s="32" t="s">
        <v>2427</v>
      </c>
      <c r="V249" t="s">
        <v>3158</v>
      </c>
      <c r="W249" t="s">
        <v>3159</v>
      </c>
      <c r="AA249" t="s">
        <v>3996</v>
      </c>
      <c r="AE249" t="s">
        <v>3849</v>
      </c>
      <c r="AH249" t="s">
        <v>1735</v>
      </c>
    </row>
    <row r="250" spans="1:34" ht="13.5">
      <c r="A250" s="18" t="s">
        <v>2015</v>
      </c>
      <c r="B250" s="7" t="s">
        <v>1709</v>
      </c>
      <c r="C250" s="18" t="s">
        <v>46</v>
      </c>
      <c r="D250" s="32" t="s">
        <v>638</v>
      </c>
      <c r="E250" s="32" t="s">
        <v>689</v>
      </c>
      <c r="G250" s="32" t="s">
        <v>1077</v>
      </c>
      <c r="H250" s="32" t="s">
        <v>1415</v>
      </c>
      <c r="M250" s="32" t="s">
        <v>323</v>
      </c>
      <c r="T250" s="32" t="s">
        <v>2428</v>
      </c>
      <c r="V250" t="s">
        <v>3160</v>
      </c>
      <c r="W250" t="s">
        <v>3161</v>
      </c>
      <c r="AA250" t="s">
        <v>3997</v>
      </c>
      <c r="AE250" t="s">
        <v>3850</v>
      </c>
      <c r="AH250" t="s">
        <v>1736</v>
      </c>
    </row>
    <row r="251" spans="1:34" ht="13.5">
      <c r="A251" s="18" t="s">
        <v>2016</v>
      </c>
      <c r="B251" s="7" t="s">
        <v>1710</v>
      </c>
      <c r="C251" s="18" t="s">
        <v>33</v>
      </c>
      <c r="D251" s="32" t="s">
        <v>767</v>
      </c>
      <c r="E251" s="32" t="s">
        <v>690</v>
      </c>
      <c r="G251" s="32" t="s">
        <v>1039</v>
      </c>
      <c r="H251" s="32" t="s">
        <v>1416</v>
      </c>
      <c r="M251" s="32" t="s">
        <v>324</v>
      </c>
      <c r="T251" s="32" t="s">
        <v>2429</v>
      </c>
      <c r="V251" t="s">
        <v>3162</v>
      </c>
      <c r="W251" t="s">
        <v>3163</v>
      </c>
      <c r="AA251" t="s">
        <v>3998</v>
      </c>
      <c r="AE251" t="s">
        <v>3851</v>
      </c>
      <c r="AH251" t="s">
        <v>1754</v>
      </c>
    </row>
    <row r="252" spans="1:34" ht="13.5">
      <c r="A252" s="18" t="s">
        <v>1967</v>
      </c>
      <c r="B252" s="7" t="s">
        <v>1711</v>
      </c>
      <c r="C252" s="18" t="s">
        <v>91</v>
      </c>
      <c r="D252" s="32" t="s">
        <v>639</v>
      </c>
      <c r="E252" s="32" t="s">
        <v>691</v>
      </c>
      <c r="G252" s="32" t="s">
        <v>535</v>
      </c>
      <c r="H252" s="32" t="s">
        <v>1417</v>
      </c>
      <c r="M252" s="32" t="s">
        <v>325</v>
      </c>
      <c r="T252" s="32" t="s">
        <v>2430</v>
      </c>
      <c r="V252" t="s">
        <v>3164</v>
      </c>
      <c r="W252" t="s">
        <v>3165</v>
      </c>
      <c r="AA252" t="s">
        <v>3999</v>
      </c>
      <c r="AE252" t="s">
        <v>3852</v>
      </c>
      <c r="AH252" t="s">
        <v>1755</v>
      </c>
    </row>
    <row r="253" spans="1:34" ht="14">
      <c r="A253" s="19"/>
      <c r="B253" s="7" t="s">
        <v>1712</v>
      </c>
      <c r="C253" s="18" t="s">
        <v>405</v>
      </c>
      <c r="D253" s="32" t="s">
        <v>768</v>
      </c>
      <c r="E253" s="32" t="s">
        <v>692</v>
      </c>
      <c r="G253" s="32" t="s">
        <v>514</v>
      </c>
      <c r="H253" s="32" t="s">
        <v>1418</v>
      </c>
      <c r="M253" s="32" t="s">
        <v>326</v>
      </c>
      <c r="T253" s="32" t="s">
        <v>2431</v>
      </c>
      <c r="V253" t="s">
        <v>3166</v>
      </c>
      <c r="W253" t="s">
        <v>3167</v>
      </c>
      <c r="AA253" t="s">
        <v>4000</v>
      </c>
      <c r="AE253" t="s">
        <v>3853</v>
      </c>
      <c r="AH253" t="s">
        <v>1756</v>
      </c>
    </row>
    <row r="254" spans="1:34" ht="13.5">
      <c r="B254" s="7" t="s">
        <v>1713</v>
      </c>
      <c r="C254" s="18" t="s">
        <v>92</v>
      </c>
      <c r="D254" s="32" t="s">
        <v>640</v>
      </c>
      <c r="E254" s="32" t="s">
        <v>693</v>
      </c>
      <c r="G254" s="32" t="s">
        <v>515</v>
      </c>
      <c r="H254" s="32" t="s">
        <v>1419</v>
      </c>
      <c r="M254" s="32" t="s">
        <v>327</v>
      </c>
      <c r="T254" s="32" t="s">
        <v>2432</v>
      </c>
      <c r="V254" t="s">
        <v>3168</v>
      </c>
      <c r="W254" t="s">
        <v>3169</v>
      </c>
      <c r="AA254" t="s">
        <v>4001</v>
      </c>
      <c r="AE254" t="s">
        <v>3854</v>
      </c>
      <c r="AH254" t="s">
        <v>1757</v>
      </c>
    </row>
    <row r="255" spans="1:34" ht="13.5">
      <c r="B255" s="7" t="s">
        <v>1714</v>
      </c>
      <c r="C255" s="18" t="s">
        <v>93</v>
      </c>
      <c r="D255" s="32" t="s">
        <v>641</v>
      </c>
      <c r="E255" s="32" t="s">
        <v>809</v>
      </c>
      <c r="G255" s="32" t="s">
        <v>516</v>
      </c>
      <c r="H255" s="32" t="s">
        <v>526</v>
      </c>
      <c r="M255" s="32" t="s">
        <v>328</v>
      </c>
      <c r="T255" s="32" t="s">
        <v>2433</v>
      </c>
      <c r="V255" t="s">
        <v>3170</v>
      </c>
      <c r="W255" t="s">
        <v>3171</v>
      </c>
      <c r="AA255" t="s">
        <v>4002</v>
      </c>
      <c r="AE255" t="s">
        <v>3855</v>
      </c>
      <c r="AH255" t="s">
        <v>1758</v>
      </c>
    </row>
    <row r="256" spans="1:34" ht="13.5">
      <c r="B256" s="7" t="s">
        <v>1715</v>
      </c>
      <c r="C256" s="18" t="s">
        <v>406</v>
      </c>
      <c r="D256" s="32" t="s">
        <v>642</v>
      </c>
      <c r="E256" s="32" t="s">
        <v>533</v>
      </c>
      <c r="G256" s="32" t="s">
        <v>517</v>
      </c>
      <c r="H256" s="32" t="s">
        <v>40</v>
      </c>
      <c r="M256" s="32" t="s">
        <v>329</v>
      </c>
      <c r="T256" s="32" t="s">
        <v>2434</v>
      </c>
      <c r="V256" t="s">
        <v>3172</v>
      </c>
      <c r="W256" t="s">
        <v>3173</v>
      </c>
      <c r="AA256" t="s">
        <v>4003</v>
      </c>
      <c r="AE256" t="s">
        <v>3856</v>
      </c>
      <c r="AH256" t="s">
        <v>1759</v>
      </c>
    </row>
    <row r="257" spans="2:34" ht="13.5">
      <c r="B257" s="7" t="s">
        <v>1765</v>
      </c>
      <c r="C257" s="18" t="s">
        <v>407</v>
      </c>
      <c r="D257" s="32" t="s">
        <v>643</v>
      </c>
      <c r="E257" s="32" t="s">
        <v>882</v>
      </c>
      <c r="G257" s="32" t="s">
        <v>518</v>
      </c>
      <c r="H257" s="32" t="s">
        <v>44</v>
      </c>
      <c r="M257" s="32" t="s">
        <v>534</v>
      </c>
      <c r="T257" s="32" t="s">
        <v>2435</v>
      </c>
      <c r="V257" t="s">
        <v>3174</v>
      </c>
      <c r="W257" t="s">
        <v>3175</v>
      </c>
      <c r="AA257" t="s">
        <v>4004</v>
      </c>
      <c r="AE257" t="s">
        <v>3857</v>
      </c>
      <c r="AH257" t="s">
        <v>1760</v>
      </c>
    </row>
    <row r="258" spans="2:34" ht="13.5">
      <c r="B258" s="7" t="s">
        <v>1766</v>
      </c>
      <c r="C258" s="18" t="s">
        <v>94</v>
      </c>
      <c r="D258" s="32" t="s">
        <v>644</v>
      </c>
      <c r="E258" s="32" t="s">
        <v>883</v>
      </c>
      <c r="G258" s="32" t="s">
        <v>519</v>
      </c>
      <c r="H258" s="32" t="s">
        <v>39</v>
      </c>
      <c r="M258" s="32" t="s">
        <v>36</v>
      </c>
      <c r="T258" s="32" t="s">
        <v>2436</v>
      </c>
      <c r="V258" t="s">
        <v>3176</v>
      </c>
      <c r="W258" t="s">
        <v>3177</v>
      </c>
      <c r="AA258" t="s">
        <v>4005</v>
      </c>
      <c r="AE258" t="s">
        <v>3858</v>
      </c>
      <c r="AH258" t="s">
        <v>1763</v>
      </c>
    </row>
    <row r="259" spans="2:34" ht="13.5">
      <c r="B259" s="7" t="s">
        <v>1767</v>
      </c>
      <c r="C259" s="18" t="s">
        <v>95</v>
      </c>
      <c r="D259" s="32" t="s">
        <v>645</v>
      </c>
      <c r="E259" s="32" t="s">
        <v>884</v>
      </c>
      <c r="G259" s="32" t="s">
        <v>520</v>
      </c>
      <c r="H259" s="32" t="s">
        <v>41</v>
      </c>
      <c r="M259" s="32" t="s">
        <v>37</v>
      </c>
      <c r="T259" s="32" t="s">
        <v>2437</v>
      </c>
      <c r="V259" t="s">
        <v>3178</v>
      </c>
      <c r="W259" t="s">
        <v>3179</v>
      </c>
      <c r="AA259" t="s">
        <v>4006</v>
      </c>
      <c r="AE259" t="s">
        <v>3859</v>
      </c>
      <c r="AH259" t="s">
        <v>4963</v>
      </c>
    </row>
    <row r="260" spans="2:34" ht="13.5">
      <c r="B260" s="7" t="s">
        <v>1716</v>
      </c>
      <c r="C260" s="18" t="s">
        <v>408</v>
      </c>
      <c r="D260" s="32" t="s">
        <v>646</v>
      </c>
      <c r="E260" s="32" t="s">
        <v>885</v>
      </c>
      <c r="G260" s="32" t="s">
        <v>1197</v>
      </c>
      <c r="H260" s="32" t="s">
        <v>38</v>
      </c>
      <c r="M260" s="32" t="s">
        <v>353</v>
      </c>
      <c r="T260" s="32" t="s">
        <v>2438</v>
      </c>
      <c r="V260" t="s">
        <v>3180</v>
      </c>
      <c r="W260" t="s">
        <v>3181</v>
      </c>
      <c r="AA260" t="s">
        <v>4007</v>
      </c>
      <c r="AE260" t="s">
        <v>3860</v>
      </c>
      <c r="AH260" t="s">
        <v>1764</v>
      </c>
    </row>
    <row r="261" spans="2:34" ht="13.5">
      <c r="B261" s="7" t="s">
        <v>1717</v>
      </c>
      <c r="C261" s="18" t="s">
        <v>409</v>
      </c>
      <c r="D261" s="32" t="s">
        <v>647</v>
      </c>
      <c r="E261" s="32" t="s">
        <v>534</v>
      </c>
      <c r="G261" s="32" t="s">
        <v>1078</v>
      </c>
      <c r="H261" s="32" t="s">
        <v>29</v>
      </c>
      <c r="M261" s="32" t="s">
        <v>811</v>
      </c>
      <c r="T261" s="32" t="s">
        <v>2439</v>
      </c>
      <c r="V261" t="s">
        <v>3182</v>
      </c>
      <c r="W261" t="s">
        <v>3183</v>
      </c>
      <c r="AA261" t="s">
        <v>4008</v>
      </c>
      <c r="AE261" t="s">
        <v>3861</v>
      </c>
      <c r="AH261" t="s">
        <v>1765</v>
      </c>
    </row>
    <row r="262" spans="2:34" ht="13.5">
      <c r="B262" s="7" t="s">
        <v>1768</v>
      </c>
      <c r="C262" s="18" t="s">
        <v>410</v>
      </c>
      <c r="D262" s="32" t="s">
        <v>769</v>
      </c>
      <c r="E262" s="32" t="s">
        <v>36</v>
      </c>
      <c r="G262" s="32" t="s">
        <v>1079</v>
      </c>
      <c r="H262" s="32" t="s">
        <v>30</v>
      </c>
      <c r="M262" s="32" t="s">
        <v>330</v>
      </c>
      <c r="T262" s="32" t="s">
        <v>2440</v>
      </c>
      <c r="V262" t="s">
        <v>3184</v>
      </c>
      <c r="W262" t="s">
        <v>3185</v>
      </c>
      <c r="AA262" t="s">
        <v>4009</v>
      </c>
      <c r="AE262" t="s">
        <v>3862</v>
      </c>
      <c r="AH262" t="s">
        <v>1766</v>
      </c>
    </row>
    <row r="263" spans="2:34" ht="13.5">
      <c r="B263" s="7" t="s">
        <v>1718</v>
      </c>
      <c r="C263" s="18" t="s">
        <v>96</v>
      </c>
      <c r="D263" s="32" t="s">
        <v>770</v>
      </c>
      <c r="E263" s="32" t="s">
        <v>37</v>
      </c>
      <c r="G263" s="32" t="s">
        <v>1080</v>
      </c>
      <c r="H263" s="32" t="s">
        <v>1420</v>
      </c>
      <c r="M263" s="32" t="s">
        <v>331</v>
      </c>
      <c r="T263" s="32" t="s">
        <v>2441</v>
      </c>
      <c r="V263" t="s">
        <v>3186</v>
      </c>
      <c r="W263" t="s">
        <v>3187</v>
      </c>
      <c r="AA263" t="s">
        <v>4010</v>
      </c>
      <c r="AE263" t="s">
        <v>3863</v>
      </c>
      <c r="AH263" t="s">
        <v>1767</v>
      </c>
    </row>
    <row r="264" spans="2:34" ht="13.5">
      <c r="B264" s="7" t="s">
        <v>1719</v>
      </c>
      <c r="C264" s="18" t="s">
        <v>411</v>
      </c>
      <c r="D264" s="32" t="s">
        <v>771</v>
      </c>
      <c r="E264" s="32" t="s">
        <v>811</v>
      </c>
      <c r="G264" s="32" t="s">
        <v>1081</v>
      </c>
      <c r="H264" s="32" t="s">
        <v>1421</v>
      </c>
      <c r="M264" s="32" t="s">
        <v>332</v>
      </c>
      <c r="T264" s="32" t="s">
        <v>2442</v>
      </c>
      <c r="V264" t="s">
        <v>3188</v>
      </c>
      <c r="W264" t="s">
        <v>2699</v>
      </c>
      <c r="AA264" t="s">
        <v>4011</v>
      </c>
      <c r="AE264" t="s">
        <v>3864</v>
      </c>
      <c r="AH264" t="s">
        <v>1768</v>
      </c>
    </row>
    <row r="265" spans="2:34" ht="13.5">
      <c r="B265" s="7" t="s">
        <v>1533</v>
      </c>
      <c r="C265" s="18" t="s">
        <v>412</v>
      </c>
      <c r="D265" s="32" t="s">
        <v>772</v>
      </c>
      <c r="E265" s="32" t="s">
        <v>912</v>
      </c>
      <c r="G265" s="32" t="s">
        <v>1082</v>
      </c>
      <c r="H265" s="32" t="s">
        <v>1218</v>
      </c>
      <c r="M265" s="32" t="s">
        <v>333</v>
      </c>
      <c r="T265" s="32" t="s">
        <v>2443</v>
      </c>
      <c r="V265" t="s">
        <v>3189</v>
      </c>
      <c r="W265" t="s">
        <v>2700</v>
      </c>
      <c r="AA265" t="s">
        <v>4012</v>
      </c>
      <c r="AE265" t="s">
        <v>3865</v>
      </c>
      <c r="AH265" t="s">
        <v>4964</v>
      </c>
    </row>
    <row r="266" spans="2:34" ht="15.5">
      <c r="B266" s="7" t="s">
        <v>1720</v>
      </c>
      <c r="C266" s="18" t="s">
        <v>413</v>
      </c>
      <c r="D266" s="32" t="s">
        <v>648</v>
      </c>
      <c r="E266" s="32" t="s">
        <v>913</v>
      </c>
      <c r="G266" s="33"/>
      <c r="H266" s="32" t="s">
        <v>34</v>
      </c>
      <c r="M266" s="32" t="s">
        <v>334</v>
      </c>
      <c r="T266" s="32" t="s">
        <v>2444</v>
      </c>
      <c r="V266" t="s">
        <v>3190</v>
      </c>
      <c r="W266" t="s">
        <v>1735</v>
      </c>
      <c r="AA266" t="s">
        <v>4013</v>
      </c>
      <c r="AE266" t="s">
        <v>3866</v>
      </c>
      <c r="AH266" t="s">
        <v>1769</v>
      </c>
    </row>
    <row r="267" spans="2:34" ht="13.5">
      <c r="B267" s="7" t="s">
        <v>1721</v>
      </c>
      <c r="C267" s="18" t="s">
        <v>97</v>
      </c>
      <c r="D267" s="32" t="s">
        <v>649</v>
      </c>
      <c r="E267" s="32" t="s">
        <v>694</v>
      </c>
      <c r="H267" s="32" t="s">
        <v>510</v>
      </c>
      <c r="M267" s="32" t="s">
        <v>335</v>
      </c>
      <c r="T267" s="32" t="s">
        <v>2445</v>
      </c>
      <c r="V267" t="s">
        <v>3191</v>
      </c>
      <c r="W267" t="s">
        <v>1929</v>
      </c>
      <c r="AA267" t="s">
        <v>4014</v>
      </c>
      <c r="AE267" t="s">
        <v>3867</v>
      </c>
      <c r="AH267" t="s">
        <v>1770</v>
      </c>
    </row>
    <row r="268" spans="2:34" ht="13.5">
      <c r="B268" s="7" t="s">
        <v>1532</v>
      </c>
      <c r="C268" s="18" t="s">
        <v>98</v>
      </c>
      <c r="D268" s="32" t="s">
        <v>773</v>
      </c>
      <c r="E268" s="32" t="s">
        <v>816</v>
      </c>
      <c r="H268" s="32" t="s">
        <v>1219</v>
      </c>
      <c r="M268" s="32" t="s">
        <v>336</v>
      </c>
      <c r="T268" s="32" t="s">
        <v>2446</v>
      </c>
      <c r="V268" t="s">
        <v>3192</v>
      </c>
      <c r="W268" t="s">
        <v>3193</v>
      </c>
      <c r="AA268" t="s">
        <v>4015</v>
      </c>
      <c r="AE268" t="s">
        <v>1754</v>
      </c>
      <c r="AH268" t="s">
        <v>1771</v>
      </c>
    </row>
    <row r="269" spans="2:34" ht="13.5">
      <c r="B269" s="7" t="s">
        <v>1534</v>
      </c>
      <c r="C269" s="18" t="s">
        <v>99</v>
      </c>
      <c r="D269" s="32" t="s">
        <v>650</v>
      </c>
      <c r="E269" s="32" t="s">
        <v>886</v>
      </c>
      <c r="H269" s="32" t="s">
        <v>43</v>
      </c>
      <c r="M269" s="32" t="s">
        <v>354</v>
      </c>
      <c r="T269" s="32" t="s">
        <v>2447</v>
      </c>
      <c r="V269" t="s">
        <v>3194</v>
      </c>
      <c r="W269" t="s">
        <v>1736</v>
      </c>
      <c r="AA269" t="s">
        <v>4016</v>
      </c>
      <c r="AE269" t="s">
        <v>1755</v>
      </c>
      <c r="AH269" t="s">
        <v>1772</v>
      </c>
    </row>
    <row r="270" spans="2:34" ht="13.5">
      <c r="B270" s="7" t="s">
        <v>1531</v>
      </c>
      <c r="C270" s="18" t="s">
        <v>523</v>
      </c>
      <c r="D270" s="32" t="s">
        <v>651</v>
      </c>
      <c r="E270" s="32" t="s">
        <v>887</v>
      </c>
      <c r="H270" s="32" t="s">
        <v>527</v>
      </c>
      <c r="M270" s="32" t="s">
        <v>355</v>
      </c>
      <c r="T270" s="32" t="s">
        <v>2448</v>
      </c>
      <c r="V270" t="s">
        <v>3195</v>
      </c>
      <c r="W270" t="s">
        <v>1774</v>
      </c>
      <c r="AA270" t="s">
        <v>4017</v>
      </c>
      <c r="AE270" t="s">
        <v>1756</v>
      </c>
      <c r="AH270" t="s">
        <v>1773</v>
      </c>
    </row>
    <row r="271" spans="2:34" ht="13.5">
      <c r="B271" s="7" t="s">
        <v>1522</v>
      </c>
      <c r="C271" s="18" t="s">
        <v>524</v>
      </c>
      <c r="D271" s="32" t="s">
        <v>774</v>
      </c>
      <c r="E271" s="32" t="s">
        <v>914</v>
      </c>
      <c r="H271" s="32" t="s">
        <v>528</v>
      </c>
      <c r="M271" s="32" t="s">
        <v>356</v>
      </c>
      <c r="T271" s="32" t="s">
        <v>2449</v>
      </c>
      <c r="V271" t="s">
        <v>3196</v>
      </c>
      <c r="W271" t="s">
        <v>1954</v>
      </c>
      <c r="AA271" t="s">
        <v>4018</v>
      </c>
      <c r="AE271" t="s">
        <v>1757</v>
      </c>
      <c r="AH271" t="s">
        <v>1774</v>
      </c>
    </row>
    <row r="272" spans="2:34" ht="13.5">
      <c r="B272" s="7" t="s">
        <v>1523</v>
      </c>
      <c r="C272" s="18" t="s">
        <v>525</v>
      </c>
      <c r="D272" s="32" t="s">
        <v>775</v>
      </c>
      <c r="E272" s="32" t="s">
        <v>888</v>
      </c>
      <c r="H272" s="32" t="s">
        <v>1422</v>
      </c>
      <c r="M272" s="32" t="s">
        <v>357</v>
      </c>
      <c r="T272" s="32" t="s">
        <v>2450</v>
      </c>
      <c r="V272" t="s">
        <v>3197</v>
      </c>
      <c r="W272" t="s">
        <v>1510</v>
      </c>
      <c r="AA272" t="s">
        <v>4019</v>
      </c>
      <c r="AE272" t="s">
        <v>1758</v>
      </c>
      <c r="AH272" t="s">
        <v>1775</v>
      </c>
    </row>
    <row r="273" spans="2:34" ht="13.5">
      <c r="B273" s="7" t="s">
        <v>1514</v>
      </c>
      <c r="C273" s="18" t="s">
        <v>414</v>
      </c>
      <c r="D273" s="32" t="s">
        <v>776</v>
      </c>
      <c r="E273" s="32" t="s">
        <v>889</v>
      </c>
      <c r="H273" s="32" t="s">
        <v>1423</v>
      </c>
      <c r="M273" s="32" t="s">
        <v>358</v>
      </c>
      <c r="T273" s="32" t="s">
        <v>2451</v>
      </c>
      <c r="V273" t="s">
        <v>3198</v>
      </c>
      <c r="W273" t="s">
        <v>3199</v>
      </c>
      <c r="AA273" t="s">
        <v>4020</v>
      </c>
      <c r="AE273" t="s">
        <v>1759</v>
      </c>
      <c r="AH273" t="s">
        <v>1776</v>
      </c>
    </row>
    <row r="274" spans="2:34" ht="13.5">
      <c r="B274" s="7" t="s">
        <v>1722</v>
      </c>
      <c r="C274" s="18" t="s">
        <v>415</v>
      </c>
      <c r="D274" s="32" t="s">
        <v>652</v>
      </c>
      <c r="E274" s="32" t="s">
        <v>890</v>
      </c>
      <c r="H274" s="32" t="s">
        <v>511</v>
      </c>
      <c r="M274" s="32" t="s">
        <v>359</v>
      </c>
      <c r="T274" s="32" t="s">
        <v>1524</v>
      </c>
      <c r="V274" t="s">
        <v>3200</v>
      </c>
      <c r="W274" t="s">
        <v>2717</v>
      </c>
      <c r="AA274" t="s">
        <v>4021</v>
      </c>
      <c r="AE274" t="s">
        <v>1760</v>
      </c>
      <c r="AH274" t="s">
        <v>1777</v>
      </c>
    </row>
    <row r="275" spans="2:34" ht="13.5">
      <c r="B275" s="7" t="s">
        <v>1723</v>
      </c>
      <c r="C275" s="18" t="s">
        <v>100</v>
      </c>
      <c r="D275" s="32" t="s">
        <v>653</v>
      </c>
      <c r="E275" s="32" t="s">
        <v>891</v>
      </c>
      <c r="H275" s="32" t="s">
        <v>1424</v>
      </c>
      <c r="M275" s="32" t="s">
        <v>337</v>
      </c>
      <c r="T275" s="32" t="s">
        <v>1764</v>
      </c>
      <c r="V275" t="s">
        <v>3201</v>
      </c>
      <c r="W275" t="s">
        <v>3202</v>
      </c>
      <c r="AA275" t="s">
        <v>4022</v>
      </c>
      <c r="AE275" t="s">
        <v>2832</v>
      </c>
    </row>
    <row r="276" spans="2:34" ht="13.5">
      <c r="B276" s="7" t="s">
        <v>1724</v>
      </c>
      <c r="C276" s="18" t="s">
        <v>526</v>
      </c>
      <c r="D276" s="32" t="s">
        <v>654</v>
      </c>
      <c r="E276" s="32" t="s">
        <v>892</v>
      </c>
      <c r="H276" s="32" t="s">
        <v>35</v>
      </c>
      <c r="M276" s="32" t="s">
        <v>338</v>
      </c>
      <c r="T276" s="32" t="s">
        <v>1676</v>
      </c>
      <c r="V276" t="s">
        <v>3203</v>
      </c>
      <c r="W276" t="s">
        <v>2719</v>
      </c>
      <c r="AA276" t="s">
        <v>4023</v>
      </c>
      <c r="AE276" s="18" t="s">
        <v>3006</v>
      </c>
    </row>
    <row r="277" spans="2:34" ht="13.5">
      <c r="B277" s="7" t="s">
        <v>1527</v>
      </c>
      <c r="C277" s="18" t="s">
        <v>416</v>
      </c>
      <c r="D277" s="32" t="s">
        <v>655</v>
      </c>
      <c r="E277" s="32" t="s">
        <v>893</v>
      </c>
      <c r="H277" s="32" t="s">
        <v>51</v>
      </c>
      <c r="M277" s="32" t="s">
        <v>339</v>
      </c>
      <c r="T277" s="32" t="s">
        <v>2452</v>
      </c>
      <c r="V277" t="s">
        <v>3204</v>
      </c>
      <c r="W277" t="s">
        <v>2974</v>
      </c>
      <c r="AA277" t="s">
        <v>4024</v>
      </c>
    </row>
    <row r="278" spans="2:34" ht="13.5">
      <c r="B278" s="7" t="s">
        <v>1725</v>
      </c>
      <c r="C278" s="18" t="s">
        <v>40</v>
      </c>
      <c r="D278" s="32" t="s">
        <v>656</v>
      </c>
      <c r="E278" s="32" t="s">
        <v>894</v>
      </c>
      <c r="H278" s="32" t="s">
        <v>529</v>
      </c>
      <c r="M278" s="32" t="s">
        <v>340</v>
      </c>
      <c r="T278" s="32" t="s">
        <v>1525</v>
      </c>
      <c r="V278" t="s">
        <v>3205</v>
      </c>
      <c r="W278" t="s">
        <v>2977</v>
      </c>
      <c r="AA278" t="s">
        <v>4025</v>
      </c>
    </row>
    <row r="279" spans="2:34" ht="13.5">
      <c r="B279" s="7" t="s">
        <v>1583</v>
      </c>
      <c r="C279" s="18" t="s">
        <v>44</v>
      </c>
      <c r="D279" s="32" t="s">
        <v>657</v>
      </c>
      <c r="E279" s="32" t="s">
        <v>895</v>
      </c>
      <c r="H279" s="32" t="s">
        <v>530</v>
      </c>
      <c r="M279" s="32" t="s">
        <v>341</v>
      </c>
      <c r="T279" s="32" t="s">
        <v>2453</v>
      </c>
      <c r="V279" t="s">
        <v>3206</v>
      </c>
      <c r="W279" t="s">
        <v>2720</v>
      </c>
      <c r="AA279" t="s">
        <v>4026</v>
      </c>
    </row>
    <row r="280" spans="2:34" ht="13.5">
      <c r="B280" s="7" t="s">
        <v>1726</v>
      </c>
      <c r="C280" s="18" t="s">
        <v>39</v>
      </c>
      <c r="D280" s="32" t="s">
        <v>658</v>
      </c>
      <c r="E280" s="32" t="s">
        <v>896</v>
      </c>
      <c r="H280" s="32" t="s">
        <v>24</v>
      </c>
      <c r="M280" s="32" t="s">
        <v>1039</v>
      </c>
      <c r="T280" s="32" t="s">
        <v>2454</v>
      </c>
      <c r="V280" t="s">
        <v>3207</v>
      </c>
      <c r="W280" t="s">
        <v>1775</v>
      </c>
      <c r="AA280" t="s">
        <v>4027</v>
      </c>
    </row>
    <row r="281" spans="2:34" ht="13.5">
      <c r="B281" s="7" t="s">
        <v>1727</v>
      </c>
      <c r="C281" s="18" t="s">
        <v>41</v>
      </c>
      <c r="D281" s="32" t="s">
        <v>777</v>
      </c>
      <c r="E281" s="32" t="s">
        <v>897</v>
      </c>
      <c r="H281" s="32" t="s">
        <v>28</v>
      </c>
      <c r="M281" s="32" t="s">
        <v>360</v>
      </c>
      <c r="T281" s="32" t="s">
        <v>2455</v>
      </c>
      <c r="V281" t="s">
        <v>3208</v>
      </c>
      <c r="W281" t="s">
        <v>1776</v>
      </c>
      <c r="AA281" t="s">
        <v>4028</v>
      </c>
    </row>
    <row r="282" spans="2:34" ht="13.5">
      <c r="B282" s="7" t="s">
        <v>1728</v>
      </c>
      <c r="C282" s="18" t="s">
        <v>38</v>
      </c>
      <c r="D282" s="32" t="s">
        <v>659</v>
      </c>
      <c r="E282" s="32" t="s">
        <v>898</v>
      </c>
      <c r="H282" s="32" t="s">
        <v>25</v>
      </c>
      <c r="M282" s="32" t="s">
        <v>361</v>
      </c>
      <c r="T282" s="32" t="s">
        <v>2456</v>
      </c>
      <c r="V282" t="s">
        <v>3209</v>
      </c>
      <c r="W282" t="s">
        <v>1529</v>
      </c>
      <c r="AA282" t="s">
        <v>4029</v>
      </c>
    </row>
    <row r="283" spans="2:34" ht="13.5">
      <c r="B283" s="7" t="s">
        <v>1584</v>
      </c>
      <c r="C283" s="18" t="s">
        <v>29</v>
      </c>
      <c r="D283" s="32" t="s">
        <v>778</v>
      </c>
      <c r="E283" s="32" t="s">
        <v>899</v>
      </c>
      <c r="H283" s="32" t="s">
        <v>26</v>
      </c>
      <c r="M283" s="32" t="s">
        <v>362</v>
      </c>
      <c r="T283" s="32" t="s">
        <v>2457</v>
      </c>
      <c r="V283" t="s">
        <v>3210</v>
      </c>
      <c r="W283" t="s">
        <v>1530</v>
      </c>
      <c r="AA283" t="s">
        <v>4030</v>
      </c>
    </row>
    <row r="284" spans="2:34" ht="13.5">
      <c r="B284" s="7" t="s">
        <v>1729</v>
      </c>
      <c r="C284" s="18" t="s">
        <v>30</v>
      </c>
      <c r="D284" s="32" t="s">
        <v>779</v>
      </c>
      <c r="E284" s="32" t="s">
        <v>900</v>
      </c>
      <c r="H284" s="32" t="s">
        <v>27</v>
      </c>
      <c r="M284" s="32" t="s">
        <v>363</v>
      </c>
      <c r="T284" s="32" t="s">
        <v>2458</v>
      </c>
      <c r="V284" t="s">
        <v>3211</v>
      </c>
      <c r="W284" t="s">
        <v>3212</v>
      </c>
      <c r="AA284" t="s">
        <v>4031</v>
      </c>
    </row>
    <row r="285" spans="2:34" ht="13.5">
      <c r="B285" s="7" t="s">
        <v>1730</v>
      </c>
      <c r="C285" s="18" t="s">
        <v>417</v>
      </c>
      <c r="D285" s="32" t="s">
        <v>780</v>
      </c>
      <c r="E285" s="32" t="s">
        <v>901</v>
      </c>
      <c r="H285" s="32" t="s">
        <v>1220</v>
      </c>
      <c r="M285" s="32" t="s">
        <v>364</v>
      </c>
      <c r="T285" s="32" t="s">
        <v>2459</v>
      </c>
      <c r="V285" t="s">
        <v>3213</v>
      </c>
      <c r="W285" t="s">
        <v>3214</v>
      </c>
      <c r="AA285" t="s">
        <v>4032</v>
      </c>
    </row>
    <row r="286" spans="2:34" ht="13.5">
      <c r="B286" s="7" t="s">
        <v>1731</v>
      </c>
      <c r="C286" s="18" t="s">
        <v>418</v>
      </c>
      <c r="D286" s="32" t="s">
        <v>781</v>
      </c>
      <c r="E286" s="32" t="s">
        <v>902</v>
      </c>
      <c r="H286" s="32" t="s">
        <v>1221</v>
      </c>
      <c r="M286" s="32" t="s">
        <v>535</v>
      </c>
      <c r="T286" s="32" t="s">
        <v>2460</v>
      </c>
      <c r="V286" t="s">
        <v>3215</v>
      </c>
      <c r="W286" t="s">
        <v>3216</v>
      </c>
      <c r="AA286" t="s">
        <v>4033</v>
      </c>
    </row>
    <row r="287" spans="2:34" ht="13.5">
      <c r="B287" s="7" t="s">
        <v>1769</v>
      </c>
      <c r="C287" s="18" t="s">
        <v>419</v>
      </c>
      <c r="D287" s="32" t="s">
        <v>660</v>
      </c>
      <c r="E287" s="32" t="s">
        <v>915</v>
      </c>
      <c r="H287" s="32" t="s">
        <v>531</v>
      </c>
      <c r="M287" s="32" t="s">
        <v>514</v>
      </c>
      <c r="T287" s="32" t="s">
        <v>2461</v>
      </c>
      <c r="V287" t="s">
        <v>3217</v>
      </c>
      <c r="W287" t="s">
        <v>2810</v>
      </c>
      <c r="AA287" t="s">
        <v>4034</v>
      </c>
    </row>
    <row r="288" spans="2:34" ht="13.5">
      <c r="B288" s="7" t="s">
        <v>1585</v>
      </c>
      <c r="C288" s="18" t="s">
        <v>101</v>
      </c>
      <c r="D288" s="32" t="s">
        <v>661</v>
      </c>
      <c r="E288" s="32" t="s">
        <v>903</v>
      </c>
      <c r="H288" s="32" t="s">
        <v>115</v>
      </c>
      <c r="M288" s="32" t="s">
        <v>515</v>
      </c>
      <c r="T288" s="32" t="s">
        <v>2462</v>
      </c>
      <c r="V288" t="s">
        <v>3218</v>
      </c>
      <c r="W288" t="s">
        <v>1777</v>
      </c>
      <c r="AA288" t="s">
        <v>4035</v>
      </c>
    </row>
    <row r="289" spans="2:27" ht="13.5">
      <c r="B289" s="7" t="s">
        <v>1586</v>
      </c>
      <c r="C289" s="18" t="s">
        <v>420</v>
      </c>
      <c r="D289" s="32" t="s">
        <v>782</v>
      </c>
      <c r="E289" s="32" t="s">
        <v>904</v>
      </c>
      <c r="H289" s="32" t="s">
        <v>1425</v>
      </c>
      <c r="M289" s="32" t="s">
        <v>516</v>
      </c>
      <c r="T289" s="32" t="s">
        <v>2463</v>
      </c>
      <c r="V289" t="s">
        <v>3219</v>
      </c>
      <c r="W289" t="s">
        <v>1754</v>
      </c>
      <c r="AA289" t="s">
        <v>4036</v>
      </c>
    </row>
    <row r="290" spans="2:27" ht="13.5">
      <c r="B290" s="7" t="s">
        <v>1770</v>
      </c>
      <c r="C290" s="18" t="s">
        <v>34</v>
      </c>
      <c r="D290" s="32" t="s">
        <v>783</v>
      </c>
      <c r="E290" s="32" t="s">
        <v>905</v>
      </c>
      <c r="H290" s="32" t="s">
        <v>1426</v>
      </c>
      <c r="M290" s="32" t="s">
        <v>517</v>
      </c>
      <c r="T290" s="32" t="s">
        <v>2464</v>
      </c>
      <c r="V290" t="s">
        <v>3220</v>
      </c>
      <c r="W290" t="s">
        <v>1755</v>
      </c>
      <c r="AA290" t="s">
        <v>4037</v>
      </c>
    </row>
    <row r="291" spans="2:27" ht="13.5">
      <c r="B291" s="7" t="s">
        <v>1732</v>
      </c>
      <c r="C291" s="18" t="s">
        <v>510</v>
      </c>
      <c r="D291" s="32" t="s">
        <v>784</v>
      </c>
      <c r="E291" s="32" t="s">
        <v>906</v>
      </c>
      <c r="H291" s="32" t="s">
        <v>1427</v>
      </c>
      <c r="M291" s="32" t="s">
        <v>518</v>
      </c>
      <c r="T291" s="32" t="s">
        <v>2465</v>
      </c>
      <c r="V291" t="s">
        <v>3221</v>
      </c>
      <c r="W291" t="s">
        <v>1756</v>
      </c>
      <c r="AA291" t="s">
        <v>4038</v>
      </c>
    </row>
    <row r="292" spans="2:27" ht="13.5">
      <c r="B292" s="7" t="s">
        <v>1733</v>
      </c>
      <c r="C292" s="18" t="s">
        <v>102</v>
      </c>
      <c r="D292" s="32" t="s">
        <v>662</v>
      </c>
      <c r="E292" s="32" t="s">
        <v>907</v>
      </c>
      <c r="H292" s="32" t="s">
        <v>1428</v>
      </c>
      <c r="M292" s="32" t="s">
        <v>519</v>
      </c>
      <c r="T292" s="32" t="s">
        <v>2466</v>
      </c>
      <c r="V292" t="s">
        <v>3222</v>
      </c>
      <c r="W292" t="s">
        <v>1757</v>
      </c>
      <c r="AA292" t="s">
        <v>4039</v>
      </c>
    </row>
    <row r="293" spans="2:27" ht="13.5">
      <c r="B293" s="7" t="s">
        <v>1528</v>
      </c>
      <c r="C293" s="18" t="s">
        <v>103</v>
      </c>
      <c r="D293" s="32" t="s">
        <v>512</v>
      </c>
      <c r="E293" s="32" t="s">
        <v>908</v>
      </c>
      <c r="H293" s="32" t="s">
        <v>1429</v>
      </c>
      <c r="M293" s="32" t="s">
        <v>520</v>
      </c>
      <c r="T293" s="32" t="s">
        <v>2467</v>
      </c>
      <c r="V293" t="s">
        <v>3223</v>
      </c>
      <c r="W293" t="s">
        <v>1758</v>
      </c>
      <c r="AA293" t="s">
        <v>4040</v>
      </c>
    </row>
    <row r="294" spans="2:27" ht="15.5">
      <c r="B294" s="7" t="s">
        <v>1771</v>
      </c>
      <c r="C294" s="18" t="s">
        <v>43</v>
      </c>
      <c r="D294" s="32" t="s">
        <v>52</v>
      </c>
      <c r="E294" s="32" t="s">
        <v>909</v>
      </c>
      <c r="H294" s="32" t="s">
        <v>1430</v>
      </c>
      <c r="M294" s="33"/>
      <c r="T294" s="32" t="s">
        <v>2468</v>
      </c>
      <c r="V294" t="s">
        <v>3224</v>
      </c>
      <c r="W294" t="s">
        <v>1759</v>
      </c>
      <c r="AA294" t="s">
        <v>4041</v>
      </c>
    </row>
    <row r="295" spans="2:27" ht="13.5">
      <c r="B295" s="7" t="s">
        <v>1772</v>
      </c>
      <c r="C295" s="18" t="s">
        <v>527</v>
      </c>
      <c r="D295" s="32" t="s">
        <v>785</v>
      </c>
      <c r="E295" s="32" t="s">
        <v>910</v>
      </c>
      <c r="H295" s="32" t="s">
        <v>1431</v>
      </c>
      <c r="T295" s="32" t="s">
        <v>2469</v>
      </c>
      <c r="V295" t="s">
        <v>3225</v>
      </c>
      <c r="W295" t="s">
        <v>1760</v>
      </c>
      <c r="AA295" t="s">
        <v>4042</v>
      </c>
    </row>
    <row r="296" spans="2:27" ht="13.5">
      <c r="B296" s="7" t="s">
        <v>1517</v>
      </c>
      <c r="C296" s="18" t="s">
        <v>421</v>
      </c>
      <c r="D296" s="32" t="s">
        <v>786</v>
      </c>
      <c r="E296" s="32" t="s">
        <v>128</v>
      </c>
      <c r="H296" s="32" t="s">
        <v>512</v>
      </c>
      <c r="T296" s="32" t="s">
        <v>1526</v>
      </c>
      <c r="V296" t="s">
        <v>3226</v>
      </c>
      <c r="W296" t="s">
        <v>2814</v>
      </c>
      <c r="AA296" t="s">
        <v>4043</v>
      </c>
    </row>
    <row r="297" spans="2:27" ht="13.5">
      <c r="B297" s="7" t="s">
        <v>1521</v>
      </c>
      <c r="C297" s="18" t="s">
        <v>422</v>
      </c>
      <c r="D297" s="32" t="s">
        <v>787</v>
      </c>
      <c r="E297" s="32" t="s">
        <v>818</v>
      </c>
      <c r="H297" s="32" t="s">
        <v>52</v>
      </c>
      <c r="T297" s="32" t="s">
        <v>2470</v>
      </c>
      <c r="V297" t="s">
        <v>3227</v>
      </c>
      <c r="W297" t="s">
        <v>2815</v>
      </c>
      <c r="AA297" t="s">
        <v>4044</v>
      </c>
    </row>
    <row r="298" spans="2:27" ht="13.5">
      <c r="B298" s="7" t="s">
        <v>1518</v>
      </c>
      <c r="C298" s="18" t="s">
        <v>423</v>
      </c>
      <c r="D298" s="32" t="s">
        <v>663</v>
      </c>
      <c r="E298" s="32" t="s">
        <v>819</v>
      </c>
      <c r="H298" s="32" t="s">
        <v>1432</v>
      </c>
      <c r="T298" s="32" t="s">
        <v>2471</v>
      </c>
      <c r="V298" t="s">
        <v>3228</v>
      </c>
      <c r="W298" t="s">
        <v>3229</v>
      </c>
      <c r="AA298" t="s">
        <v>4045</v>
      </c>
    </row>
    <row r="299" spans="2:27" ht="13.5">
      <c r="B299" s="7" t="s">
        <v>1519</v>
      </c>
      <c r="C299" s="18" t="s">
        <v>104</v>
      </c>
      <c r="D299" s="32" t="s">
        <v>664</v>
      </c>
      <c r="E299" s="32" t="s">
        <v>821</v>
      </c>
      <c r="H299" s="32" t="s">
        <v>513</v>
      </c>
      <c r="T299" s="32" t="s">
        <v>1576</v>
      </c>
      <c r="V299" t="s">
        <v>3230</v>
      </c>
      <c r="W299" t="s">
        <v>3231</v>
      </c>
      <c r="AA299" t="s">
        <v>1540</v>
      </c>
    </row>
    <row r="300" spans="2:27" ht="13.5">
      <c r="B300" s="7" t="s">
        <v>1520</v>
      </c>
      <c r="C300" s="18" t="s">
        <v>105</v>
      </c>
      <c r="D300" s="32" t="s">
        <v>665</v>
      </c>
      <c r="E300" s="32" t="s">
        <v>916</v>
      </c>
      <c r="H300" s="32" t="s">
        <v>532</v>
      </c>
      <c r="T300" s="32" t="s">
        <v>2472</v>
      </c>
      <c r="V300" t="s">
        <v>3232</v>
      </c>
      <c r="W300" t="s">
        <v>3233</v>
      </c>
      <c r="AA300" t="s">
        <v>1541</v>
      </c>
    </row>
    <row r="301" spans="2:27" ht="13.5">
      <c r="B301" s="7" t="s">
        <v>1587</v>
      </c>
      <c r="C301" s="18" t="s">
        <v>424</v>
      </c>
      <c r="D301" s="32" t="s">
        <v>666</v>
      </c>
      <c r="E301" s="32" t="s">
        <v>535</v>
      </c>
      <c r="H301" s="32" t="s">
        <v>121</v>
      </c>
      <c r="T301" s="32" t="s">
        <v>1578</v>
      </c>
      <c r="V301" t="s">
        <v>3234</v>
      </c>
      <c r="W301" t="s">
        <v>3235</v>
      </c>
      <c r="AA301" t="s">
        <v>1539</v>
      </c>
    </row>
    <row r="302" spans="2:27" ht="13.5">
      <c r="B302" s="7" t="s">
        <v>1588</v>
      </c>
      <c r="C302" s="18" t="s">
        <v>425</v>
      </c>
      <c r="D302" s="32" t="s">
        <v>667</v>
      </c>
      <c r="E302" s="32" t="s">
        <v>514</v>
      </c>
      <c r="H302" s="32" t="s">
        <v>1222</v>
      </c>
      <c r="T302" s="32" t="s">
        <v>2473</v>
      </c>
      <c r="V302" t="s">
        <v>3236</v>
      </c>
      <c r="W302" t="s">
        <v>2832</v>
      </c>
      <c r="AA302" t="s">
        <v>1538</v>
      </c>
    </row>
    <row r="303" spans="2:27" ht="13.5">
      <c r="B303" s="7" t="s">
        <v>1589</v>
      </c>
      <c r="C303" s="18" t="s">
        <v>426</v>
      </c>
      <c r="D303" s="32" t="s">
        <v>668</v>
      </c>
      <c r="E303" s="32" t="s">
        <v>515</v>
      </c>
      <c r="H303" s="32" t="s">
        <v>1223</v>
      </c>
      <c r="T303" s="32" t="s">
        <v>2474</v>
      </c>
      <c r="V303" t="s">
        <v>3237</v>
      </c>
      <c r="W303" s="32" t="s">
        <v>3006</v>
      </c>
      <c r="AA303" t="s">
        <v>1537</v>
      </c>
    </row>
    <row r="304" spans="2:27" ht="13.5">
      <c r="B304" s="7" t="s">
        <v>1590</v>
      </c>
      <c r="C304" s="18" t="s">
        <v>427</v>
      </c>
      <c r="D304" s="32" t="s">
        <v>513</v>
      </c>
      <c r="E304" s="32" t="s">
        <v>516</v>
      </c>
      <c r="H304" s="32" t="s">
        <v>1224</v>
      </c>
      <c r="T304" s="32" t="s">
        <v>1515</v>
      </c>
      <c r="V304" t="s">
        <v>3238</v>
      </c>
      <c r="AA304" t="s">
        <v>1526</v>
      </c>
    </row>
    <row r="305" spans="2:27" ht="13.5">
      <c r="B305" s="7" t="s">
        <v>1591</v>
      </c>
      <c r="C305" s="18" t="s">
        <v>428</v>
      </c>
      <c r="D305" s="32" t="s">
        <v>532</v>
      </c>
      <c r="E305" s="32" t="s">
        <v>517</v>
      </c>
      <c r="H305" s="32" t="s">
        <v>1225</v>
      </c>
      <c r="T305" s="32" t="s">
        <v>2475</v>
      </c>
      <c r="V305" t="s">
        <v>3239</v>
      </c>
      <c r="AA305" t="s">
        <v>1576</v>
      </c>
    </row>
    <row r="306" spans="2:27" ht="13.5">
      <c r="B306" s="7" t="s">
        <v>1592</v>
      </c>
      <c r="C306" s="18" t="s">
        <v>429</v>
      </c>
      <c r="D306" s="32" t="s">
        <v>669</v>
      </c>
      <c r="E306" s="32" t="s">
        <v>518</v>
      </c>
      <c r="H306" s="32" t="s">
        <v>1226</v>
      </c>
      <c r="T306" s="32" t="s">
        <v>1579</v>
      </c>
      <c r="V306" t="s">
        <v>3240</v>
      </c>
      <c r="AA306" t="s">
        <v>4046</v>
      </c>
    </row>
    <row r="307" spans="2:27" ht="13.5">
      <c r="B307" s="7" t="s">
        <v>1593</v>
      </c>
      <c r="C307" s="18" t="s">
        <v>106</v>
      </c>
      <c r="D307" s="32" t="s">
        <v>121</v>
      </c>
      <c r="E307" s="32" t="s">
        <v>519</v>
      </c>
      <c r="H307" s="32" t="s">
        <v>1227</v>
      </c>
      <c r="T307" s="32" t="s">
        <v>1948</v>
      </c>
      <c r="V307" t="s">
        <v>3241</v>
      </c>
      <c r="AA307" t="s">
        <v>4047</v>
      </c>
    </row>
    <row r="308" spans="2:27" ht="13.5">
      <c r="B308" s="7" t="s">
        <v>1594</v>
      </c>
      <c r="C308" s="18" t="s">
        <v>107</v>
      </c>
      <c r="D308" s="32" t="s">
        <v>788</v>
      </c>
      <c r="E308" s="32" t="s">
        <v>520</v>
      </c>
      <c r="H308" s="32" t="s">
        <v>1433</v>
      </c>
      <c r="T308" s="32" t="s">
        <v>1581</v>
      </c>
      <c r="V308" t="s">
        <v>3242</v>
      </c>
      <c r="AA308" t="s">
        <v>4048</v>
      </c>
    </row>
    <row r="309" spans="2:27" ht="13.5">
      <c r="B309" s="7" t="s">
        <v>1595</v>
      </c>
      <c r="C309" s="18" t="s">
        <v>430</v>
      </c>
      <c r="D309" s="32" t="s">
        <v>789</v>
      </c>
      <c r="E309" s="32" t="s">
        <v>703</v>
      </c>
      <c r="H309" s="32" t="s">
        <v>533</v>
      </c>
      <c r="T309" s="32" t="s">
        <v>2476</v>
      </c>
      <c r="V309" t="s">
        <v>3243</v>
      </c>
      <c r="AA309" t="s">
        <v>4049</v>
      </c>
    </row>
    <row r="310" spans="2:27" ht="13.5">
      <c r="B310" s="7" t="s">
        <v>1596</v>
      </c>
      <c r="C310" s="18" t="s">
        <v>431</v>
      </c>
      <c r="D310" s="32" t="s">
        <v>790</v>
      </c>
      <c r="E310" s="32" t="s">
        <v>704</v>
      </c>
      <c r="H310" s="32" t="s">
        <v>1434</v>
      </c>
      <c r="T310" s="32" t="s">
        <v>1704</v>
      </c>
      <c r="V310" t="s">
        <v>3244</v>
      </c>
      <c r="AA310" t="s">
        <v>4050</v>
      </c>
    </row>
    <row r="311" spans="2:27" ht="15.5">
      <c r="B311" s="7" t="s">
        <v>1597</v>
      </c>
      <c r="C311" s="18" t="s">
        <v>432</v>
      </c>
      <c r="D311" s="32" t="s">
        <v>791</v>
      </c>
      <c r="E311" s="33"/>
      <c r="H311" s="32" t="s">
        <v>1435</v>
      </c>
      <c r="T311" s="32" t="s">
        <v>1705</v>
      </c>
      <c r="V311" t="s">
        <v>3245</v>
      </c>
      <c r="AA311" t="s">
        <v>4051</v>
      </c>
    </row>
    <row r="312" spans="2:27" ht="13.5">
      <c r="B312" s="7" t="s">
        <v>1773</v>
      </c>
      <c r="C312" s="18" t="s">
        <v>433</v>
      </c>
      <c r="D312" s="32" t="s">
        <v>792</v>
      </c>
      <c r="H312" s="32" t="s">
        <v>1436</v>
      </c>
      <c r="T312" s="32" t="s">
        <v>1582</v>
      </c>
      <c r="V312" t="s">
        <v>3246</v>
      </c>
      <c r="AA312" t="s">
        <v>4052</v>
      </c>
    </row>
    <row r="313" spans="2:27" ht="13.5">
      <c r="B313" s="7" t="s">
        <v>1598</v>
      </c>
      <c r="C313" s="18" t="s">
        <v>434</v>
      </c>
      <c r="D313" s="32" t="s">
        <v>793</v>
      </c>
      <c r="H313" s="32" t="s">
        <v>1437</v>
      </c>
      <c r="T313" s="32" t="s">
        <v>2477</v>
      </c>
      <c r="V313" t="s">
        <v>3247</v>
      </c>
      <c r="AA313" t="s">
        <v>4053</v>
      </c>
    </row>
    <row r="314" spans="2:27" ht="13.5">
      <c r="B314" s="7" t="s">
        <v>1599</v>
      </c>
      <c r="C314" s="18" t="s">
        <v>435</v>
      </c>
      <c r="D314" s="32" t="s">
        <v>670</v>
      </c>
      <c r="H314" s="32" t="s">
        <v>1438</v>
      </c>
      <c r="T314" s="32" t="s">
        <v>2478</v>
      </c>
      <c r="V314" t="s">
        <v>3248</v>
      </c>
      <c r="AA314" t="s">
        <v>4054</v>
      </c>
    </row>
    <row r="315" spans="2:27" ht="13.5">
      <c r="B315" s="7" t="s">
        <v>1600</v>
      </c>
      <c r="C315" s="18" t="s">
        <v>528</v>
      </c>
      <c r="D315" s="32" t="s">
        <v>671</v>
      </c>
      <c r="H315" s="32" t="s">
        <v>534</v>
      </c>
      <c r="T315" s="32" t="s">
        <v>2479</v>
      </c>
      <c r="V315" t="s">
        <v>3249</v>
      </c>
      <c r="AA315" t="s">
        <v>4055</v>
      </c>
    </row>
    <row r="316" spans="2:27" ht="13.5">
      <c r="B316" s="7" t="s">
        <v>1601</v>
      </c>
      <c r="C316" s="18" t="s">
        <v>436</v>
      </c>
      <c r="D316" s="32" t="s">
        <v>794</v>
      </c>
      <c r="H316" s="32" t="s">
        <v>36</v>
      </c>
      <c r="T316" s="32" t="s">
        <v>2480</v>
      </c>
      <c r="V316" t="s">
        <v>3250</v>
      </c>
      <c r="AA316" t="s">
        <v>4056</v>
      </c>
    </row>
    <row r="317" spans="2:27" ht="13.5">
      <c r="B317" s="7" t="s">
        <v>1602</v>
      </c>
      <c r="C317" s="18" t="s">
        <v>437</v>
      </c>
      <c r="D317" s="32" t="s">
        <v>672</v>
      </c>
      <c r="H317" s="32" t="s">
        <v>37</v>
      </c>
      <c r="T317" s="32" t="s">
        <v>2481</v>
      </c>
      <c r="V317" t="s">
        <v>3251</v>
      </c>
      <c r="AA317" t="s">
        <v>4057</v>
      </c>
    </row>
    <row r="318" spans="2:27" ht="13.5">
      <c r="B318" s="7" t="s">
        <v>1603</v>
      </c>
      <c r="C318" s="18" t="s">
        <v>438</v>
      </c>
      <c r="D318" s="32" t="s">
        <v>673</v>
      </c>
      <c r="H318" s="32" t="s">
        <v>1439</v>
      </c>
      <c r="T318" s="32" t="s">
        <v>2482</v>
      </c>
      <c r="V318" t="s">
        <v>3252</v>
      </c>
      <c r="AA318" t="s">
        <v>4058</v>
      </c>
    </row>
    <row r="319" spans="2:27" ht="13.5">
      <c r="B319" s="7" t="s">
        <v>1604</v>
      </c>
      <c r="C319" s="18" t="s">
        <v>108</v>
      </c>
      <c r="D319" s="32" t="s">
        <v>795</v>
      </c>
      <c r="H319" s="32" t="s">
        <v>127</v>
      </c>
      <c r="T319" s="32" t="s">
        <v>2483</v>
      </c>
      <c r="V319" t="s">
        <v>3253</v>
      </c>
      <c r="AA319" t="s">
        <v>4059</v>
      </c>
    </row>
    <row r="320" spans="2:27" ht="13.5">
      <c r="B320" s="7" t="s">
        <v>1734</v>
      </c>
      <c r="C320" s="18" t="s">
        <v>109</v>
      </c>
      <c r="D320" s="32" t="s">
        <v>796</v>
      </c>
      <c r="H320" s="32" t="s">
        <v>128</v>
      </c>
      <c r="T320" s="32" t="s">
        <v>2484</v>
      </c>
      <c r="V320" t="s">
        <v>3254</v>
      </c>
      <c r="AA320" t="s">
        <v>1578</v>
      </c>
    </row>
    <row r="321" spans="2:27" ht="13.5">
      <c r="B321" s="7" t="s">
        <v>1735</v>
      </c>
      <c r="C321" s="18" t="s">
        <v>110</v>
      </c>
      <c r="D321" s="32" t="s">
        <v>797</v>
      </c>
      <c r="H321" s="32" t="s">
        <v>1440</v>
      </c>
      <c r="T321" s="32" t="s">
        <v>2485</v>
      </c>
      <c r="V321" t="s">
        <v>3255</v>
      </c>
      <c r="AA321" t="s">
        <v>2475</v>
      </c>
    </row>
    <row r="322" spans="2:27" ht="13.5">
      <c r="B322" s="7" t="s">
        <v>1511</v>
      </c>
      <c r="C322" s="18" t="s">
        <v>511</v>
      </c>
      <c r="D322" s="32" t="s">
        <v>674</v>
      </c>
      <c r="H322" s="32" t="s">
        <v>1441</v>
      </c>
      <c r="T322" s="32" t="s">
        <v>2486</v>
      </c>
      <c r="V322" t="s">
        <v>3256</v>
      </c>
      <c r="AA322" t="s">
        <v>1579</v>
      </c>
    </row>
    <row r="323" spans="2:27" ht="13.5">
      <c r="B323" s="7" t="s">
        <v>1605</v>
      </c>
      <c r="C323" s="18" t="s">
        <v>111</v>
      </c>
      <c r="D323" s="32" t="s">
        <v>675</v>
      </c>
      <c r="H323" s="32" t="s">
        <v>1442</v>
      </c>
      <c r="T323" s="32" t="s">
        <v>2487</v>
      </c>
      <c r="V323" t="s">
        <v>3257</v>
      </c>
      <c r="AA323" t="s">
        <v>1948</v>
      </c>
    </row>
    <row r="324" spans="2:27" ht="13.5">
      <c r="B324" s="7" t="s">
        <v>1736</v>
      </c>
      <c r="C324" s="18" t="s">
        <v>112</v>
      </c>
      <c r="D324" s="32" t="s">
        <v>676</v>
      </c>
      <c r="H324" s="32" t="s">
        <v>1443</v>
      </c>
      <c r="T324" s="32" t="s">
        <v>2488</v>
      </c>
      <c r="V324" t="s">
        <v>3258</v>
      </c>
      <c r="AA324" t="s">
        <v>4060</v>
      </c>
    </row>
    <row r="325" spans="2:27" ht="13.5">
      <c r="B325" s="7" t="s">
        <v>1737</v>
      </c>
      <c r="C325" s="18" t="s">
        <v>113</v>
      </c>
      <c r="D325" s="32" t="s">
        <v>677</v>
      </c>
      <c r="H325" s="32" t="s">
        <v>1444</v>
      </c>
      <c r="T325" s="32" t="s">
        <v>2489</v>
      </c>
      <c r="V325" t="s">
        <v>3259</v>
      </c>
      <c r="AA325" t="s">
        <v>4061</v>
      </c>
    </row>
    <row r="326" spans="2:27" ht="13.5">
      <c r="B326" s="7" t="s">
        <v>1774</v>
      </c>
      <c r="C326" s="18" t="s">
        <v>114</v>
      </c>
      <c r="D326" s="32" t="s">
        <v>678</v>
      </c>
      <c r="H326" s="32" t="s">
        <v>535</v>
      </c>
      <c r="T326" s="32" t="s">
        <v>2490</v>
      </c>
      <c r="V326" t="s">
        <v>3260</v>
      </c>
      <c r="AA326" t="s">
        <v>4062</v>
      </c>
    </row>
    <row r="327" spans="2:27" ht="13.5">
      <c r="B327" s="7" t="s">
        <v>1510</v>
      </c>
      <c r="C327" s="18" t="s">
        <v>35</v>
      </c>
      <c r="D327" s="32" t="s">
        <v>679</v>
      </c>
      <c r="H327" s="32" t="s">
        <v>1228</v>
      </c>
      <c r="T327" s="32" t="s">
        <v>2491</v>
      </c>
      <c r="V327" t="s">
        <v>3261</v>
      </c>
      <c r="AA327" t="s">
        <v>4063</v>
      </c>
    </row>
    <row r="328" spans="2:27" ht="13.5">
      <c r="B328" s="7" t="s">
        <v>1513</v>
      </c>
      <c r="C328" s="18" t="s">
        <v>439</v>
      </c>
      <c r="D328" s="32" t="s">
        <v>680</v>
      </c>
      <c r="H328" s="32" t="s">
        <v>514</v>
      </c>
      <c r="T328" s="32" t="s">
        <v>2492</v>
      </c>
      <c r="V328" t="s">
        <v>3262</v>
      </c>
      <c r="AA328" t="s">
        <v>4064</v>
      </c>
    </row>
    <row r="329" spans="2:27" ht="13.5">
      <c r="B329" s="7" t="s">
        <v>1738</v>
      </c>
      <c r="C329" s="18" t="s">
        <v>51</v>
      </c>
      <c r="D329" s="32" t="s">
        <v>798</v>
      </c>
      <c r="H329" s="32" t="s">
        <v>515</v>
      </c>
      <c r="T329" s="32" t="s">
        <v>2493</v>
      </c>
      <c r="V329" t="s">
        <v>3263</v>
      </c>
      <c r="AA329" t="s">
        <v>1581</v>
      </c>
    </row>
    <row r="330" spans="2:27" ht="13.5">
      <c r="B330" s="7" t="s">
        <v>1739</v>
      </c>
      <c r="C330" s="18" t="s">
        <v>529</v>
      </c>
      <c r="D330" s="32" t="s">
        <v>681</v>
      </c>
      <c r="H330" s="32" t="s">
        <v>516</v>
      </c>
      <c r="T330" s="32" t="s">
        <v>2494</v>
      </c>
      <c r="V330" t="s">
        <v>3264</v>
      </c>
      <c r="AA330" t="s">
        <v>4065</v>
      </c>
    </row>
    <row r="331" spans="2:27" ht="13.5">
      <c r="B331" s="7" t="s">
        <v>1740</v>
      </c>
      <c r="C331" s="18" t="s">
        <v>530</v>
      </c>
      <c r="D331" s="32" t="s">
        <v>799</v>
      </c>
      <c r="H331" s="32" t="s">
        <v>517</v>
      </c>
      <c r="T331" s="32" t="s">
        <v>2495</v>
      </c>
      <c r="V331" t="s">
        <v>3265</v>
      </c>
      <c r="AA331" t="s">
        <v>1765</v>
      </c>
    </row>
    <row r="332" spans="2:27" ht="13.5">
      <c r="B332" s="7" t="s">
        <v>1606</v>
      </c>
      <c r="C332" s="18" t="s">
        <v>440</v>
      </c>
      <c r="D332" s="32" t="s">
        <v>800</v>
      </c>
      <c r="H332" s="32" t="s">
        <v>518</v>
      </c>
      <c r="T332" s="32" t="s">
        <v>2496</v>
      </c>
      <c r="V332" t="s">
        <v>3266</v>
      </c>
      <c r="AA332" t="s">
        <v>1766</v>
      </c>
    </row>
    <row r="333" spans="2:27" ht="13.5">
      <c r="B333" s="7" t="s">
        <v>1775</v>
      </c>
      <c r="C333" s="18" t="s">
        <v>441</v>
      </c>
      <c r="D333" s="32" t="s">
        <v>801</v>
      </c>
      <c r="H333" s="32" t="s">
        <v>519</v>
      </c>
      <c r="T333" s="32" t="s">
        <v>2497</v>
      </c>
      <c r="V333" t="s">
        <v>3267</v>
      </c>
      <c r="AA333" t="s">
        <v>1767</v>
      </c>
    </row>
    <row r="334" spans="2:27" ht="13.5">
      <c r="B334" s="7" t="s">
        <v>1607</v>
      </c>
      <c r="C334" s="18" t="s">
        <v>442</v>
      </c>
      <c r="D334" s="32" t="s">
        <v>802</v>
      </c>
      <c r="H334" s="32" t="s">
        <v>520</v>
      </c>
      <c r="T334" s="32" t="s">
        <v>2498</v>
      </c>
      <c r="V334" t="s">
        <v>3268</v>
      </c>
      <c r="AA334" t="s">
        <v>4066</v>
      </c>
    </row>
    <row r="335" spans="2:27" ht="13.5">
      <c r="B335" s="7" t="s">
        <v>1741</v>
      </c>
      <c r="C335" s="18" t="s">
        <v>443</v>
      </c>
      <c r="D335" s="32" t="s">
        <v>682</v>
      </c>
      <c r="H335" s="32" t="s">
        <v>1445</v>
      </c>
      <c r="T335" s="32" t="s">
        <v>2499</v>
      </c>
      <c r="V335" t="s">
        <v>3269</v>
      </c>
      <c r="AA335" t="s">
        <v>4067</v>
      </c>
    </row>
    <row r="336" spans="2:27" ht="13.5">
      <c r="B336" s="7" t="s">
        <v>1742</v>
      </c>
      <c r="C336" s="18" t="s">
        <v>21</v>
      </c>
      <c r="D336" s="32" t="s">
        <v>683</v>
      </c>
      <c r="H336" s="32" t="s">
        <v>1446</v>
      </c>
      <c r="T336" s="32" t="s">
        <v>2500</v>
      </c>
      <c r="V336" t="s">
        <v>3270</v>
      </c>
      <c r="AA336" t="s">
        <v>4068</v>
      </c>
    </row>
    <row r="337" spans="2:27" ht="13.5">
      <c r="B337" s="7" t="s">
        <v>1743</v>
      </c>
      <c r="C337" s="18" t="s">
        <v>20</v>
      </c>
      <c r="D337" s="32" t="s">
        <v>803</v>
      </c>
      <c r="H337" s="32" t="s">
        <v>1229</v>
      </c>
      <c r="T337" s="32" t="s">
        <v>2501</v>
      </c>
      <c r="V337" t="s">
        <v>3271</v>
      </c>
      <c r="AA337" t="s">
        <v>4069</v>
      </c>
    </row>
    <row r="338" spans="2:27" ht="13.5">
      <c r="B338" s="7" t="s">
        <v>1744</v>
      </c>
      <c r="C338" s="18" t="s">
        <v>22</v>
      </c>
      <c r="D338" s="32" t="s">
        <v>804</v>
      </c>
      <c r="H338" s="32" t="s">
        <v>1230</v>
      </c>
      <c r="T338" s="32" t="s">
        <v>2502</v>
      </c>
      <c r="V338" t="s">
        <v>3272</v>
      </c>
      <c r="AA338" t="s">
        <v>4070</v>
      </c>
    </row>
    <row r="339" spans="2:27" ht="13.5">
      <c r="B339" s="7" t="s">
        <v>1745</v>
      </c>
      <c r="C339" s="18" t="s">
        <v>19</v>
      </c>
      <c r="D339" s="32" t="s">
        <v>805</v>
      </c>
      <c r="H339" s="32" t="s">
        <v>1231</v>
      </c>
      <c r="T339" s="32" t="s">
        <v>2503</v>
      </c>
      <c r="V339" t="s">
        <v>3273</v>
      </c>
      <c r="AA339" t="s">
        <v>4071</v>
      </c>
    </row>
    <row r="340" spans="2:27" ht="13.5">
      <c r="B340" s="7" t="s">
        <v>1746</v>
      </c>
      <c r="C340" s="18" t="s">
        <v>24</v>
      </c>
      <c r="D340" s="32" t="s">
        <v>684</v>
      </c>
      <c r="H340" s="32" t="s">
        <v>1232</v>
      </c>
      <c r="T340" s="32" t="s">
        <v>2504</v>
      </c>
      <c r="V340" t="s">
        <v>3274</v>
      </c>
      <c r="AA340" t="s">
        <v>1768</v>
      </c>
    </row>
    <row r="341" spans="2:27" ht="13.5">
      <c r="B341" s="7" t="s">
        <v>1747</v>
      </c>
      <c r="C341" s="18" t="s">
        <v>28</v>
      </c>
      <c r="D341" s="32" t="s">
        <v>806</v>
      </c>
      <c r="H341" s="32" t="s">
        <v>1233</v>
      </c>
      <c r="T341" s="32" t="s">
        <v>2505</v>
      </c>
      <c r="V341" t="s">
        <v>3275</v>
      </c>
      <c r="AA341" t="s">
        <v>4072</v>
      </c>
    </row>
    <row r="342" spans="2:27" ht="13.5">
      <c r="B342" s="7" t="s">
        <v>1655</v>
      </c>
      <c r="C342" s="18" t="s">
        <v>25</v>
      </c>
      <c r="D342" s="32" t="s">
        <v>685</v>
      </c>
      <c r="H342" s="32" t="s">
        <v>1234</v>
      </c>
      <c r="T342" s="32" t="s">
        <v>2506</v>
      </c>
      <c r="V342" t="s">
        <v>3276</v>
      </c>
      <c r="AA342" t="s">
        <v>1533</v>
      </c>
    </row>
    <row r="343" spans="2:27" ht="15.5">
      <c r="B343" s="7" t="s">
        <v>1656</v>
      </c>
      <c r="C343" s="18" t="s">
        <v>26</v>
      </c>
      <c r="D343" s="32" t="s">
        <v>686</v>
      </c>
      <c r="H343" s="33"/>
      <c r="T343" s="32" t="s">
        <v>2507</v>
      </c>
      <c r="V343" t="s">
        <v>3277</v>
      </c>
      <c r="AA343" t="s">
        <v>2570</v>
      </c>
    </row>
    <row r="344" spans="2:27" ht="13.5">
      <c r="B344" s="7" t="s">
        <v>1657</v>
      </c>
      <c r="C344" s="18" t="s">
        <v>27</v>
      </c>
      <c r="D344" s="32" t="s">
        <v>687</v>
      </c>
      <c r="T344" s="32" t="s">
        <v>2508</v>
      </c>
      <c r="V344" t="s">
        <v>3278</v>
      </c>
      <c r="AA344" t="s">
        <v>1927</v>
      </c>
    </row>
    <row r="345" spans="2:27" ht="13.5">
      <c r="B345" s="7" t="s">
        <v>1658</v>
      </c>
      <c r="C345" s="18" t="s">
        <v>531</v>
      </c>
      <c r="D345" s="32" t="s">
        <v>688</v>
      </c>
      <c r="T345" s="32" t="s">
        <v>2509</v>
      </c>
      <c r="V345" t="s">
        <v>3279</v>
      </c>
      <c r="AA345" t="s">
        <v>1532</v>
      </c>
    </row>
    <row r="346" spans="2:27" ht="13.5">
      <c r="B346" s="7" t="s">
        <v>1659</v>
      </c>
      <c r="C346" s="18" t="s">
        <v>115</v>
      </c>
      <c r="D346" s="32" t="s">
        <v>689</v>
      </c>
      <c r="T346" s="32" t="s">
        <v>2510</v>
      </c>
      <c r="V346" t="s">
        <v>3280</v>
      </c>
      <c r="AA346" t="s">
        <v>2571</v>
      </c>
    </row>
    <row r="347" spans="2:27" ht="13.5">
      <c r="B347" s="7" t="s">
        <v>1660</v>
      </c>
      <c r="C347" s="18" t="s">
        <v>444</v>
      </c>
      <c r="D347" s="32" t="s">
        <v>690</v>
      </c>
      <c r="T347" s="32" t="s">
        <v>2511</v>
      </c>
      <c r="V347" t="s">
        <v>3281</v>
      </c>
      <c r="AA347" t="s">
        <v>1534</v>
      </c>
    </row>
    <row r="348" spans="2:27" ht="13.5">
      <c r="B348" s="7" t="s">
        <v>1661</v>
      </c>
      <c r="C348" s="18" t="s">
        <v>445</v>
      </c>
      <c r="D348" s="32" t="s">
        <v>691</v>
      </c>
      <c r="T348" s="32" t="s">
        <v>2512</v>
      </c>
      <c r="V348" t="s">
        <v>3282</v>
      </c>
      <c r="AA348" t="s">
        <v>2572</v>
      </c>
    </row>
    <row r="349" spans="2:27" ht="13.5">
      <c r="B349" s="7" t="s">
        <v>1662</v>
      </c>
      <c r="C349" s="18" t="s">
        <v>446</v>
      </c>
      <c r="D349" s="32" t="s">
        <v>692</v>
      </c>
      <c r="T349" s="32" t="s">
        <v>2513</v>
      </c>
      <c r="V349" t="s">
        <v>3283</v>
      </c>
      <c r="AA349" t="s">
        <v>1531</v>
      </c>
    </row>
    <row r="350" spans="2:27" ht="13.5">
      <c r="B350" s="7" t="s">
        <v>1663</v>
      </c>
      <c r="C350" s="18" t="s">
        <v>447</v>
      </c>
      <c r="D350" s="32" t="s">
        <v>807</v>
      </c>
      <c r="T350" s="32" t="s">
        <v>2514</v>
      </c>
      <c r="V350" t="s">
        <v>3284</v>
      </c>
      <c r="AA350" t="s">
        <v>2573</v>
      </c>
    </row>
    <row r="351" spans="2:27" ht="13.5">
      <c r="B351" s="7" t="s">
        <v>1664</v>
      </c>
      <c r="C351" s="18" t="s">
        <v>448</v>
      </c>
      <c r="D351" s="32" t="s">
        <v>693</v>
      </c>
      <c r="T351" s="32" t="s">
        <v>2515</v>
      </c>
      <c r="V351" t="s">
        <v>3285</v>
      </c>
      <c r="AA351" t="s">
        <v>1522</v>
      </c>
    </row>
    <row r="352" spans="2:27" ht="13.5">
      <c r="B352" s="7" t="s">
        <v>1748</v>
      </c>
      <c r="C352" s="18" t="s">
        <v>116</v>
      </c>
      <c r="D352" s="32" t="s">
        <v>808</v>
      </c>
      <c r="T352" s="32" t="s">
        <v>2516</v>
      </c>
      <c r="V352" t="s">
        <v>3286</v>
      </c>
      <c r="AA352" t="s">
        <v>2574</v>
      </c>
    </row>
    <row r="353" spans="2:27" ht="13.5">
      <c r="B353" s="7" t="s">
        <v>1749</v>
      </c>
      <c r="C353" s="18" t="s">
        <v>449</v>
      </c>
      <c r="D353" s="32" t="s">
        <v>809</v>
      </c>
      <c r="T353" s="32" t="s">
        <v>2517</v>
      </c>
      <c r="V353" t="s">
        <v>3287</v>
      </c>
      <c r="AA353" t="s">
        <v>1523</v>
      </c>
    </row>
    <row r="354" spans="2:27" ht="13.5">
      <c r="B354" s="7" t="s">
        <v>1776</v>
      </c>
      <c r="C354" s="18" t="s">
        <v>450</v>
      </c>
      <c r="D354" s="32" t="s">
        <v>533</v>
      </c>
      <c r="T354" s="32" t="s">
        <v>2518</v>
      </c>
      <c r="V354" t="s">
        <v>3288</v>
      </c>
      <c r="AA354" t="s">
        <v>2575</v>
      </c>
    </row>
    <row r="355" spans="2:27" ht="13.5">
      <c r="B355" s="7" t="s">
        <v>1529</v>
      </c>
      <c r="C355" s="18" t="s">
        <v>451</v>
      </c>
      <c r="D355" s="32" t="s">
        <v>534</v>
      </c>
      <c r="T355" s="32" t="s">
        <v>2519</v>
      </c>
      <c r="V355" t="s">
        <v>3289</v>
      </c>
      <c r="AA355" t="s">
        <v>4073</v>
      </c>
    </row>
    <row r="356" spans="2:27" ht="13.5">
      <c r="B356" s="7" t="s">
        <v>1530</v>
      </c>
      <c r="C356" s="18" t="s">
        <v>452</v>
      </c>
      <c r="D356" s="32" t="s">
        <v>36</v>
      </c>
      <c r="T356" s="32" t="s">
        <v>2520</v>
      </c>
      <c r="V356" t="s">
        <v>3290</v>
      </c>
      <c r="AA356" t="s">
        <v>1527</v>
      </c>
    </row>
    <row r="357" spans="2:27" ht="13.5">
      <c r="B357" s="7" t="s">
        <v>1608</v>
      </c>
      <c r="C357" s="18" t="s">
        <v>453</v>
      </c>
      <c r="D357" s="32" t="s">
        <v>37</v>
      </c>
      <c r="T357" s="32" t="s">
        <v>2521</v>
      </c>
      <c r="V357" t="s">
        <v>1540</v>
      </c>
      <c r="AA357" t="s">
        <v>1725</v>
      </c>
    </row>
    <row r="358" spans="2:27" ht="13.5">
      <c r="B358" s="7" t="s">
        <v>1487</v>
      </c>
      <c r="C358" s="18" t="s">
        <v>117</v>
      </c>
      <c r="D358" s="32" t="s">
        <v>810</v>
      </c>
      <c r="T358" s="32" t="s">
        <v>2522</v>
      </c>
      <c r="V358" t="s">
        <v>1541</v>
      </c>
      <c r="AA358" t="s">
        <v>1926</v>
      </c>
    </row>
    <row r="359" spans="2:27" ht="13.5">
      <c r="B359" s="7" t="s">
        <v>1488</v>
      </c>
      <c r="C359" s="18" t="s">
        <v>118</v>
      </c>
      <c r="D359" s="32" t="s">
        <v>811</v>
      </c>
      <c r="T359" s="32" t="s">
        <v>2523</v>
      </c>
      <c r="V359" t="s">
        <v>1539</v>
      </c>
      <c r="AA359" t="s">
        <v>1769</v>
      </c>
    </row>
    <row r="360" spans="2:27" ht="13.5">
      <c r="B360" s="7" t="s">
        <v>1489</v>
      </c>
      <c r="C360" s="18" t="s">
        <v>454</v>
      </c>
      <c r="D360" s="32" t="s">
        <v>812</v>
      </c>
      <c r="T360" s="32" t="s">
        <v>2524</v>
      </c>
      <c r="V360" t="s">
        <v>1538</v>
      </c>
      <c r="AA360" t="s">
        <v>2595</v>
      </c>
    </row>
    <row r="361" spans="2:27" ht="13.5">
      <c r="B361" s="7" t="s">
        <v>1490</v>
      </c>
      <c r="C361" s="18" t="s">
        <v>455</v>
      </c>
      <c r="D361" s="32" t="s">
        <v>813</v>
      </c>
      <c r="T361" s="32" t="s">
        <v>2525</v>
      </c>
      <c r="V361" t="s">
        <v>1537</v>
      </c>
      <c r="AA361" t="s">
        <v>2596</v>
      </c>
    </row>
    <row r="362" spans="2:27" ht="13.5">
      <c r="B362" s="7" t="s">
        <v>1491</v>
      </c>
      <c r="C362" s="18" t="s">
        <v>456</v>
      </c>
      <c r="D362" s="32" t="s">
        <v>694</v>
      </c>
      <c r="T362" s="32" t="s">
        <v>2526</v>
      </c>
      <c r="V362" t="s">
        <v>1526</v>
      </c>
      <c r="AA362" t="s">
        <v>1770</v>
      </c>
    </row>
    <row r="363" spans="2:27" ht="13.5">
      <c r="B363" s="7" t="s">
        <v>1492</v>
      </c>
      <c r="C363" s="18" t="s">
        <v>457</v>
      </c>
      <c r="D363" s="32" t="s">
        <v>814</v>
      </c>
      <c r="T363" s="32" t="s">
        <v>2527</v>
      </c>
      <c r="V363" t="s">
        <v>3291</v>
      </c>
      <c r="AA363" t="s">
        <v>4074</v>
      </c>
    </row>
    <row r="364" spans="2:27" ht="13.5">
      <c r="B364" s="7" t="s">
        <v>1493</v>
      </c>
      <c r="C364" s="18" t="s">
        <v>458</v>
      </c>
      <c r="D364" s="32" t="s">
        <v>815</v>
      </c>
      <c r="T364" s="32" t="s">
        <v>2528</v>
      </c>
      <c r="V364" t="s">
        <v>1576</v>
      </c>
      <c r="AA364" t="s">
        <v>2597</v>
      </c>
    </row>
    <row r="365" spans="2:27" ht="13.5">
      <c r="B365" s="7" t="s">
        <v>1494</v>
      </c>
      <c r="C365" s="18" t="s">
        <v>119</v>
      </c>
      <c r="D365" s="32" t="s">
        <v>816</v>
      </c>
      <c r="T365" s="32" t="s">
        <v>2529</v>
      </c>
      <c r="V365" t="s">
        <v>1578</v>
      </c>
      <c r="AA365" t="s">
        <v>1733</v>
      </c>
    </row>
    <row r="366" spans="2:27" ht="13.5">
      <c r="B366" s="7" t="s">
        <v>1495</v>
      </c>
      <c r="C366" s="18" t="s">
        <v>120</v>
      </c>
      <c r="D366" s="32" t="s">
        <v>695</v>
      </c>
      <c r="T366" s="32" t="s">
        <v>2530</v>
      </c>
      <c r="V366" t="s">
        <v>2475</v>
      </c>
      <c r="AA366" t="s">
        <v>1528</v>
      </c>
    </row>
    <row r="367" spans="2:27" ht="13.5">
      <c r="B367" s="7" t="s">
        <v>1496</v>
      </c>
      <c r="C367" s="18" t="s">
        <v>512</v>
      </c>
      <c r="D367" s="32" t="s">
        <v>127</v>
      </c>
      <c r="T367" s="32" t="s">
        <v>2531</v>
      </c>
      <c r="V367" t="s">
        <v>1579</v>
      </c>
      <c r="AA367" t="s">
        <v>1928</v>
      </c>
    </row>
    <row r="368" spans="2:27" ht="13.5">
      <c r="B368" s="7" t="s">
        <v>1497</v>
      </c>
      <c r="C368" s="18" t="s">
        <v>52</v>
      </c>
      <c r="D368" s="32" t="s">
        <v>128</v>
      </c>
      <c r="T368" s="32" t="s">
        <v>2532</v>
      </c>
      <c r="V368" t="s">
        <v>1948</v>
      </c>
      <c r="AA368" t="s">
        <v>2949</v>
      </c>
    </row>
    <row r="369" spans="2:27" ht="13.5">
      <c r="B369" s="7" t="s">
        <v>1498</v>
      </c>
      <c r="C369" s="18" t="s">
        <v>459</v>
      </c>
      <c r="D369" s="32" t="s">
        <v>817</v>
      </c>
      <c r="T369" s="32" t="s">
        <v>2533</v>
      </c>
      <c r="V369" t="s">
        <v>3292</v>
      </c>
      <c r="AA369" t="s">
        <v>1771</v>
      </c>
    </row>
    <row r="370" spans="2:27" ht="13.5">
      <c r="B370" s="7" t="s">
        <v>1499</v>
      </c>
      <c r="C370" s="18" t="s">
        <v>460</v>
      </c>
      <c r="D370" s="32" t="s">
        <v>696</v>
      </c>
      <c r="T370" s="32" t="s">
        <v>2534</v>
      </c>
      <c r="V370" t="s">
        <v>3293</v>
      </c>
      <c r="AA370" t="s">
        <v>1772</v>
      </c>
    </row>
    <row r="371" spans="2:27" ht="13.5">
      <c r="B371" s="7" t="s">
        <v>1500</v>
      </c>
      <c r="C371" s="18" t="s">
        <v>461</v>
      </c>
      <c r="D371" s="32" t="s">
        <v>818</v>
      </c>
      <c r="T371" s="32" t="s">
        <v>2535</v>
      </c>
      <c r="V371" t="s">
        <v>3294</v>
      </c>
      <c r="AA371" t="s">
        <v>4075</v>
      </c>
    </row>
    <row r="372" spans="2:27" ht="13.5">
      <c r="B372" s="7" t="s">
        <v>1501</v>
      </c>
      <c r="C372" s="18" t="s">
        <v>462</v>
      </c>
      <c r="D372" s="32" t="s">
        <v>819</v>
      </c>
      <c r="T372" s="32" t="s">
        <v>2536</v>
      </c>
      <c r="V372" t="s">
        <v>3295</v>
      </c>
      <c r="AA372" t="s">
        <v>1517</v>
      </c>
    </row>
    <row r="373" spans="2:27" ht="13.5">
      <c r="B373" s="7" t="s">
        <v>1502</v>
      </c>
      <c r="C373" s="18" t="s">
        <v>463</v>
      </c>
      <c r="D373" s="32" t="s">
        <v>820</v>
      </c>
      <c r="T373" s="32" t="s">
        <v>2537</v>
      </c>
      <c r="V373" t="s">
        <v>3296</v>
      </c>
      <c r="AA373" t="s">
        <v>1521</v>
      </c>
    </row>
    <row r="374" spans="2:27" ht="13.5">
      <c r="B374" s="7" t="s">
        <v>1503</v>
      </c>
      <c r="C374" s="18" t="s">
        <v>464</v>
      </c>
      <c r="D374" s="32" t="s">
        <v>821</v>
      </c>
      <c r="T374" s="32" t="s">
        <v>2538</v>
      </c>
      <c r="V374" t="s">
        <v>3297</v>
      </c>
      <c r="AA374" t="s">
        <v>1518</v>
      </c>
    </row>
    <row r="375" spans="2:27" ht="13.5">
      <c r="B375" s="7" t="s">
        <v>1504</v>
      </c>
      <c r="C375" s="18" t="s">
        <v>465</v>
      </c>
      <c r="D375" s="32" t="s">
        <v>822</v>
      </c>
      <c r="T375" s="32" t="s">
        <v>1765</v>
      </c>
      <c r="V375" t="s">
        <v>3298</v>
      </c>
      <c r="AA375" t="s">
        <v>1519</v>
      </c>
    </row>
    <row r="376" spans="2:27" ht="13.5">
      <c r="B376" s="7" t="s">
        <v>1505</v>
      </c>
      <c r="C376" s="18" t="s">
        <v>513</v>
      </c>
      <c r="D376" s="32" t="s">
        <v>535</v>
      </c>
      <c r="T376" s="32" t="s">
        <v>1766</v>
      </c>
      <c r="V376" t="s">
        <v>1581</v>
      </c>
      <c r="AA376" t="s">
        <v>1520</v>
      </c>
    </row>
    <row r="377" spans="2:27" ht="13.5">
      <c r="B377" s="7" t="s">
        <v>1506</v>
      </c>
      <c r="C377" s="18" t="s">
        <v>532</v>
      </c>
      <c r="D377" s="32" t="s">
        <v>697</v>
      </c>
      <c r="T377" s="32" t="s">
        <v>1767</v>
      </c>
      <c r="V377" t="s">
        <v>3299</v>
      </c>
      <c r="AA377" t="s">
        <v>1773</v>
      </c>
    </row>
    <row r="378" spans="2:27" ht="13.5">
      <c r="B378" s="7" t="s">
        <v>1750</v>
      </c>
      <c r="C378" s="18" t="s">
        <v>121</v>
      </c>
      <c r="D378" s="32" t="s">
        <v>823</v>
      </c>
      <c r="T378" s="32" t="s">
        <v>2539</v>
      </c>
      <c r="V378" t="s">
        <v>3300</v>
      </c>
      <c r="AA378" t="s">
        <v>4076</v>
      </c>
    </row>
    <row r="379" spans="2:27" ht="13.5">
      <c r="B379" s="7" t="s">
        <v>1751</v>
      </c>
      <c r="C379" s="18" t="s">
        <v>466</v>
      </c>
      <c r="D379" s="32" t="s">
        <v>824</v>
      </c>
      <c r="T379" s="32" t="s">
        <v>2540</v>
      </c>
      <c r="V379" t="s">
        <v>3301</v>
      </c>
      <c r="AA379" t="s">
        <v>4077</v>
      </c>
    </row>
    <row r="380" spans="2:27" ht="13.5">
      <c r="B380" s="7" t="s">
        <v>1752</v>
      </c>
      <c r="C380" s="18" t="s">
        <v>122</v>
      </c>
      <c r="D380" s="32" t="s">
        <v>825</v>
      </c>
      <c r="T380" s="32" t="s">
        <v>2541</v>
      </c>
      <c r="V380" t="s">
        <v>3302</v>
      </c>
      <c r="AA380" t="s">
        <v>4078</v>
      </c>
    </row>
    <row r="381" spans="2:27" ht="13.5">
      <c r="B381" s="7" t="s">
        <v>1753</v>
      </c>
      <c r="C381" s="18" t="s">
        <v>123</v>
      </c>
      <c r="D381" s="32" t="s">
        <v>698</v>
      </c>
      <c r="T381" s="32" t="s">
        <v>2542</v>
      </c>
      <c r="V381" t="s">
        <v>3303</v>
      </c>
      <c r="AA381" t="s">
        <v>4079</v>
      </c>
    </row>
    <row r="382" spans="2:27" ht="13.5">
      <c r="B382" s="7" t="s">
        <v>1777</v>
      </c>
      <c r="C382" s="18" t="s">
        <v>467</v>
      </c>
      <c r="D382" s="32" t="s">
        <v>514</v>
      </c>
      <c r="T382" s="32" t="s">
        <v>2543</v>
      </c>
      <c r="V382" t="s">
        <v>3304</v>
      </c>
      <c r="AA382" t="s">
        <v>4080</v>
      </c>
    </row>
    <row r="383" spans="2:27" ht="13.5">
      <c r="B383" s="7" t="s">
        <v>1609</v>
      </c>
      <c r="C383" s="18" t="s">
        <v>468</v>
      </c>
      <c r="D383" s="32" t="s">
        <v>515</v>
      </c>
      <c r="T383" s="32" t="s">
        <v>2544</v>
      </c>
      <c r="V383" t="s">
        <v>3305</v>
      </c>
      <c r="AA383" t="s">
        <v>4081</v>
      </c>
    </row>
    <row r="384" spans="2:27" ht="13.5">
      <c r="B384" s="7" t="s">
        <v>1754</v>
      </c>
      <c r="C384" s="18" t="s">
        <v>469</v>
      </c>
      <c r="D384" s="32" t="s">
        <v>516</v>
      </c>
      <c r="T384" s="32" t="s">
        <v>2545</v>
      </c>
      <c r="V384" t="s">
        <v>3306</v>
      </c>
      <c r="AA384" t="s">
        <v>4082</v>
      </c>
    </row>
    <row r="385" spans="2:27" ht="13.5">
      <c r="B385" s="7" t="s">
        <v>1755</v>
      </c>
      <c r="C385" s="18" t="s">
        <v>470</v>
      </c>
      <c r="D385" s="32" t="s">
        <v>517</v>
      </c>
      <c r="T385" s="32" t="s">
        <v>2546</v>
      </c>
      <c r="V385" t="s">
        <v>3307</v>
      </c>
      <c r="AA385" t="s">
        <v>4083</v>
      </c>
    </row>
    <row r="386" spans="2:27" ht="13.5">
      <c r="B386" s="7" t="s">
        <v>1756</v>
      </c>
      <c r="C386" s="18" t="s">
        <v>471</v>
      </c>
      <c r="D386" s="32" t="s">
        <v>518</v>
      </c>
      <c r="T386" s="32" t="s">
        <v>2547</v>
      </c>
      <c r="V386" t="s">
        <v>3308</v>
      </c>
      <c r="AA386" t="s">
        <v>4084</v>
      </c>
    </row>
    <row r="387" spans="2:27" ht="13.5">
      <c r="B387" s="7" t="s">
        <v>1757</v>
      </c>
      <c r="C387" s="18" t="s">
        <v>472</v>
      </c>
      <c r="D387" s="32" t="s">
        <v>519</v>
      </c>
      <c r="T387" s="32" t="s">
        <v>2548</v>
      </c>
      <c r="V387" t="s">
        <v>3309</v>
      </c>
      <c r="AA387" t="s">
        <v>4085</v>
      </c>
    </row>
    <row r="388" spans="2:27" ht="13.5">
      <c r="B388" s="7" t="s">
        <v>1758</v>
      </c>
      <c r="C388" s="18" t="s">
        <v>473</v>
      </c>
      <c r="D388" s="32" t="s">
        <v>520</v>
      </c>
      <c r="T388" s="32" t="s">
        <v>2549</v>
      </c>
      <c r="V388" t="s">
        <v>3310</v>
      </c>
      <c r="AA388" t="s">
        <v>4086</v>
      </c>
    </row>
    <row r="389" spans="2:27" ht="13.5">
      <c r="B389" s="7" t="s">
        <v>1759</v>
      </c>
      <c r="C389" s="18" t="s">
        <v>474</v>
      </c>
      <c r="D389" s="32" t="s">
        <v>699</v>
      </c>
      <c r="T389" s="32" t="s">
        <v>2550</v>
      </c>
      <c r="V389" t="s">
        <v>3311</v>
      </c>
      <c r="AA389" t="s">
        <v>4087</v>
      </c>
    </row>
    <row r="390" spans="2:27" ht="13.5">
      <c r="B390" s="7" t="s">
        <v>1760</v>
      </c>
      <c r="C390" s="18" t="s">
        <v>124</v>
      </c>
      <c r="D390" s="32" t="s">
        <v>826</v>
      </c>
      <c r="T390" s="32" t="s">
        <v>2551</v>
      </c>
      <c r="V390" t="s">
        <v>3312</v>
      </c>
      <c r="AA390" t="s">
        <v>4088</v>
      </c>
    </row>
    <row r="391" spans="2:27" ht="13.5">
      <c r="B391" s="7" t="s">
        <v>1610</v>
      </c>
      <c r="C391" s="18" t="s">
        <v>475</v>
      </c>
      <c r="D391" s="32" t="s">
        <v>827</v>
      </c>
      <c r="T391" s="32" t="s">
        <v>2552</v>
      </c>
      <c r="V391" t="s">
        <v>3313</v>
      </c>
      <c r="AA391" t="s">
        <v>4089</v>
      </c>
    </row>
    <row r="392" spans="2:27" ht="13.5">
      <c r="B392" s="7" t="s">
        <v>1611</v>
      </c>
      <c r="C392" s="18" t="s">
        <v>476</v>
      </c>
      <c r="D392" s="32" t="s">
        <v>828</v>
      </c>
      <c r="T392" s="32" t="s">
        <v>2553</v>
      </c>
      <c r="V392" t="s">
        <v>3314</v>
      </c>
      <c r="AA392" t="s">
        <v>4090</v>
      </c>
    </row>
    <row r="393" spans="2:27" ht="13.5">
      <c r="B393" s="7" t="s">
        <v>1761</v>
      </c>
      <c r="C393" s="18" t="s">
        <v>125</v>
      </c>
      <c r="D393" s="32" t="s">
        <v>700</v>
      </c>
      <c r="T393" s="32" t="s">
        <v>2554</v>
      </c>
      <c r="V393" t="s">
        <v>3315</v>
      </c>
      <c r="AA393" t="s">
        <v>4091</v>
      </c>
    </row>
    <row r="394" spans="2:27" ht="13.5">
      <c r="B394" s="7" t="s">
        <v>1762</v>
      </c>
      <c r="C394" s="18" t="s">
        <v>477</v>
      </c>
      <c r="D394" s="32" t="s">
        <v>701</v>
      </c>
      <c r="T394" s="32" t="s">
        <v>2555</v>
      </c>
      <c r="V394" t="s">
        <v>3316</v>
      </c>
      <c r="AA394" t="s">
        <v>4092</v>
      </c>
    </row>
    <row r="395" spans="2:27" ht="13.5">
      <c r="B395" s="7" t="s">
        <v>1612</v>
      </c>
      <c r="C395" s="18" t="s">
        <v>478</v>
      </c>
      <c r="D395" s="32" t="s">
        <v>829</v>
      </c>
      <c r="T395" s="32" t="s">
        <v>2556</v>
      </c>
      <c r="V395" t="s">
        <v>1533</v>
      </c>
      <c r="AA395" t="s">
        <v>4093</v>
      </c>
    </row>
    <row r="396" spans="2:27" ht="13.5">
      <c r="B396" s="7" t="s">
        <v>1613</v>
      </c>
      <c r="C396" s="18" t="s">
        <v>126</v>
      </c>
      <c r="D396" s="32" t="s">
        <v>830</v>
      </c>
      <c r="T396" s="32" t="s">
        <v>2557</v>
      </c>
      <c r="V396" t="s">
        <v>2570</v>
      </c>
      <c r="AA396" t="s">
        <v>4094</v>
      </c>
    </row>
    <row r="397" spans="2:27" ht="13.5">
      <c r="B397" s="7" t="s">
        <v>1614</v>
      </c>
      <c r="C397" s="18" t="s">
        <v>479</v>
      </c>
      <c r="D397" s="32" t="s">
        <v>702</v>
      </c>
      <c r="T397" s="32" t="s">
        <v>2558</v>
      </c>
      <c r="V397" t="s">
        <v>1927</v>
      </c>
      <c r="AA397" t="s">
        <v>4095</v>
      </c>
    </row>
    <row r="398" spans="2:27" ht="13.5">
      <c r="B398" s="7" t="s">
        <v>1615</v>
      </c>
      <c r="C398" s="18" t="s">
        <v>480</v>
      </c>
      <c r="D398" s="32" t="s">
        <v>831</v>
      </c>
      <c r="T398" s="32" t="s">
        <v>2559</v>
      </c>
      <c r="V398" t="s">
        <v>1532</v>
      </c>
      <c r="AA398" t="s">
        <v>4096</v>
      </c>
    </row>
    <row r="399" spans="2:27" ht="13.5">
      <c r="B399" s="7" t="s">
        <v>1616</v>
      </c>
      <c r="C399" s="18" t="s">
        <v>533</v>
      </c>
      <c r="D399" s="32" t="s">
        <v>832</v>
      </c>
      <c r="T399" s="32" t="s">
        <v>2560</v>
      </c>
      <c r="V399" t="s">
        <v>2571</v>
      </c>
      <c r="AA399" t="s">
        <v>4097</v>
      </c>
    </row>
    <row r="400" spans="2:27" ht="13.5">
      <c r="B400" s="7" t="s">
        <v>1617</v>
      </c>
      <c r="C400" s="18" t="s">
        <v>481</v>
      </c>
      <c r="D400" s="32" t="s">
        <v>833</v>
      </c>
      <c r="T400" s="32" t="s">
        <v>2561</v>
      </c>
      <c r="V400" t="s">
        <v>1534</v>
      </c>
      <c r="AA400" t="s">
        <v>4098</v>
      </c>
    </row>
    <row r="401" spans="2:27" ht="13.5">
      <c r="B401" s="7" t="s">
        <v>1830</v>
      </c>
      <c r="C401" s="18" t="s">
        <v>482</v>
      </c>
      <c r="D401" s="32" t="s">
        <v>834</v>
      </c>
      <c r="T401" s="32" t="s">
        <v>2562</v>
      </c>
      <c r="V401" t="s">
        <v>2572</v>
      </c>
      <c r="AA401" t="s">
        <v>4099</v>
      </c>
    </row>
    <row r="402" spans="2:27" ht="13.5">
      <c r="B402" s="7" t="s">
        <v>1831</v>
      </c>
      <c r="C402" s="18" t="s">
        <v>483</v>
      </c>
      <c r="D402" s="32" t="s">
        <v>835</v>
      </c>
      <c r="T402" s="32" t="s">
        <v>2563</v>
      </c>
      <c r="V402" t="s">
        <v>1531</v>
      </c>
      <c r="AA402" t="s">
        <v>4100</v>
      </c>
    </row>
    <row r="403" spans="2:27" ht="13.5">
      <c r="B403" s="5" t="s">
        <v>1832</v>
      </c>
      <c r="C403" s="18" t="s">
        <v>534</v>
      </c>
      <c r="D403" s="32" t="s">
        <v>836</v>
      </c>
      <c r="T403" s="32" t="s">
        <v>2564</v>
      </c>
      <c r="V403" t="s">
        <v>2573</v>
      </c>
      <c r="AA403" t="s">
        <v>4101</v>
      </c>
    </row>
    <row r="404" spans="2:27" ht="13.5">
      <c r="B404" s="5" t="s">
        <v>1833</v>
      </c>
      <c r="C404" s="18" t="s">
        <v>36</v>
      </c>
      <c r="D404" s="32" t="s">
        <v>837</v>
      </c>
      <c r="T404" s="32" t="s">
        <v>2565</v>
      </c>
      <c r="V404" t="s">
        <v>1522</v>
      </c>
      <c r="AA404" t="s">
        <v>4102</v>
      </c>
    </row>
    <row r="405" spans="2:27" ht="13.5">
      <c r="B405" s="5" t="s">
        <v>1834</v>
      </c>
      <c r="C405" s="18" t="s">
        <v>37</v>
      </c>
      <c r="D405" s="32" t="s">
        <v>838</v>
      </c>
      <c r="T405" s="32" t="s">
        <v>2566</v>
      </c>
      <c r="V405" t="s">
        <v>2574</v>
      </c>
      <c r="AA405" t="s">
        <v>4103</v>
      </c>
    </row>
    <row r="406" spans="2:27" ht="13.5">
      <c r="B406" s="5" t="s">
        <v>1835</v>
      </c>
      <c r="C406" s="18" t="s">
        <v>484</v>
      </c>
      <c r="D406" s="32" t="s">
        <v>839</v>
      </c>
      <c r="T406" s="32" t="s">
        <v>2567</v>
      </c>
      <c r="V406" t="s">
        <v>1523</v>
      </c>
      <c r="AA406" t="s">
        <v>4104</v>
      </c>
    </row>
    <row r="407" spans="2:27" ht="13.5">
      <c r="B407" s="5" t="s">
        <v>1846</v>
      </c>
      <c r="C407" s="18" t="s">
        <v>485</v>
      </c>
      <c r="D407" s="32" t="s">
        <v>840</v>
      </c>
      <c r="T407" s="32" t="s">
        <v>2568</v>
      </c>
      <c r="V407" t="s">
        <v>2575</v>
      </c>
      <c r="AA407" t="s">
        <v>4105</v>
      </c>
    </row>
    <row r="408" spans="2:27" ht="13.5">
      <c r="B408" s="5" t="s">
        <v>1847</v>
      </c>
      <c r="C408" s="18" t="s">
        <v>486</v>
      </c>
      <c r="D408" s="32" t="s">
        <v>841</v>
      </c>
      <c r="T408" s="32" t="s">
        <v>2569</v>
      </c>
      <c r="V408" t="s">
        <v>3317</v>
      </c>
      <c r="AA408" t="s">
        <v>4106</v>
      </c>
    </row>
    <row r="409" spans="2:27" ht="13.5">
      <c r="C409" s="18" t="s">
        <v>487</v>
      </c>
      <c r="D409" s="32" t="s">
        <v>842</v>
      </c>
      <c r="T409" s="32" t="s">
        <v>1717</v>
      </c>
      <c r="V409" t="s">
        <v>1527</v>
      </c>
      <c r="AA409" t="s">
        <v>4107</v>
      </c>
    </row>
    <row r="410" spans="2:27" ht="13.5">
      <c r="C410" s="18" t="s">
        <v>488</v>
      </c>
      <c r="D410" s="32" t="s">
        <v>703</v>
      </c>
      <c r="T410" s="32" t="s">
        <v>1768</v>
      </c>
      <c r="V410" t="s">
        <v>1725</v>
      </c>
      <c r="AA410" t="s">
        <v>4108</v>
      </c>
    </row>
    <row r="411" spans="2:27" ht="13.5">
      <c r="C411" s="18" t="s">
        <v>157</v>
      </c>
      <c r="D411" s="32" t="s">
        <v>704</v>
      </c>
      <c r="T411" s="32" t="s">
        <v>1719</v>
      </c>
      <c r="V411" t="s">
        <v>1926</v>
      </c>
      <c r="AA411" t="s">
        <v>4109</v>
      </c>
    </row>
    <row r="412" spans="2:27" ht="15.5">
      <c r="C412" s="18" t="s">
        <v>158</v>
      </c>
      <c r="D412" s="33"/>
      <c r="T412" s="32" t="s">
        <v>1533</v>
      </c>
      <c r="V412" t="s">
        <v>3318</v>
      </c>
      <c r="AA412" t="s">
        <v>4110</v>
      </c>
    </row>
    <row r="413" spans="2:27" ht="13.5">
      <c r="C413" s="18" t="s">
        <v>159</v>
      </c>
      <c r="T413" s="32" t="s">
        <v>2570</v>
      </c>
      <c r="V413" t="s">
        <v>3319</v>
      </c>
      <c r="AA413" t="s">
        <v>4111</v>
      </c>
    </row>
    <row r="414" spans="2:27" ht="13.5">
      <c r="C414" s="18" t="s">
        <v>160</v>
      </c>
      <c r="T414" s="32" t="s">
        <v>1927</v>
      </c>
      <c r="V414" t="s">
        <v>3320</v>
      </c>
      <c r="AA414" t="s">
        <v>4112</v>
      </c>
    </row>
    <row r="415" spans="2:27" ht="13.5">
      <c r="C415" s="18" t="s">
        <v>161</v>
      </c>
      <c r="T415" s="32" t="s">
        <v>1532</v>
      </c>
      <c r="V415" t="s">
        <v>3321</v>
      </c>
      <c r="AA415" t="s">
        <v>4113</v>
      </c>
    </row>
    <row r="416" spans="2:27" ht="13.5">
      <c r="C416" s="18" t="s">
        <v>162</v>
      </c>
      <c r="T416" s="32" t="s">
        <v>2571</v>
      </c>
      <c r="V416" t="s">
        <v>3322</v>
      </c>
      <c r="AA416" t="s">
        <v>4114</v>
      </c>
    </row>
    <row r="417" spans="3:27" ht="13.5">
      <c r="C417" s="18" t="s">
        <v>163</v>
      </c>
      <c r="T417" s="32" t="s">
        <v>1534</v>
      </c>
      <c r="V417" t="s">
        <v>3323</v>
      </c>
      <c r="AA417" t="s">
        <v>4115</v>
      </c>
    </row>
    <row r="418" spans="3:27" ht="13.5">
      <c r="C418" s="18" t="s">
        <v>164</v>
      </c>
      <c r="T418" s="32" t="s">
        <v>2572</v>
      </c>
      <c r="V418" t="s">
        <v>3324</v>
      </c>
      <c r="AA418" t="s">
        <v>4116</v>
      </c>
    </row>
    <row r="419" spans="3:27" ht="13.5">
      <c r="C419" s="18" t="s">
        <v>165</v>
      </c>
      <c r="T419" s="32" t="s">
        <v>1531</v>
      </c>
      <c r="V419" t="s">
        <v>3325</v>
      </c>
      <c r="AA419" t="s">
        <v>4117</v>
      </c>
    </row>
    <row r="420" spans="3:27" ht="13.5">
      <c r="C420" s="18" t="s">
        <v>166</v>
      </c>
      <c r="T420" s="32" t="s">
        <v>2573</v>
      </c>
      <c r="V420" t="s">
        <v>3326</v>
      </c>
      <c r="AA420" t="s">
        <v>4118</v>
      </c>
    </row>
    <row r="421" spans="3:27" ht="13.5">
      <c r="C421" s="18" t="s">
        <v>167</v>
      </c>
      <c r="T421" s="32" t="s">
        <v>1522</v>
      </c>
      <c r="V421" t="s">
        <v>3327</v>
      </c>
      <c r="AA421" t="s">
        <v>4119</v>
      </c>
    </row>
    <row r="422" spans="3:27" ht="13.5">
      <c r="C422" s="18" t="s">
        <v>168</v>
      </c>
      <c r="T422" s="32" t="s">
        <v>2574</v>
      </c>
      <c r="V422" t="s">
        <v>3328</v>
      </c>
      <c r="AA422" t="s">
        <v>4120</v>
      </c>
    </row>
    <row r="423" spans="3:27" ht="13.5">
      <c r="C423" s="18" t="s">
        <v>169</v>
      </c>
      <c r="T423" s="32" t="s">
        <v>1523</v>
      </c>
      <c r="V423" t="s">
        <v>3329</v>
      </c>
      <c r="AA423" t="s">
        <v>4121</v>
      </c>
    </row>
    <row r="424" spans="3:27" ht="13.5">
      <c r="C424" s="18" t="s">
        <v>170</v>
      </c>
      <c r="T424" s="32" t="s">
        <v>2575</v>
      </c>
      <c r="V424" t="s">
        <v>3330</v>
      </c>
      <c r="AA424" t="s">
        <v>4122</v>
      </c>
    </row>
    <row r="425" spans="3:27" ht="13.5">
      <c r="C425" s="18" t="s">
        <v>171</v>
      </c>
      <c r="T425" s="32" t="s">
        <v>2576</v>
      </c>
      <c r="V425" t="s">
        <v>3331</v>
      </c>
      <c r="AA425" t="s">
        <v>4123</v>
      </c>
    </row>
    <row r="426" spans="3:27" ht="13.5">
      <c r="C426" s="18" t="s">
        <v>172</v>
      </c>
      <c r="T426" s="32" t="s">
        <v>2577</v>
      </c>
      <c r="V426" t="s">
        <v>3332</v>
      </c>
      <c r="AA426" t="s">
        <v>4124</v>
      </c>
    </row>
    <row r="427" spans="3:27" ht="13.5">
      <c r="C427" s="18" t="s">
        <v>173</v>
      </c>
      <c r="T427" s="32" t="s">
        <v>2578</v>
      </c>
      <c r="V427" t="s">
        <v>3333</v>
      </c>
      <c r="AA427" t="s">
        <v>4125</v>
      </c>
    </row>
    <row r="428" spans="3:27" ht="13.5">
      <c r="C428" s="18" t="s">
        <v>174</v>
      </c>
      <c r="T428" s="32" t="s">
        <v>2579</v>
      </c>
      <c r="V428" t="s">
        <v>3334</v>
      </c>
      <c r="AA428" t="s">
        <v>4126</v>
      </c>
    </row>
    <row r="429" spans="3:27" ht="13.5">
      <c r="C429" s="18" t="s">
        <v>175</v>
      </c>
      <c r="T429" s="32" t="s">
        <v>2580</v>
      </c>
      <c r="V429" t="s">
        <v>3335</v>
      </c>
      <c r="AA429" t="s">
        <v>4127</v>
      </c>
    </row>
    <row r="430" spans="3:27" ht="13.5">
      <c r="C430" s="18" t="s">
        <v>176</v>
      </c>
      <c r="T430" s="32" t="s">
        <v>1723</v>
      </c>
      <c r="V430" t="s">
        <v>3336</v>
      </c>
      <c r="AA430" t="s">
        <v>4128</v>
      </c>
    </row>
    <row r="431" spans="3:27" ht="13.5">
      <c r="C431" s="18" t="s">
        <v>489</v>
      </c>
      <c r="T431" s="32" t="s">
        <v>2581</v>
      </c>
      <c r="V431" t="s">
        <v>3337</v>
      </c>
      <c r="AA431" t="s">
        <v>4129</v>
      </c>
    </row>
    <row r="432" spans="3:27" ht="13.5">
      <c r="C432" s="18" t="s">
        <v>127</v>
      </c>
      <c r="T432" s="32" t="s">
        <v>2582</v>
      </c>
      <c r="V432" t="s">
        <v>3338</v>
      </c>
      <c r="AA432" t="s">
        <v>4130</v>
      </c>
    </row>
    <row r="433" spans="3:27" ht="13.5">
      <c r="C433" s="18" t="s">
        <v>128</v>
      </c>
      <c r="T433" s="32" t="s">
        <v>2583</v>
      </c>
      <c r="V433" t="s">
        <v>3339</v>
      </c>
      <c r="AA433" t="s">
        <v>4131</v>
      </c>
    </row>
    <row r="434" spans="3:27" ht="13.5">
      <c r="C434" s="18" t="s">
        <v>490</v>
      </c>
      <c r="T434" s="32" t="s">
        <v>2584</v>
      </c>
      <c r="V434" t="s">
        <v>3340</v>
      </c>
      <c r="AA434" t="s">
        <v>4132</v>
      </c>
    </row>
    <row r="435" spans="3:27" ht="13.5">
      <c r="C435" s="18" t="s">
        <v>129</v>
      </c>
      <c r="T435" s="32" t="s">
        <v>2585</v>
      </c>
      <c r="V435" t="s">
        <v>3341</v>
      </c>
      <c r="AA435" t="s">
        <v>4133</v>
      </c>
    </row>
    <row r="436" spans="3:27" ht="13.5">
      <c r="C436" s="18" t="s">
        <v>491</v>
      </c>
      <c r="T436" s="32" t="s">
        <v>1527</v>
      </c>
      <c r="V436" t="s">
        <v>3342</v>
      </c>
      <c r="AA436" t="s">
        <v>4134</v>
      </c>
    </row>
    <row r="437" spans="3:27" ht="13.5">
      <c r="C437" s="18" t="s">
        <v>492</v>
      </c>
      <c r="T437" s="32" t="s">
        <v>2586</v>
      </c>
      <c r="V437" t="s">
        <v>3343</v>
      </c>
      <c r="AA437" t="s">
        <v>4135</v>
      </c>
    </row>
    <row r="438" spans="3:27" ht="13.5">
      <c r="C438" s="18" t="s">
        <v>493</v>
      </c>
      <c r="T438" s="32" t="s">
        <v>1725</v>
      </c>
      <c r="V438" t="s">
        <v>3344</v>
      </c>
      <c r="AA438" t="s">
        <v>4136</v>
      </c>
    </row>
    <row r="439" spans="3:27" ht="13.5">
      <c r="C439" s="18" t="s">
        <v>494</v>
      </c>
      <c r="T439" s="32" t="s">
        <v>2587</v>
      </c>
      <c r="V439" t="s">
        <v>3345</v>
      </c>
      <c r="AA439" t="s">
        <v>4137</v>
      </c>
    </row>
    <row r="440" spans="3:27" ht="13.5">
      <c r="C440" s="18" t="s">
        <v>130</v>
      </c>
      <c r="T440" s="32" t="s">
        <v>2588</v>
      </c>
      <c r="V440" t="s">
        <v>3346</v>
      </c>
      <c r="AA440" t="s">
        <v>4138</v>
      </c>
    </row>
    <row r="441" spans="3:27" ht="13.5">
      <c r="C441" s="18" t="s">
        <v>131</v>
      </c>
      <c r="T441" s="32" t="s">
        <v>2589</v>
      </c>
      <c r="V441" t="s">
        <v>3347</v>
      </c>
      <c r="AA441" t="s">
        <v>4139</v>
      </c>
    </row>
    <row r="442" spans="3:27" ht="13.5">
      <c r="C442" s="18" t="s">
        <v>535</v>
      </c>
      <c r="T442" s="32" t="s">
        <v>2590</v>
      </c>
      <c r="V442" t="s">
        <v>3348</v>
      </c>
      <c r="AA442" t="s">
        <v>4140</v>
      </c>
    </row>
    <row r="443" spans="3:27" ht="13.5">
      <c r="C443" s="18" t="s">
        <v>495</v>
      </c>
      <c r="T443" s="32" t="s">
        <v>2591</v>
      </c>
      <c r="V443" t="s">
        <v>3349</v>
      </c>
      <c r="AA443" t="s">
        <v>4141</v>
      </c>
    </row>
    <row r="444" spans="3:27" ht="13.5">
      <c r="C444" s="18" t="s">
        <v>496</v>
      </c>
      <c r="T444" s="32" t="s">
        <v>1728</v>
      </c>
      <c r="V444" t="s">
        <v>3350</v>
      </c>
      <c r="AA444" t="s">
        <v>4142</v>
      </c>
    </row>
    <row r="445" spans="3:27" ht="13.5">
      <c r="C445" s="18" t="s">
        <v>497</v>
      </c>
      <c r="T445" s="32" t="s">
        <v>1769</v>
      </c>
      <c r="V445" t="s">
        <v>3351</v>
      </c>
      <c r="AA445" t="s">
        <v>4143</v>
      </c>
    </row>
    <row r="446" spans="3:27" ht="13.5">
      <c r="C446" s="18" t="s">
        <v>514</v>
      </c>
      <c r="T446" s="32" t="s">
        <v>1585</v>
      </c>
      <c r="V446" t="s">
        <v>3352</v>
      </c>
      <c r="AA446" t="s">
        <v>4144</v>
      </c>
    </row>
    <row r="447" spans="3:27" ht="13.5">
      <c r="C447" s="18" t="s">
        <v>515</v>
      </c>
      <c r="T447" s="32" t="s">
        <v>2592</v>
      </c>
      <c r="V447" t="s">
        <v>3353</v>
      </c>
      <c r="AA447" t="s">
        <v>4145</v>
      </c>
    </row>
    <row r="448" spans="3:27" ht="13.5">
      <c r="C448" s="18" t="s">
        <v>516</v>
      </c>
      <c r="T448" s="32" t="s">
        <v>2593</v>
      </c>
      <c r="V448" t="s">
        <v>3354</v>
      </c>
      <c r="AA448" t="s">
        <v>4146</v>
      </c>
    </row>
    <row r="449" spans="3:27" ht="13.5">
      <c r="C449" s="18" t="s">
        <v>517</v>
      </c>
      <c r="T449" s="32" t="s">
        <v>2594</v>
      </c>
      <c r="V449" t="s">
        <v>3355</v>
      </c>
      <c r="AA449" t="s">
        <v>4147</v>
      </c>
    </row>
    <row r="450" spans="3:27" ht="13.5">
      <c r="C450" s="18" t="s">
        <v>518</v>
      </c>
      <c r="T450" s="32" t="s">
        <v>2595</v>
      </c>
      <c r="V450" t="s">
        <v>3356</v>
      </c>
      <c r="AA450" t="s">
        <v>4148</v>
      </c>
    </row>
    <row r="451" spans="3:27" ht="13.5">
      <c r="C451" s="18" t="s">
        <v>519</v>
      </c>
      <c r="T451" s="32" t="s">
        <v>2596</v>
      </c>
      <c r="V451" t="s">
        <v>3357</v>
      </c>
      <c r="AA451" t="s">
        <v>4149</v>
      </c>
    </row>
    <row r="452" spans="3:27" ht="13.5">
      <c r="C452" s="18" t="s">
        <v>520</v>
      </c>
      <c r="T452" s="32" t="s">
        <v>1770</v>
      </c>
      <c r="V452" t="s">
        <v>3358</v>
      </c>
      <c r="AA452" t="s">
        <v>4150</v>
      </c>
    </row>
    <row r="453" spans="3:27" ht="13.5">
      <c r="C453" s="18" t="s">
        <v>498</v>
      </c>
      <c r="T453" s="32" t="s">
        <v>2597</v>
      </c>
      <c r="V453" t="s">
        <v>3359</v>
      </c>
      <c r="AA453" t="s">
        <v>4151</v>
      </c>
    </row>
    <row r="454" spans="3:27" ht="13.5">
      <c r="C454" s="18" t="s">
        <v>499</v>
      </c>
      <c r="T454" s="32" t="s">
        <v>1733</v>
      </c>
      <c r="V454" t="s">
        <v>3360</v>
      </c>
      <c r="AA454" t="s">
        <v>4152</v>
      </c>
    </row>
    <row r="455" spans="3:27" ht="13.5">
      <c r="C455" s="18" t="s">
        <v>500</v>
      </c>
      <c r="T455" s="32" t="s">
        <v>2598</v>
      </c>
      <c r="V455" t="s">
        <v>3361</v>
      </c>
      <c r="AA455" t="s">
        <v>4153</v>
      </c>
    </row>
    <row r="456" spans="3:27" ht="13.5">
      <c r="C456" s="18" t="s">
        <v>501</v>
      </c>
      <c r="T456" s="32" t="s">
        <v>2599</v>
      </c>
      <c r="V456" t="s">
        <v>3362</v>
      </c>
      <c r="AA456" t="s">
        <v>4154</v>
      </c>
    </row>
    <row r="457" spans="3:27" ht="13.5">
      <c r="C457" s="18" t="s">
        <v>502</v>
      </c>
      <c r="T457" s="32" t="s">
        <v>2600</v>
      </c>
      <c r="V457" t="s">
        <v>3363</v>
      </c>
      <c r="AA457" t="s">
        <v>4155</v>
      </c>
    </row>
    <row r="458" spans="3:27" ht="13.5">
      <c r="C458" s="18" t="s">
        <v>503</v>
      </c>
      <c r="T458" s="32" t="s">
        <v>2601</v>
      </c>
      <c r="V458" t="s">
        <v>3364</v>
      </c>
      <c r="AA458" t="s">
        <v>4156</v>
      </c>
    </row>
    <row r="459" spans="3:27" ht="13.5">
      <c r="C459" s="18" t="s">
        <v>504</v>
      </c>
      <c r="T459" s="32" t="s">
        <v>1528</v>
      </c>
      <c r="V459" t="s">
        <v>3365</v>
      </c>
      <c r="AA459" t="s">
        <v>4157</v>
      </c>
    </row>
    <row r="460" spans="3:27" ht="13.5">
      <c r="C460" s="18" t="s">
        <v>505</v>
      </c>
      <c r="T460" s="32" t="s">
        <v>1928</v>
      </c>
      <c r="V460" t="s">
        <v>3366</v>
      </c>
      <c r="AA460" t="s">
        <v>4158</v>
      </c>
    </row>
    <row r="461" spans="3:27" ht="13.5">
      <c r="C461" s="18" t="s">
        <v>506</v>
      </c>
      <c r="T461" s="32" t="s">
        <v>1771</v>
      </c>
      <c r="V461" t="s">
        <v>3367</v>
      </c>
      <c r="AA461" t="s">
        <v>4159</v>
      </c>
    </row>
    <row r="462" spans="3:27" ht="13.5">
      <c r="C462" s="18" t="s">
        <v>507</v>
      </c>
      <c r="T462" s="32" t="s">
        <v>1772</v>
      </c>
      <c r="V462" t="s">
        <v>3368</v>
      </c>
      <c r="AA462" t="s">
        <v>4160</v>
      </c>
    </row>
    <row r="463" spans="3:27" ht="13.5">
      <c r="C463" s="18" t="s">
        <v>132</v>
      </c>
      <c r="T463" s="32" t="s">
        <v>2602</v>
      </c>
      <c r="V463" t="s">
        <v>3369</v>
      </c>
      <c r="AA463" t="s">
        <v>4161</v>
      </c>
    </row>
    <row r="464" spans="3:27" ht="13.5">
      <c r="C464" s="18" t="s">
        <v>508</v>
      </c>
      <c r="T464" s="32" t="s">
        <v>2603</v>
      </c>
      <c r="V464" t="s">
        <v>3370</v>
      </c>
      <c r="AA464" t="s">
        <v>4162</v>
      </c>
    </row>
    <row r="465" spans="3:27" ht="13.5">
      <c r="C465" s="18" t="s">
        <v>509</v>
      </c>
      <c r="T465" s="32" t="s">
        <v>2604</v>
      </c>
      <c r="V465" t="s">
        <v>3371</v>
      </c>
      <c r="AA465" t="s">
        <v>4163</v>
      </c>
    </row>
    <row r="466" spans="3:27" ht="13.5">
      <c r="C466" s="18" t="s">
        <v>133</v>
      </c>
      <c r="T466" s="32" t="s">
        <v>2605</v>
      </c>
      <c r="V466" t="s">
        <v>3372</v>
      </c>
      <c r="AA466" t="s">
        <v>4164</v>
      </c>
    </row>
    <row r="467" spans="3:27" ht="13.5">
      <c r="C467" s="18" t="s">
        <v>134</v>
      </c>
      <c r="T467" s="32" t="s">
        <v>2606</v>
      </c>
      <c r="V467" t="s">
        <v>3373</v>
      </c>
      <c r="AA467" t="s">
        <v>4165</v>
      </c>
    </row>
    <row r="468" spans="3:27" ht="13.5">
      <c r="C468" s="18" t="s">
        <v>135</v>
      </c>
      <c r="T468" s="32" t="s">
        <v>2607</v>
      </c>
      <c r="V468" t="s">
        <v>3374</v>
      </c>
      <c r="AA468" t="s">
        <v>4166</v>
      </c>
    </row>
    <row r="469" spans="3:27" ht="13.5">
      <c r="C469" s="18" t="s">
        <v>136</v>
      </c>
      <c r="T469" s="32" t="s">
        <v>2608</v>
      </c>
      <c r="V469" t="s">
        <v>3375</v>
      </c>
      <c r="AA469" t="s">
        <v>4167</v>
      </c>
    </row>
    <row r="470" spans="3:27" ht="18" customHeight="1">
      <c r="C470" s="31" t="s">
        <v>587</v>
      </c>
      <c r="T470" s="32" t="s">
        <v>2609</v>
      </c>
      <c r="V470" t="s">
        <v>3376</v>
      </c>
      <c r="AA470" t="s">
        <v>4168</v>
      </c>
    </row>
    <row r="471" spans="3:27" ht="25.5">
      <c r="C471" s="31" t="s">
        <v>586</v>
      </c>
      <c r="T471" s="32" t="s">
        <v>2610</v>
      </c>
      <c r="V471" t="s">
        <v>3377</v>
      </c>
      <c r="AA471" t="s">
        <v>4169</v>
      </c>
    </row>
    <row r="472" spans="3:27" ht="25.5">
      <c r="C472" s="31" t="s">
        <v>585</v>
      </c>
      <c r="T472" s="32" t="s">
        <v>2611</v>
      </c>
      <c r="V472" t="s">
        <v>3378</v>
      </c>
      <c r="AA472" t="s">
        <v>4170</v>
      </c>
    </row>
    <row r="473" spans="3:27" ht="38">
      <c r="C473" s="31" t="s">
        <v>584</v>
      </c>
      <c r="T473" s="32" t="s">
        <v>2612</v>
      </c>
      <c r="V473" t="s">
        <v>3379</v>
      </c>
      <c r="AA473" t="s">
        <v>4171</v>
      </c>
    </row>
    <row r="474" spans="3:27" ht="38">
      <c r="C474" s="31" t="s">
        <v>583</v>
      </c>
      <c r="T474" s="32" t="s">
        <v>2613</v>
      </c>
      <c r="V474" t="s">
        <v>3380</v>
      </c>
      <c r="AA474" t="s">
        <v>4172</v>
      </c>
    </row>
    <row r="475" spans="3:27" ht="38">
      <c r="C475" s="31" t="s">
        <v>582</v>
      </c>
      <c r="T475" s="32" t="s">
        <v>2614</v>
      </c>
      <c r="V475" t="s">
        <v>3381</v>
      </c>
      <c r="AA475" t="s">
        <v>4173</v>
      </c>
    </row>
    <row r="476" spans="3:27" ht="38">
      <c r="C476" s="31" t="s">
        <v>581</v>
      </c>
      <c r="T476" s="32" t="s">
        <v>2615</v>
      </c>
      <c r="V476" t="s">
        <v>3382</v>
      </c>
      <c r="AA476" t="s">
        <v>4174</v>
      </c>
    </row>
    <row r="477" spans="3:27" ht="38">
      <c r="C477" s="31" t="s">
        <v>580</v>
      </c>
      <c r="T477" s="32" t="s">
        <v>2616</v>
      </c>
      <c r="V477" t="s">
        <v>3383</v>
      </c>
      <c r="AA477" t="s">
        <v>4175</v>
      </c>
    </row>
    <row r="478" spans="3:27" ht="25.5">
      <c r="C478" s="31" t="s">
        <v>579</v>
      </c>
      <c r="T478" s="32" t="s">
        <v>2617</v>
      </c>
      <c r="V478" t="s">
        <v>3384</v>
      </c>
      <c r="AA478" t="s">
        <v>4176</v>
      </c>
    </row>
    <row r="479" spans="3:27" ht="25.5">
      <c r="C479" s="31" t="s">
        <v>578</v>
      </c>
      <c r="T479" s="32" t="s">
        <v>2618</v>
      </c>
      <c r="V479" t="s">
        <v>3385</v>
      </c>
      <c r="AA479" t="s">
        <v>4177</v>
      </c>
    </row>
    <row r="480" spans="3:27" ht="25.5">
      <c r="C480" s="31" t="s">
        <v>577</v>
      </c>
      <c r="T480" s="32" t="s">
        <v>2619</v>
      </c>
      <c r="V480" t="s">
        <v>3386</v>
      </c>
      <c r="AA480" t="s">
        <v>4178</v>
      </c>
    </row>
    <row r="481" spans="3:27" ht="38">
      <c r="C481" s="31" t="s">
        <v>576</v>
      </c>
      <c r="T481" s="32" t="s">
        <v>2620</v>
      </c>
      <c r="V481" t="s">
        <v>3387</v>
      </c>
      <c r="AA481" t="s">
        <v>4179</v>
      </c>
    </row>
    <row r="482" spans="3:27" ht="25.5">
      <c r="C482" s="31" t="s">
        <v>575</v>
      </c>
      <c r="T482" s="32" t="s">
        <v>2621</v>
      </c>
      <c r="V482" t="s">
        <v>3388</v>
      </c>
      <c r="AA482" t="s">
        <v>4180</v>
      </c>
    </row>
    <row r="483" spans="3:27" ht="25.5">
      <c r="C483" s="31" t="s">
        <v>574</v>
      </c>
      <c r="T483" s="32" t="s">
        <v>2622</v>
      </c>
      <c r="V483" t="s">
        <v>3389</v>
      </c>
      <c r="AA483" t="s">
        <v>4181</v>
      </c>
    </row>
    <row r="484" spans="3:27" ht="25.5">
      <c r="C484" s="31" t="s">
        <v>573</v>
      </c>
      <c r="T484" s="32" t="s">
        <v>2623</v>
      </c>
      <c r="V484" t="s">
        <v>3390</v>
      </c>
      <c r="AA484" t="s">
        <v>4182</v>
      </c>
    </row>
    <row r="485" spans="3:27" ht="25.5">
      <c r="C485" s="31" t="s">
        <v>572</v>
      </c>
      <c r="T485" s="32" t="s">
        <v>2624</v>
      </c>
      <c r="V485" t="s">
        <v>3391</v>
      </c>
      <c r="AA485" t="s">
        <v>4183</v>
      </c>
    </row>
    <row r="486" spans="3:27" ht="13.5">
      <c r="T486" s="32" t="s">
        <v>2625</v>
      </c>
      <c r="V486" t="s">
        <v>3392</v>
      </c>
      <c r="AA486" t="s">
        <v>4184</v>
      </c>
    </row>
    <row r="487" spans="3:27" ht="13.5">
      <c r="T487" s="32" t="s">
        <v>2626</v>
      </c>
      <c r="V487" t="s">
        <v>3393</v>
      </c>
      <c r="AA487" t="s">
        <v>4185</v>
      </c>
    </row>
    <row r="488" spans="3:27" ht="13.5">
      <c r="T488" s="32" t="s">
        <v>2627</v>
      </c>
      <c r="V488" t="s">
        <v>3394</v>
      </c>
      <c r="AA488" t="s">
        <v>4186</v>
      </c>
    </row>
    <row r="489" spans="3:27" ht="13.5">
      <c r="T489" s="32" t="s">
        <v>2628</v>
      </c>
      <c r="V489" t="s">
        <v>3395</v>
      </c>
      <c r="AA489" t="s">
        <v>4187</v>
      </c>
    </row>
    <row r="490" spans="3:27" ht="13.5">
      <c r="T490" s="32" t="s">
        <v>2629</v>
      </c>
      <c r="V490" t="s">
        <v>3396</v>
      </c>
      <c r="AA490" t="s">
        <v>4188</v>
      </c>
    </row>
    <row r="491" spans="3:27" ht="13.5">
      <c r="T491" s="32" t="s">
        <v>2630</v>
      </c>
      <c r="V491" t="s">
        <v>3397</v>
      </c>
      <c r="AA491" t="s">
        <v>4189</v>
      </c>
    </row>
    <row r="492" spans="3:27" ht="13.5">
      <c r="T492" s="32" t="s">
        <v>2631</v>
      </c>
      <c r="V492" t="s">
        <v>3398</v>
      </c>
      <c r="AA492" t="s">
        <v>4190</v>
      </c>
    </row>
    <row r="493" spans="3:27" ht="13.5">
      <c r="T493" s="32" t="s">
        <v>2632</v>
      </c>
      <c r="V493" t="s">
        <v>3399</v>
      </c>
      <c r="AA493" t="s">
        <v>4191</v>
      </c>
    </row>
    <row r="494" spans="3:27" ht="13.5">
      <c r="T494" s="32" t="s">
        <v>2633</v>
      </c>
      <c r="V494" t="s">
        <v>3400</v>
      </c>
      <c r="AA494" t="s">
        <v>4192</v>
      </c>
    </row>
    <row r="495" spans="3:27" ht="13.5">
      <c r="T495" s="32" t="s">
        <v>2634</v>
      </c>
      <c r="V495" t="s">
        <v>3401</v>
      </c>
      <c r="AA495" t="s">
        <v>4193</v>
      </c>
    </row>
    <row r="496" spans="3:27" ht="13.5">
      <c r="T496" s="32" t="s">
        <v>2635</v>
      </c>
      <c r="V496" t="s">
        <v>3402</v>
      </c>
      <c r="AA496" t="s">
        <v>4194</v>
      </c>
    </row>
    <row r="497" spans="20:27" ht="13.5">
      <c r="T497" s="32" t="s">
        <v>2636</v>
      </c>
      <c r="V497" t="s">
        <v>3403</v>
      </c>
      <c r="AA497" t="s">
        <v>4195</v>
      </c>
    </row>
    <row r="498" spans="20:27" ht="13.5">
      <c r="T498" s="32" t="s">
        <v>2637</v>
      </c>
      <c r="V498" t="s">
        <v>3404</v>
      </c>
      <c r="AA498" t="s">
        <v>4196</v>
      </c>
    </row>
    <row r="499" spans="20:27" ht="13.5">
      <c r="T499" s="32" t="s">
        <v>2638</v>
      </c>
      <c r="V499" t="s">
        <v>3405</v>
      </c>
      <c r="AA499" t="s">
        <v>4197</v>
      </c>
    </row>
    <row r="500" spans="20:27" ht="13.5">
      <c r="T500" s="32" t="s">
        <v>2639</v>
      </c>
      <c r="V500" t="s">
        <v>3406</v>
      </c>
      <c r="AA500" t="s">
        <v>4198</v>
      </c>
    </row>
    <row r="501" spans="20:27" ht="13.5">
      <c r="T501" s="32" t="s">
        <v>2640</v>
      </c>
      <c r="V501" t="s">
        <v>3407</v>
      </c>
      <c r="AA501" t="s">
        <v>4199</v>
      </c>
    </row>
    <row r="502" spans="20:27" ht="13.5">
      <c r="T502" s="32" t="s">
        <v>2641</v>
      </c>
      <c r="V502" t="s">
        <v>3408</v>
      </c>
      <c r="AA502" t="s">
        <v>4200</v>
      </c>
    </row>
    <row r="503" spans="20:27" ht="13.5">
      <c r="T503" s="32" t="s">
        <v>2642</v>
      </c>
      <c r="V503" t="s">
        <v>3409</v>
      </c>
      <c r="AA503" t="s">
        <v>4201</v>
      </c>
    </row>
    <row r="504" spans="20:27" ht="13.5">
      <c r="T504" s="32" t="s">
        <v>2643</v>
      </c>
      <c r="V504" t="s">
        <v>3410</v>
      </c>
      <c r="AA504" t="s">
        <v>4202</v>
      </c>
    </row>
    <row r="505" spans="20:27" ht="13.5">
      <c r="T505" s="32" t="s">
        <v>2644</v>
      </c>
      <c r="V505" t="s">
        <v>3411</v>
      </c>
      <c r="AA505" t="s">
        <v>4203</v>
      </c>
    </row>
    <row r="506" spans="20:27" ht="13.5">
      <c r="T506" s="32" t="s">
        <v>2645</v>
      </c>
      <c r="V506" t="s">
        <v>3412</v>
      </c>
      <c r="AA506" t="s">
        <v>4204</v>
      </c>
    </row>
    <row r="507" spans="20:27" ht="13.5">
      <c r="T507" s="32" t="s">
        <v>2646</v>
      </c>
      <c r="V507" t="s">
        <v>3413</v>
      </c>
      <c r="AA507" t="s">
        <v>3707</v>
      </c>
    </row>
    <row r="508" spans="20:27" ht="13.5">
      <c r="T508" s="32" t="s">
        <v>2647</v>
      </c>
      <c r="V508" t="s">
        <v>3414</v>
      </c>
      <c r="AA508" t="s">
        <v>1735</v>
      </c>
    </row>
    <row r="509" spans="20:27" ht="13.5">
      <c r="T509" s="32" t="s">
        <v>2648</v>
      </c>
      <c r="V509" t="s">
        <v>3415</v>
      </c>
      <c r="AA509" t="s">
        <v>1929</v>
      </c>
    </row>
    <row r="510" spans="20:27" ht="13.5">
      <c r="T510" s="32" t="s">
        <v>2649</v>
      </c>
      <c r="V510" t="s">
        <v>3416</v>
      </c>
      <c r="AA510" t="s">
        <v>4205</v>
      </c>
    </row>
    <row r="511" spans="20:27" ht="13.5">
      <c r="T511" s="32" t="s">
        <v>2650</v>
      </c>
      <c r="V511" t="s">
        <v>3417</v>
      </c>
      <c r="AA511" t="s">
        <v>4206</v>
      </c>
    </row>
    <row r="512" spans="20:27" ht="13.5">
      <c r="T512" s="32" t="s">
        <v>2651</v>
      </c>
      <c r="V512" t="s">
        <v>3418</v>
      </c>
      <c r="AA512" t="s">
        <v>4207</v>
      </c>
    </row>
    <row r="513" spans="20:27" ht="13.5">
      <c r="T513" s="32" t="s">
        <v>2652</v>
      </c>
      <c r="V513" t="s">
        <v>3419</v>
      </c>
      <c r="AA513" t="s">
        <v>4208</v>
      </c>
    </row>
    <row r="514" spans="20:27" ht="13.5">
      <c r="T514" s="32" t="s">
        <v>2653</v>
      </c>
      <c r="V514" t="s">
        <v>3420</v>
      </c>
      <c r="AA514" t="s">
        <v>4209</v>
      </c>
    </row>
    <row r="515" spans="20:27" ht="13.5">
      <c r="T515" s="32" t="s">
        <v>2654</v>
      </c>
      <c r="V515" t="s">
        <v>3421</v>
      </c>
      <c r="AA515" t="s">
        <v>4210</v>
      </c>
    </row>
    <row r="516" spans="20:27" ht="13.5">
      <c r="T516" s="32" t="s">
        <v>2655</v>
      </c>
      <c r="V516" t="s">
        <v>3422</v>
      </c>
      <c r="AA516" t="s">
        <v>4211</v>
      </c>
    </row>
    <row r="517" spans="20:27" ht="13.5">
      <c r="T517" s="32" t="s">
        <v>2656</v>
      </c>
      <c r="V517" t="s">
        <v>3423</v>
      </c>
      <c r="AA517" t="s">
        <v>4212</v>
      </c>
    </row>
    <row r="518" spans="20:27" ht="13.5">
      <c r="T518" s="32" t="s">
        <v>2657</v>
      </c>
      <c r="V518" t="s">
        <v>3424</v>
      </c>
      <c r="AA518" t="s">
        <v>1736</v>
      </c>
    </row>
    <row r="519" spans="20:27" ht="13.5">
      <c r="T519" s="32" t="s">
        <v>2658</v>
      </c>
      <c r="V519" t="s">
        <v>3425</v>
      </c>
      <c r="AA519" t="s">
        <v>1737</v>
      </c>
    </row>
    <row r="520" spans="20:27" ht="13.5">
      <c r="T520" s="32" t="s">
        <v>2659</v>
      </c>
      <c r="V520" t="s">
        <v>3426</v>
      </c>
      <c r="AA520" t="s">
        <v>1774</v>
      </c>
    </row>
    <row r="521" spans="20:27" ht="13.5">
      <c r="T521" s="32" t="s">
        <v>2660</v>
      </c>
      <c r="V521" t="s">
        <v>3427</v>
      </c>
      <c r="AA521" t="s">
        <v>4213</v>
      </c>
    </row>
    <row r="522" spans="20:27" ht="13.5">
      <c r="T522" s="32" t="s">
        <v>2661</v>
      </c>
      <c r="V522" t="s">
        <v>3428</v>
      </c>
      <c r="AA522" t="s">
        <v>1510</v>
      </c>
    </row>
    <row r="523" spans="20:27" ht="13.5">
      <c r="T523" s="32" t="s">
        <v>2662</v>
      </c>
      <c r="V523" t="s">
        <v>3429</v>
      </c>
      <c r="AA523" t="s">
        <v>4214</v>
      </c>
    </row>
    <row r="524" spans="20:27" ht="13.5">
      <c r="T524" s="32" t="s">
        <v>2663</v>
      </c>
      <c r="V524" t="s">
        <v>3430</v>
      </c>
      <c r="AA524" t="s">
        <v>4215</v>
      </c>
    </row>
    <row r="525" spans="20:27" ht="13.5">
      <c r="T525" s="32" t="s">
        <v>2664</v>
      </c>
      <c r="V525" t="s">
        <v>3431</v>
      </c>
      <c r="AA525" t="s">
        <v>4216</v>
      </c>
    </row>
    <row r="526" spans="20:27" ht="13.5">
      <c r="T526" s="32" t="s">
        <v>2665</v>
      </c>
      <c r="V526" t="s">
        <v>3432</v>
      </c>
      <c r="AA526" t="s">
        <v>4217</v>
      </c>
    </row>
    <row r="527" spans="20:27" ht="13.5">
      <c r="T527" s="32" t="s">
        <v>2666</v>
      </c>
      <c r="V527" t="s">
        <v>3433</v>
      </c>
      <c r="AA527" t="s">
        <v>4218</v>
      </c>
    </row>
    <row r="528" spans="20:27" ht="13.5">
      <c r="T528" s="32" t="s">
        <v>2667</v>
      </c>
      <c r="V528" t="s">
        <v>3434</v>
      </c>
      <c r="AA528" t="s">
        <v>4219</v>
      </c>
    </row>
    <row r="529" spans="20:27" ht="13.5">
      <c r="T529" s="32" t="s">
        <v>1520</v>
      </c>
      <c r="V529" t="s">
        <v>3435</v>
      </c>
      <c r="AA529" t="s">
        <v>4220</v>
      </c>
    </row>
    <row r="530" spans="20:27" ht="13.5">
      <c r="T530" s="32" t="s">
        <v>2668</v>
      </c>
      <c r="V530" t="s">
        <v>3436</v>
      </c>
      <c r="AA530" t="s">
        <v>4221</v>
      </c>
    </row>
    <row r="531" spans="20:27" ht="13.5">
      <c r="T531" s="32" t="s">
        <v>2669</v>
      </c>
      <c r="V531" t="s">
        <v>3437</v>
      </c>
      <c r="AA531" t="s">
        <v>4222</v>
      </c>
    </row>
    <row r="532" spans="20:27" ht="13.5">
      <c r="T532" s="32" t="s">
        <v>1773</v>
      </c>
      <c r="V532" t="s">
        <v>3438</v>
      </c>
      <c r="AA532" t="s">
        <v>4223</v>
      </c>
    </row>
    <row r="533" spans="20:27" ht="13.5">
      <c r="T533" s="32" t="s">
        <v>2670</v>
      </c>
      <c r="V533" t="s">
        <v>3439</v>
      </c>
      <c r="AA533" t="s">
        <v>4224</v>
      </c>
    </row>
    <row r="534" spans="20:27" ht="13.5">
      <c r="T534" s="32" t="s">
        <v>2671</v>
      </c>
      <c r="V534" t="s">
        <v>3440</v>
      </c>
      <c r="AA534" t="s">
        <v>4225</v>
      </c>
    </row>
    <row r="535" spans="20:27" ht="13.5">
      <c r="T535" s="32" t="s">
        <v>2672</v>
      </c>
      <c r="V535" t="s">
        <v>3441</v>
      </c>
      <c r="AA535" t="s">
        <v>4226</v>
      </c>
    </row>
    <row r="536" spans="20:27" ht="13.5">
      <c r="T536" s="32" t="s">
        <v>2673</v>
      </c>
      <c r="V536" t="s">
        <v>3442</v>
      </c>
      <c r="AA536" t="s">
        <v>4227</v>
      </c>
    </row>
    <row r="537" spans="20:27" ht="13.5">
      <c r="T537" s="32" t="s">
        <v>2674</v>
      </c>
      <c r="V537" t="s">
        <v>3443</v>
      </c>
      <c r="AA537" t="s">
        <v>4228</v>
      </c>
    </row>
    <row r="538" spans="20:27" ht="13.5">
      <c r="T538" s="32" t="s">
        <v>2675</v>
      </c>
      <c r="V538" t="s">
        <v>3444</v>
      </c>
      <c r="AA538" t="s">
        <v>4229</v>
      </c>
    </row>
    <row r="539" spans="20:27" ht="13.5">
      <c r="T539" s="32" t="s">
        <v>2676</v>
      </c>
      <c r="V539" t="s">
        <v>3445</v>
      </c>
      <c r="AA539" t="s">
        <v>4230</v>
      </c>
    </row>
    <row r="540" spans="20:27" ht="13.5">
      <c r="T540" s="32" t="s">
        <v>2677</v>
      </c>
      <c r="V540" t="s">
        <v>3446</v>
      </c>
      <c r="AA540" t="s">
        <v>4231</v>
      </c>
    </row>
    <row r="541" spans="20:27" ht="13.5">
      <c r="T541" s="32" t="s">
        <v>1604</v>
      </c>
      <c r="V541" t="s">
        <v>3447</v>
      </c>
      <c r="AA541" t="s">
        <v>4232</v>
      </c>
    </row>
    <row r="542" spans="20:27" ht="13.5">
      <c r="T542" s="32" t="s">
        <v>2678</v>
      </c>
      <c r="V542" t="s">
        <v>3448</v>
      </c>
      <c r="AA542" t="s">
        <v>4233</v>
      </c>
    </row>
    <row r="543" spans="20:27" ht="13.5">
      <c r="T543" s="32" t="s">
        <v>2679</v>
      </c>
      <c r="V543" t="s">
        <v>3449</v>
      </c>
      <c r="AA543" t="s">
        <v>4234</v>
      </c>
    </row>
    <row r="544" spans="20:27" ht="13.5">
      <c r="T544" s="32" t="s">
        <v>2680</v>
      </c>
      <c r="V544" t="s">
        <v>3450</v>
      </c>
      <c r="AA544" t="s">
        <v>4235</v>
      </c>
    </row>
    <row r="545" spans="20:27" ht="13.5">
      <c r="T545" s="32" t="s">
        <v>2681</v>
      </c>
      <c r="V545" t="s">
        <v>3451</v>
      </c>
      <c r="AA545" t="s">
        <v>4236</v>
      </c>
    </row>
    <row r="546" spans="20:27" ht="13.5">
      <c r="T546" s="32" t="s">
        <v>2682</v>
      </c>
      <c r="V546" t="s">
        <v>3452</v>
      </c>
      <c r="AA546" t="s">
        <v>4237</v>
      </c>
    </row>
    <row r="547" spans="20:27" ht="13.5">
      <c r="T547" s="32" t="s">
        <v>2683</v>
      </c>
      <c r="V547" t="s">
        <v>3453</v>
      </c>
      <c r="AA547" t="s">
        <v>4238</v>
      </c>
    </row>
    <row r="548" spans="20:27" ht="13.5">
      <c r="T548" s="32" t="s">
        <v>2684</v>
      </c>
      <c r="V548" t="s">
        <v>3454</v>
      </c>
      <c r="AA548" t="s">
        <v>4239</v>
      </c>
    </row>
    <row r="549" spans="20:27" ht="13.5">
      <c r="T549" s="32" t="s">
        <v>2685</v>
      </c>
      <c r="V549" t="s">
        <v>3455</v>
      </c>
      <c r="AA549" t="s">
        <v>4240</v>
      </c>
    </row>
    <row r="550" spans="20:27" ht="13.5">
      <c r="T550" s="32" t="s">
        <v>2686</v>
      </c>
      <c r="V550" t="s">
        <v>3456</v>
      </c>
      <c r="AA550" t="s">
        <v>4241</v>
      </c>
    </row>
    <row r="551" spans="20:27" ht="13.5">
      <c r="T551" s="32" t="s">
        <v>2687</v>
      </c>
      <c r="V551" t="s">
        <v>3457</v>
      </c>
      <c r="AA551" t="s">
        <v>4242</v>
      </c>
    </row>
    <row r="552" spans="20:27" ht="13.5">
      <c r="T552" s="32" t="s">
        <v>2688</v>
      </c>
      <c r="V552" t="s">
        <v>3458</v>
      </c>
      <c r="AA552" t="s">
        <v>4243</v>
      </c>
    </row>
    <row r="553" spans="20:27" ht="13.5">
      <c r="T553" s="32" t="s">
        <v>2689</v>
      </c>
      <c r="V553" t="s">
        <v>3459</v>
      </c>
      <c r="AA553" t="s">
        <v>4244</v>
      </c>
    </row>
    <row r="554" spans="20:27" ht="13.5">
      <c r="T554" s="32" t="s">
        <v>2690</v>
      </c>
      <c r="V554" t="s">
        <v>3460</v>
      </c>
      <c r="AA554" t="s">
        <v>4245</v>
      </c>
    </row>
    <row r="555" spans="20:27" ht="13.5">
      <c r="T555" s="32" t="s">
        <v>2691</v>
      </c>
      <c r="V555" t="s">
        <v>3461</v>
      </c>
      <c r="AA555" t="s">
        <v>4246</v>
      </c>
    </row>
    <row r="556" spans="20:27" ht="13.5">
      <c r="T556" s="32" t="s">
        <v>2692</v>
      </c>
      <c r="V556" t="s">
        <v>3462</v>
      </c>
      <c r="AA556" t="s">
        <v>4247</v>
      </c>
    </row>
    <row r="557" spans="20:27" ht="13.5">
      <c r="T557" s="32" t="s">
        <v>2693</v>
      </c>
      <c r="V557" t="s">
        <v>3463</v>
      </c>
      <c r="AA557" t="s">
        <v>4248</v>
      </c>
    </row>
    <row r="558" spans="20:27" ht="13.5">
      <c r="T558" s="32" t="s">
        <v>2694</v>
      </c>
      <c r="V558" t="s">
        <v>3464</v>
      </c>
      <c r="AA558" t="s">
        <v>4249</v>
      </c>
    </row>
    <row r="559" spans="20:27" ht="13.5">
      <c r="T559" s="32" t="s">
        <v>2695</v>
      </c>
      <c r="V559" t="s">
        <v>3465</v>
      </c>
      <c r="AA559" t="s">
        <v>4250</v>
      </c>
    </row>
    <row r="560" spans="20:27" ht="13.5">
      <c r="T560" s="32" t="s">
        <v>2696</v>
      </c>
      <c r="V560" t="s">
        <v>3466</v>
      </c>
      <c r="AA560" t="s">
        <v>4251</v>
      </c>
    </row>
    <row r="561" spans="20:27" ht="13.5">
      <c r="T561" s="32" t="s">
        <v>2697</v>
      </c>
      <c r="V561" t="s">
        <v>3467</v>
      </c>
      <c r="AA561" t="s">
        <v>4252</v>
      </c>
    </row>
    <row r="562" spans="20:27" ht="13.5">
      <c r="T562" s="32" t="s">
        <v>2698</v>
      </c>
      <c r="V562" t="s">
        <v>3468</v>
      </c>
      <c r="AA562" t="s">
        <v>4253</v>
      </c>
    </row>
    <row r="563" spans="20:27" ht="13.5">
      <c r="T563" s="32" t="s">
        <v>2699</v>
      </c>
      <c r="V563" t="s">
        <v>3469</v>
      </c>
      <c r="AA563" t="s">
        <v>4254</v>
      </c>
    </row>
    <row r="564" spans="20:27" ht="13.5">
      <c r="T564" s="32" t="s">
        <v>2700</v>
      </c>
      <c r="V564" t="s">
        <v>3470</v>
      </c>
      <c r="AA564" t="s">
        <v>4255</v>
      </c>
    </row>
    <row r="565" spans="20:27" ht="13.5">
      <c r="T565" s="32" t="s">
        <v>1735</v>
      </c>
      <c r="V565" t="s">
        <v>3471</v>
      </c>
      <c r="AA565" t="s">
        <v>4256</v>
      </c>
    </row>
    <row r="566" spans="20:27" ht="13.5">
      <c r="T566" s="32" t="s">
        <v>2701</v>
      </c>
      <c r="V566" t="s">
        <v>3472</v>
      </c>
      <c r="AA566" t="s">
        <v>4257</v>
      </c>
    </row>
    <row r="567" spans="20:27" ht="13.5">
      <c r="T567" s="32" t="s">
        <v>2702</v>
      </c>
      <c r="V567" t="s">
        <v>3473</v>
      </c>
      <c r="AA567" t="s">
        <v>4258</v>
      </c>
    </row>
    <row r="568" spans="20:27" ht="13.5">
      <c r="T568" s="32" t="s">
        <v>2703</v>
      </c>
      <c r="V568" t="s">
        <v>3474</v>
      </c>
      <c r="AA568" t="s">
        <v>4259</v>
      </c>
    </row>
    <row r="569" spans="20:27" ht="13.5">
      <c r="T569" s="32" t="s">
        <v>4572</v>
      </c>
      <c r="V569" t="s">
        <v>3475</v>
      </c>
      <c r="AA569" t="s">
        <v>4260</v>
      </c>
    </row>
    <row r="570" spans="20:27" ht="13.5">
      <c r="T570" s="32" t="s">
        <v>2704</v>
      </c>
      <c r="V570" t="s">
        <v>3476</v>
      </c>
      <c r="AA570" t="s">
        <v>4261</v>
      </c>
    </row>
    <row r="571" spans="20:27" ht="13.5">
      <c r="T571" s="32" t="s">
        <v>2705</v>
      </c>
      <c r="V571" t="s">
        <v>3477</v>
      </c>
      <c r="AA571" t="s">
        <v>4262</v>
      </c>
    </row>
    <row r="572" spans="20:27" ht="13.5">
      <c r="T572" s="32" t="s">
        <v>2706</v>
      </c>
      <c r="V572" t="s">
        <v>3478</v>
      </c>
      <c r="AA572" t="s">
        <v>4263</v>
      </c>
    </row>
    <row r="573" spans="20:27" ht="13.5">
      <c r="T573" s="32" t="s">
        <v>2707</v>
      </c>
      <c r="V573" t="s">
        <v>3479</v>
      </c>
      <c r="AA573" t="s">
        <v>4264</v>
      </c>
    </row>
    <row r="574" spans="20:27" ht="13.5">
      <c r="T574" s="32" t="s">
        <v>1736</v>
      </c>
      <c r="V574" t="s">
        <v>3480</v>
      </c>
      <c r="AA574" t="s">
        <v>4265</v>
      </c>
    </row>
    <row r="575" spans="20:27" ht="13.5">
      <c r="T575" s="32" t="s">
        <v>1737</v>
      </c>
      <c r="V575" t="s">
        <v>3481</v>
      </c>
      <c r="AA575" t="s">
        <v>4266</v>
      </c>
    </row>
    <row r="576" spans="20:27" ht="13.5">
      <c r="T576" s="32" t="s">
        <v>1774</v>
      </c>
      <c r="V576" t="s">
        <v>3482</v>
      </c>
      <c r="AA576" t="s">
        <v>4267</v>
      </c>
    </row>
    <row r="577" spans="20:27" ht="13.5">
      <c r="T577" s="32" t="s">
        <v>1954</v>
      </c>
      <c r="V577" t="s">
        <v>3483</v>
      </c>
      <c r="AA577" t="s">
        <v>4268</v>
      </c>
    </row>
    <row r="578" spans="20:27" ht="13.5">
      <c r="T578" s="32" t="s">
        <v>1510</v>
      </c>
      <c r="V578" t="s">
        <v>3484</v>
      </c>
      <c r="AA578" t="s">
        <v>4269</v>
      </c>
    </row>
    <row r="579" spans="20:27" ht="13.5">
      <c r="T579" s="32" t="s">
        <v>2708</v>
      </c>
      <c r="V579" t="s">
        <v>3485</v>
      </c>
      <c r="AA579" t="s">
        <v>4270</v>
      </c>
    </row>
    <row r="580" spans="20:27" ht="13.5">
      <c r="T580" s="32" t="s">
        <v>2709</v>
      </c>
      <c r="V580" t="s">
        <v>3486</v>
      </c>
      <c r="AA580" t="s">
        <v>4271</v>
      </c>
    </row>
    <row r="581" spans="20:27" ht="13.5">
      <c r="T581" s="32" t="s">
        <v>2710</v>
      </c>
      <c r="V581" t="s">
        <v>3487</v>
      </c>
      <c r="AA581" t="s">
        <v>4272</v>
      </c>
    </row>
    <row r="582" spans="20:27" ht="13.5">
      <c r="T582" s="32" t="s">
        <v>2711</v>
      </c>
      <c r="V582" t="s">
        <v>3488</v>
      </c>
      <c r="AA582" t="s">
        <v>4273</v>
      </c>
    </row>
    <row r="583" spans="20:27" ht="13.5">
      <c r="T583" s="32" t="s">
        <v>2712</v>
      </c>
      <c r="V583" t="s">
        <v>3489</v>
      </c>
      <c r="AA583" t="s">
        <v>4274</v>
      </c>
    </row>
    <row r="584" spans="20:27" ht="13.5">
      <c r="T584" s="32" t="s">
        <v>2713</v>
      </c>
      <c r="V584" t="s">
        <v>3490</v>
      </c>
      <c r="AA584" t="s">
        <v>4275</v>
      </c>
    </row>
    <row r="585" spans="20:27" ht="13.5">
      <c r="T585" s="32" t="s">
        <v>2714</v>
      </c>
      <c r="V585" t="s">
        <v>3491</v>
      </c>
      <c r="AA585" t="s">
        <v>4276</v>
      </c>
    </row>
    <row r="586" spans="20:27" ht="13.5">
      <c r="T586" s="32" t="s">
        <v>2715</v>
      </c>
      <c r="V586" t="s">
        <v>3492</v>
      </c>
      <c r="AA586" t="s">
        <v>4277</v>
      </c>
    </row>
    <row r="587" spans="20:27" ht="13.5">
      <c r="T587" s="32" t="s">
        <v>2716</v>
      </c>
      <c r="V587" t="s">
        <v>3493</v>
      </c>
      <c r="AA587" t="s">
        <v>4278</v>
      </c>
    </row>
    <row r="588" spans="20:27" ht="13.5">
      <c r="T588" s="32" t="s">
        <v>2717</v>
      </c>
      <c r="V588" t="s">
        <v>3494</v>
      </c>
      <c r="AA588" t="s">
        <v>4279</v>
      </c>
    </row>
    <row r="589" spans="20:27" ht="13.5">
      <c r="T589" s="32" t="s">
        <v>2718</v>
      </c>
      <c r="V589" t="s">
        <v>3495</v>
      </c>
      <c r="AA589" t="s">
        <v>4280</v>
      </c>
    </row>
    <row r="590" spans="20:27" ht="13.5">
      <c r="T590" s="32" t="s">
        <v>2719</v>
      </c>
      <c r="V590" t="s">
        <v>3496</v>
      </c>
      <c r="AA590" t="s">
        <v>4281</v>
      </c>
    </row>
    <row r="591" spans="20:27" ht="13.5">
      <c r="T591" s="32" t="s">
        <v>2720</v>
      </c>
      <c r="V591" t="s">
        <v>3497</v>
      </c>
      <c r="AA591" t="s">
        <v>4282</v>
      </c>
    </row>
    <row r="592" spans="20:27" ht="13.5">
      <c r="T592" s="32" t="s">
        <v>1775</v>
      </c>
      <c r="V592" t="s">
        <v>3498</v>
      </c>
      <c r="AA592" t="s">
        <v>4283</v>
      </c>
    </row>
    <row r="593" spans="20:27" ht="13.5">
      <c r="T593" s="32" t="s">
        <v>1749</v>
      </c>
      <c r="V593" t="s">
        <v>3499</v>
      </c>
      <c r="AA593" t="s">
        <v>4284</v>
      </c>
    </row>
    <row r="594" spans="20:27" ht="13.5">
      <c r="T594" s="32" t="s">
        <v>2721</v>
      </c>
      <c r="V594" t="s">
        <v>3500</v>
      </c>
      <c r="AA594" t="s">
        <v>4285</v>
      </c>
    </row>
    <row r="595" spans="20:27" ht="13.5">
      <c r="T595" s="32" t="s">
        <v>1776</v>
      </c>
      <c r="V595" t="s">
        <v>3501</v>
      </c>
      <c r="AA595" t="s">
        <v>4286</v>
      </c>
    </row>
    <row r="596" spans="20:27" ht="13.5">
      <c r="T596" s="32" t="s">
        <v>1529</v>
      </c>
      <c r="V596" t="s">
        <v>3502</v>
      </c>
      <c r="AA596" t="s">
        <v>4287</v>
      </c>
    </row>
    <row r="597" spans="20:27" ht="13.5">
      <c r="T597" s="32" t="s">
        <v>1530</v>
      </c>
      <c r="V597" t="s">
        <v>3503</v>
      </c>
      <c r="AA597" t="s">
        <v>4288</v>
      </c>
    </row>
    <row r="598" spans="20:27" ht="13.5">
      <c r="T598" s="32" t="s">
        <v>2722</v>
      </c>
      <c r="V598" t="s">
        <v>3504</v>
      </c>
      <c r="AA598" t="s">
        <v>4289</v>
      </c>
    </row>
    <row r="599" spans="20:27" ht="13.5">
      <c r="T599" s="32" t="s">
        <v>2723</v>
      </c>
      <c r="V599" t="s">
        <v>3505</v>
      </c>
      <c r="AA599" t="s">
        <v>4290</v>
      </c>
    </row>
    <row r="600" spans="20:27" ht="13.5">
      <c r="T600" s="32" t="s">
        <v>2724</v>
      </c>
      <c r="V600" t="s">
        <v>3506</v>
      </c>
      <c r="AA600" t="s">
        <v>4291</v>
      </c>
    </row>
    <row r="601" spans="20:27" ht="13.5">
      <c r="T601" s="32" t="s">
        <v>1487</v>
      </c>
      <c r="V601" t="s">
        <v>3507</v>
      </c>
      <c r="AA601" t="s">
        <v>4292</v>
      </c>
    </row>
    <row r="602" spans="20:27" ht="13.5">
      <c r="T602" s="32" t="s">
        <v>1488</v>
      </c>
      <c r="V602" t="s">
        <v>3508</v>
      </c>
      <c r="AA602" t="s">
        <v>4293</v>
      </c>
    </row>
    <row r="603" spans="20:27" ht="13.5">
      <c r="T603" s="32" t="s">
        <v>2725</v>
      </c>
      <c r="V603" t="s">
        <v>3509</v>
      </c>
      <c r="AA603" t="s">
        <v>4294</v>
      </c>
    </row>
    <row r="604" spans="20:27" ht="13.5">
      <c r="T604" s="32" t="s">
        <v>1489</v>
      </c>
      <c r="V604" t="s">
        <v>3510</v>
      </c>
      <c r="AA604" t="s">
        <v>4295</v>
      </c>
    </row>
    <row r="605" spans="20:27" ht="13.5">
      <c r="T605" s="32" t="s">
        <v>2726</v>
      </c>
      <c r="V605" t="s">
        <v>3511</v>
      </c>
      <c r="AA605" t="s">
        <v>4296</v>
      </c>
    </row>
    <row r="606" spans="20:27" ht="13.5">
      <c r="T606" s="32" t="s">
        <v>1490</v>
      </c>
      <c r="V606" t="s">
        <v>3512</v>
      </c>
      <c r="AA606" t="s">
        <v>4297</v>
      </c>
    </row>
    <row r="607" spans="20:27" ht="13.5">
      <c r="T607" s="32" t="s">
        <v>2727</v>
      </c>
      <c r="V607" t="s">
        <v>3513</v>
      </c>
      <c r="AA607" t="s">
        <v>4298</v>
      </c>
    </row>
    <row r="608" spans="20:27" ht="13.5">
      <c r="T608" s="32" t="s">
        <v>1491</v>
      </c>
      <c r="V608" t="s">
        <v>3514</v>
      </c>
      <c r="AA608" t="s">
        <v>4299</v>
      </c>
    </row>
    <row r="609" spans="20:27" ht="13.5">
      <c r="T609" s="32" t="s">
        <v>2728</v>
      </c>
      <c r="V609" t="s">
        <v>3515</v>
      </c>
      <c r="AA609" t="s">
        <v>4300</v>
      </c>
    </row>
    <row r="610" spans="20:27" ht="13.5">
      <c r="T610" s="32" t="s">
        <v>1492</v>
      </c>
      <c r="V610" t="s">
        <v>3516</v>
      </c>
      <c r="AA610" t="s">
        <v>4301</v>
      </c>
    </row>
    <row r="611" spans="20:27" ht="13.5">
      <c r="T611" s="32" t="s">
        <v>2729</v>
      </c>
      <c r="V611" t="s">
        <v>3517</v>
      </c>
      <c r="AA611" t="s">
        <v>4302</v>
      </c>
    </row>
    <row r="612" spans="20:27" ht="13.5">
      <c r="T612" s="32" t="s">
        <v>1493</v>
      </c>
      <c r="V612" t="s">
        <v>3518</v>
      </c>
      <c r="AA612" t="s">
        <v>4303</v>
      </c>
    </row>
    <row r="613" spans="20:27" ht="13.5">
      <c r="T613" s="32" t="s">
        <v>2730</v>
      </c>
      <c r="V613" t="s">
        <v>3519</v>
      </c>
      <c r="AA613" t="s">
        <v>4304</v>
      </c>
    </row>
    <row r="614" spans="20:27" ht="13.5">
      <c r="T614" s="32" t="s">
        <v>1494</v>
      </c>
      <c r="V614" t="s">
        <v>3520</v>
      </c>
      <c r="AA614" t="s">
        <v>4305</v>
      </c>
    </row>
    <row r="615" spans="20:27" ht="13.5">
      <c r="T615" s="32" t="s">
        <v>2731</v>
      </c>
      <c r="V615" t="s">
        <v>3521</v>
      </c>
      <c r="AA615" t="s">
        <v>4306</v>
      </c>
    </row>
    <row r="616" spans="20:27" ht="13.5">
      <c r="T616" s="32" t="s">
        <v>1495</v>
      </c>
      <c r="V616" t="s">
        <v>3522</v>
      </c>
      <c r="AA616" t="s">
        <v>4307</v>
      </c>
    </row>
    <row r="617" spans="20:27" ht="13.5">
      <c r="T617" s="32" t="s">
        <v>2732</v>
      </c>
      <c r="V617" t="s">
        <v>3523</v>
      </c>
      <c r="AA617" t="s">
        <v>4308</v>
      </c>
    </row>
    <row r="618" spans="20:27" ht="13.5">
      <c r="T618" s="32" t="s">
        <v>1496</v>
      </c>
      <c r="V618" t="s">
        <v>3524</v>
      </c>
      <c r="AA618" t="s">
        <v>4309</v>
      </c>
    </row>
    <row r="619" spans="20:27" ht="13.5">
      <c r="T619" s="32" t="s">
        <v>2733</v>
      </c>
      <c r="V619" t="s">
        <v>3525</v>
      </c>
      <c r="AA619" t="s">
        <v>4310</v>
      </c>
    </row>
    <row r="620" spans="20:27" ht="13.5">
      <c r="T620" s="32" t="s">
        <v>1497</v>
      </c>
      <c r="V620" t="s">
        <v>3526</v>
      </c>
      <c r="AA620" t="s">
        <v>4311</v>
      </c>
    </row>
    <row r="621" spans="20:27" ht="13.5">
      <c r="T621" s="32" t="s">
        <v>2734</v>
      </c>
      <c r="V621" t="s">
        <v>3527</v>
      </c>
      <c r="AA621" t="s">
        <v>4312</v>
      </c>
    </row>
    <row r="622" spans="20:27" ht="13.5">
      <c r="T622" s="32" t="s">
        <v>2735</v>
      </c>
      <c r="V622" t="s">
        <v>3528</v>
      </c>
      <c r="AA622" t="s">
        <v>4313</v>
      </c>
    </row>
    <row r="623" spans="20:27" ht="13.5">
      <c r="T623" s="32" t="s">
        <v>1498</v>
      </c>
      <c r="V623" t="s">
        <v>3529</v>
      </c>
      <c r="AA623" t="s">
        <v>4314</v>
      </c>
    </row>
    <row r="624" spans="20:27" ht="13.5">
      <c r="T624" s="32" t="s">
        <v>1499</v>
      </c>
      <c r="V624" t="s">
        <v>3530</v>
      </c>
      <c r="AA624" t="s">
        <v>4315</v>
      </c>
    </row>
    <row r="625" spans="20:27" ht="13.5">
      <c r="T625" s="32" t="s">
        <v>2736</v>
      </c>
      <c r="V625" t="s">
        <v>3531</v>
      </c>
      <c r="AA625" t="s">
        <v>4316</v>
      </c>
    </row>
    <row r="626" spans="20:27" ht="13.5">
      <c r="T626" s="32" t="s">
        <v>2737</v>
      </c>
      <c r="V626" t="s">
        <v>3532</v>
      </c>
      <c r="AA626" t="s">
        <v>4317</v>
      </c>
    </row>
    <row r="627" spans="20:27" ht="13.5">
      <c r="T627" s="32" t="s">
        <v>1500</v>
      </c>
      <c r="V627" t="s">
        <v>3533</v>
      </c>
      <c r="AA627" t="s">
        <v>4318</v>
      </c>
    </row>
    <row r="628" spans="20:27" ht="13.5">
      <c r="T628" s="32" t="s">
        <v>2738</v>
      </c>
      <c r="V628" t="s">
        <v>3534</v>
      </c>
      <c r="AA628" t="s">
        <v>4319</v>
      </c>
    </row>
    <row r="629" spans="20:27" ht="13.5">
      <c r="T629" s="32" t="s">
        <v>1501</v>
      </c>
      <c r="V629" t="s">
        <v>3535</v>
      </c>
      <c r="AA629" t="s">
        <v>4320</v>
      </c>
    </row>
    <row r="630" spans="20:27" ht="13.5">
      <c r="T630" s="32" t="s">
        <v>2739</v>
      </c>
      <c r="V630" t="s">
        <v>3536</v>
      </c>
      <c r="AA630" t="s">
        <v>4321</v>
      </c>
    </row>
    <row r="631" spans="20:27" ht="13.5">
      <c r="T631" s="32" t="s">
        <v>1502</v>
      </c>
      <c r="V631" t="s">
        <v>3537</v>
      </c>
      <c r="AA631" t="s">
        <v>4322</v>
      </c>
    </row>
    <row r="632" spans="20:27" ht="13.5">
      <c r="T632" s="32" t="s">
        <v>2740</v>
      </c>
      <c r="V632" t="s">
        <v>3538</v>
      </c>
      <c r="AA632" t="s">
        <v>4323</v>
      </c>
    </row>
    <row r="633" spans="20:27" ht="13.5">
      <c r="T633" s="32" t="s">
        <v>1503</v>
      </c>
      <c r="V633" t="s">
        <v>3539</v>
      </c>
      <c r="AA633" t="s">
        <v>4324</v>
      </c>
    </row>
    <row r="634" spans="20:27" ht="13.5">
      <c r="T634" s="32" t="s">
        <v>2741</v>
      </c>
      <c r="V634" t="s">
        <v>3540</v>
      </c>
      <c r="AA634" t="s">
        <v>4325</v>
      </c>
    </row>
    <row r="635" spans="20:27" ht="13.5">
      <c r="T635" s="32" t="s">
        <v>1504</v>
      </c>
      <c r="V635" t="s">
        <v>3541</v>
      </c>
      <c r="AA635" t="s">
        <v>4326</v>
      </c>
    </row>
    <row r="636" spans="20:27" ht="13.5">
      <c r="T636" s="32" t="s">
        <v>2742</v>
      </c>
      <c r="V636" t="s">
        <v>3542</v>
      </c>
      <c r="AA636" t="s">
        <v>4327</v>
      </c>
    </row>
    <row r="637" spans="20:27" ht="13.5">
      <c r="T637" s="32" t="s">
        <v>1505</v>
      </c>
      <c r="V637" t="s">
        <v>3543</v>
      </c>
      <c r="AA637" t="s">
        <v>4328</v>
      </c>
    </row>
    <row r="638" spans="20:27" ht="13.5">
      <c r="T638" s="32" t="s">
        <v>2743</v>
      </c>
      <c r="V638" t="s">
        <v>3544</v>
      </c>
      <c r="AA638" t="s">
        <v>4329</v>
      </c>
    </row>
    <row r="639" spans="20:27" ht="13.5">
      <c r="T639" s="32" t="s">
        <v>1506</v>
      </c>
      <c r="V639" t="s">
        <v>3545</v>
      </c>
      <c r="AA639" t="s">
        <v>4330</v>
      </c>
    </row>
    <row r="640" spans="20:27" ht="13.5">
      <c r="T640" s="32" t="s">
        <v>2744</v>
      </c>
      <c r="V640" t="s">
        <v>3546</v>
      </c>
      <c r="AA640" t="s">
        <v>4331</v>
      </c>
    </row>
    <row r="641" spans="20:27" ht="13.5">
      <c r="T641" s="32" t="s">
        <v>1750</v>
      </c>
      <c r="V641" t="s">
        <v>1950</v>
      </c>
      <c r="AA641" t="s">
        <v>4332</v>
      </c>
    </row>
    <row r="642" spans="20:27" ht="13.5">
      <c r="T642" s="32" t="s">
        <v>2745</v>
      </c>
      <c r="V642" t="s">
        <v>3547</v>
      </c>
      <c r="AA642" t="s">
        <v>4333</v>
      </c>
    </row>
    <row r="643" spans="20:27" ht="13.5">
      <c r="T643" s="32" t="s">
        <v>2746</v>
      </c>
      <c r="V643" t="s">
        <v>3548</v>
      </c>
      <c r="AA643" t="s">
        <v>4334</v>
      </c>
    </row>
    <row r="644" spans="20:27" ht="13.5">
      <c r="T644" s="32" t="s">
        <v>2747</v>
      </c>
      <c r="V644" t="s">
        <v>3549</v>
      </c>
      <c r="AA644" t="s">
        <v>4335</v>
      </c>
    </row>
    <row r="645" spans="20:27" ht="13.5">
      <c r="T645" s="32" t="s">
        <v>1753</v>
      </c>
      <c r="V645" t="s">
        <v>3550</v>
      </c>
      <c r="AA645" t="s">
        <v>4336</v>
      </c>
    </row>
    <row r="646" spans="20:27" ht="13.5">
      <c r="T646" s="32" t="s">
        <v>2748</v>
      </c>
      <c r="V646" t="s">
        <v>3551</v>
      </c>
      <c r="AA646" t="s">
        <v>4337</v>
      </c>
    </row>
    <row r="647" spans="20:27" ht="13.5">
      <c r="T647" s="32" t="s">
        <v>2749</v>
      </c>
      <c r="V647" t="s">
        <v>3552</v>
      </c>
      <c r="AA647" t="s">
        <v>2717</v>
      </c>
    </row>
    <row r="648" spans="20:27" ht="13.5">
      <c r="T648" s="32" t="s">
        <v>2750</v>
      </c>
      <c r="V648" t="s">
        <v>3553</v>
      </c>
      <c r="AA648" t="s">
        <v>2974</v>
      </c>
    </row>
    <row r="649" spans="20:27" ht="13.5">
      <c r="T649" s="32" t="s">
        <v>2751</v>
      </c>
      <c r="V649" t="s">
        <v>3554</v>
      </c>
      <c r="AA649" t="s">
        <v>2977</v>
      </c>
    </row>
    <row r="650" spans="20:27" ht="13.5">
      <c r="T650" s="32" t="s">
        <v>2752</v>
      </c>
      <c r="V650" t="s">
        <v>3555</v>
      </c>
      <c r="AA650" t="s">
        <v>4338</v>
      </c>
    </row>
    <row r="651" spans="20:27" ht="13.5">
      <c r="T651" s="32" t="s">
        <v>2753</v>
      </c>
      <c r="V651" t="s">
        <v>3556</v>
      </c>
      <c r="AA651" t="s">
        <v>1775</v>
      </c>
    </row>
    <row r="652" spans="20:27" ht="13.5">
      <c r="T652" s="32" t="s">
        <v>2754</v>
      </c>
      <c r="V652" t="s">
        <v>1733</v>
      </c>
      <c r="AA652" t="s">
        <v>4339</v>
      </c>
    </row>
    <row r="653" spans="20:27" ht="13.5">
      <c r="T653" s="32" t="s">
        <v>2755</v>
      </c>
      <c r="V653" t="s">
        <v>1528</v>
      </c>
      <c r="AA653" t="s">
        <v>4340</v>
      </c>
    </row>
    <row r="654" spans="20:27" ht="13.5">
      <c r="T654" s="32" t="s">
        <v>2756</v>
      </c>
      <c r="V654" t="s">
        <v>1928</v>
      </c>
      <c r="AA654" t="s">
        <v>4341</v>
      </c>
    </row>
    <row r="655" spans="20:27" ht="13.5">
      <c r="T655" s="32" t="s">
        <v>2757</v>
      </c>
      <c r="V655" t="s">
        <v>2949</v>
      </c>
      <c r="AA655" t="s">
        <v>4342</v>
      </c>
    </row>
    <row r="656" spans="20:27" ht="13.5">
      <c r="T656" s="32" t="s">
        <v>2758</v>
      </c>
      <c r="V656" t="s">
        <v>1517</v>
      </c>
      <c r="AA656" t="s">
        <v>4343</v>
      </c>
    </row>
    <row r="657" spans="20:27" ht="13.5">
      <c r="T657" s="32" t="s">
        <v>2759</v>
      </c>
      <c r="V657" t="s">
        <v>1521</v>
      </c>
      <c r="AA657" t="s">
        <v>4344</v>
      </c>
    </row>
    <row r="658" spans="20:27" ht="13.5">
      <c r="T658" s="32" t="s">
        <v>2760</v>
      </c>
      <c r="V658" t="s">
        <v>1518</v>
      </c>
      <c r="AA658" t="s">
        <v>1776</v>
      </c>
    </row>
    <row r="659" spans="20:27" ht="13.5">
      <c r="T659" s="32" t="s">
        <v>2761</v>
      </c>
      <c r="V659" t="s">
        <v>1519</v>
      </c>
      <c r="AA659" t="s">
        <v>1529</v>
      </c>
    </row>
    <row r="660" spans="20:27" ht="13.5">
      <c r="T660" s="32" t="s">
        <v>2762</v>
      </c>
      <c r="V660" t="s">
        <v>1520</v>
      </c>
      <c r="AA660" t="s">
        <v>1530</v>
      </c>
    </row>
    <row r="661" spans="20:27" ht="13.5">
      <c r="T661" s="32" t="s">
        <v>2763</v>
      </c>
      <c r="V661" t="s">
        <v>3557</v>
      </c>
      <c r="AA661" t="s">
        <v>3839</v>
      </c>
    </row>
    <row r="662" spans="20:27" ht="13.5">
      <c r="T662" s="32" t="s">
        <v>2764</v>
      </c>
      <c r="V662" t="s">
        <v>3558</v>
      </c>
      <c r="AA662" t="s">
        <v>3840</v>
      </c>
    </row>
    <row r="663" spans="20:27" ht="13.5">
      <c r="T663" s="32" t="s">
        <v>2765</v>
      </c>
      <c r="V663" t="s">
        <v>3559</v>
      </c>
      <c r="AA663" t="s">
        <v>4345</v>
      </c>
    </row>
    <row r="664" spans="20:27" ht="13.5">
      <c r="T664" s="32" t="s">
        <v>2766</v>
      </c>
      <c r="V664" t="s">
        <v>3560</v>
      </c>
      <c r="AA664" t="s">
        <v>4346</v>
      </c>
    </row>
    <row r="665" spans="20:27" ht="13.5">
      <c r="T665" s="32" t="s">
        <v>2767</v>
      </c>
      <c r="V665" t="s">
        <v>3561</v>
      </c>
      <c r="AA665" t="s">
        <v>4347</v>
      </c>
    </row>
    <row r="666" spans="20:27" ht="13.5">
      <c r="T666" s="32" t="s">
        <v>2768</v>
      </c>
      <c r="V666" t="s">
        <v>3562</v>
      </c>
      <c r="AA666" t="s">
        <v>4348</v>
      </c>
    </row>
    <row r="667" spans="20:27" ht="13.5">
      <c r="T667" s="32" t="s">
        <v>2769</v>
      </c>
      <c r="V667" t="s">
        <v>3563</v>
      </c>
      <c r="AA667" t="s">
        <v>4349</v>
      </c>
    </row>
    <row r="668" spans="20:27" ht="13.5">
      <c r="T668" s="32" t="s">
        <v>2770</v>
      </c>
      <c r="V668" t="s">
        <v>3564</v>
      </c>
      <c r="AA668" t="s">
        <v>4350</v>
      </c>
    </row>
    <row r="669" spans="20:27" ht="13.5">
      <c r="T669" s="32" t="s">
        <v>2771</v>
      </c>
      <c r="V669" t="s">
        <v>3565</v>
      </c>
      <c r="AA669" t="s">
        <v>4351</v>
      </c>
    </row>
    <row r="670" spans="20:27" ht="13.5">
      <c r="T670" s="32" t="s">
        <v>2772</v>
      </c>
      <c r="V670" t="s">
        <v>3566</v>
      </c>
      <c r="AA670" t="s">
        <v>3055</v>
      </c>
    </row>
    <row r="671" spans="20:27" ht="13.5">
      <c r="T671" s="32" t="s">
        <v>2773</v>
      </c>
      <c r="V671" t="s">
        <v>3567</v>
      </c>
      <c r="AA671" t="s">
        <v>4352</v>
      </c>
    </row>
    <row r="672" spans="20:27" ht="13.5">
      <c r="T672" s="32" t="s">
        <v>2774</v>
      </c>
      <c r="V672" t="s">
        <v>3568</v>
      </c>
      <c r="AA672" t="s">
        <v>4353</v>
      </c>
    </row>
    <row r="673" spans="20:27" ht="13.5">
      <c r="T673" s="32" t="s">
        <v>2775</v>
      </c>
      <c r="V673" t="s">
        <v>3569</v>
      </c>
      <c r="AA673" t="s">
        <v>4354</v>
      </c>
    </row>
    <row r="674" spans="20:27" ht="13.5">
      <c r="T674" s="32" t="s">
        <v>2776</v>
      </c>
      <c r="V674" t="s">
        <v>3570</v>
      </c>
      <c r="AA674" t="s">
        <v>3006</v>
      </c>
    </row>
    <row r="675" spans="20:27" ht="13.5">
      <c r="T675" s="32" t="s">
        <v>2777</v>
      </c>
      <c r="V675" t="s">
        <v>3571</v>
      </c>
      <c r="AA675" t="s">
        <v>4355</v>
      </c>
    </row>
    <row r="676" spans="20:27" ht="13.5">
      <c r="T676" s="32" t="s">
        <v>2778</v>
      </c>
      <c r="V676" t="s">
        <v>3572</v>
      </c>
      <c r="AA676" t="s">
        <v>4356</v>
      </c>
    </row>
    <row r="677" spans="20:27" ht="13.5">
      <c r="T677" s="32" t="s">
        <v>2779</v>
      </c>
      <c r="V677" t="s">
        <v>3573</v>
      </c>
      <c r="AA677" t="s">
        <v>4357</v>
      </c>
    </row>
    <row r="678" spans="20:27" ht="13.5">
      <c r="T678" s="32" t="s">
        <v>2780</v>
      </c>
      <c r="V678" t="s">
        <v>3574</v>
      </c>
      <c r="AA678" t="s">
        <v>4358</v>
      </c>
    </row>
    <row r="679" spans="20:27" ht="13.5">
      <c r="T679" s="32" t="s">
        <v>2781</v>
      </c>
      <c r="V679" t="s">
        <v>3575</v>
      </c>
      <c r="AA679" t="s">
        <v>4359</v>
      </c>
    </row>
    <row r="680" spans="20:27" ht="13.5">
      <c r="T680" s="32" t="s">
        <v>2782</v>
      </c>
      <c r="V680" t="s">
        <v>3576</v>
      </c>
      <c r="AA680" t="s">
        <v>4360</v>
      </c>
    </row>
    <row r="681" spans="20:27" ht="13.5">
      <c r="T681" s="32" t="s">
        <v>2783</v>
      </c>
      <c r="V681" t="s">
        <v>3577</v>
      </c>
      <c r="AA681" t="s">
        <v>4361</v>
      </c>
    </row>
    <row r="682" spans="20:27" ht="13.5">
      <c r="T682" s="32" t="s">
        <v>2784</v>
      </c>
      <c r="V682" t="s">
        <v>3578</v>
      </c>
      <c r="AA682" t="s">
        <v>4362</v>
      </c>
    </row>
    <row r="683" spans="20:27" ht="13.5">
      <c r="T683" s="32" t="s">
        <v>2785</v>
      </c>
      <c r="V683" t="s">
        <v>3579</v>
      </c>
      <c r="AA683" t="s">
        <v>4363</v>
      </c>
    </row>
    <row r="684" spans="20:27" ht="13.5">
      <c r="T684" s="32" t="s">
        <v>2786</v>
      </c>
      <c r="V684" t="s">
        <v>3580</v>
      </c>
      <c r="AA684" t="s">
        <v>1753</v>
      </c>
    </row>
    <row r="685" spans="20:27" ht="13.5">
      <c r="T685" s="32" t="s">
        <v>2787</v>
      </c>
      <c r="V685" t="s">
        <v>3581</v>
      </c>
      <c r="AA685" t="s">
        <v>4364</v>
      </c>
    </row>
    <row r="686" spans="20:27" ht="13.5">
      <c r="T686" s="32" t="s">
        <v>2788</v>
      </c>
      <c r="V686" t="s">
        <v>3582</v>
      </c>
      <c r="AA686" t="s">
        <v>4365</v>
      </c>
    </row>
    <row r="687" spans="20:27" ht="13.5">
      <c r="T687" s="32" t="s">
        <v>2789</v>
      </c>
      <c r="V687" t="s">
        <v>3583</v>
      </c>
      <c r="AA687" t="s">
        <v>4366</v>
      </c>
    </row>
    <row r="688" spans="20:27" ht="13.5">
      <c r="T688" s="32" t="s">
        <v>2790</v>
      </c>
      <c r="V688" t="s">
        <v>3584</v>
      </c>
      <c r="AA688" t="s">
        <v>4367</v>
      </c>
    </row>
    <row r="689" spans="20:27" ht="13.5">
      <c r="T689" s="32" t="s">
        <v>2791</v>
      </c>
      <c r="V689" t="s">
        <v>3585</v>
      </c>
      <c r="AA689" t="s">
        <v>4368</v>
      </c>
    </row>
    <row r="690" spans="20:27" ht="13.5">
      <c r="T690" s="32" t="s">
        <v>2792</v>
      </c>
      <c r="V690" t="s">
        <v>3586</v>
      </c>
      <c r="AA690" t="s">
        <v>1777</v>
      </c>
    </row>
    <row r="691" spans="20:27" ht="13.5">
      <c r="T691" s="32" t="s">
        <v>2793</v>
      </c>
      <c r="V691" t="s">
        <v>3587</v>
      </c>
      <c r="AA691" t="s">
        <v>1754</v>
      </c>
    </row>
    <row r="692" spans="20:27" ht="13.5">
      <c r="T692" s="32" t="s">
        <v>2794</v>
      </c>
      <c r="V692" t="s">
        <v>3588</v>
      </c>
      <c r="AA692" t="s">
        <v>1755</v>
      </c>
    </row>
    <row r="693" spans="20:27" ht="13.5">
      <c r="T693" s="32" t="s">
        <v>2795</v>
      </c>
      <c r="V693" t="s">
        <v>3589</v>
      </c>
      <c r="AA693" t="s">
        <v>1756</v>
      </c>
    </row>
    <row r="694" spans="20:27" ht="13.5">
      <c r="T694" s="32" t="s">
        <v>2796</v>
      </c>
      <c r="V694" t="s">
        <v>3590</v>
      </c>
      <c r="AA694" t="s">
        <v>1757</v>
      </c>
    </row>
    <row r="695" spans="20:27" ht="13.5">
      <c r="T695" s="32" t="s">
        <v>2797</v>
      </c>
      <c r="V695" t="s">
        <v>3591</v>
      </c>
      <c r="AA695" t="s">
        <v>1758</v>
      </c>
    </row>
    <row r="696" spans="20:27" ht="13.5">
      <c r="T696" s="32" t="s">
        <v>2798</v>
      </c>
      <c r="V696" t="s">
        <v>3592</v>
      </c>
      <c r="AA696" t="s">
        <v>1759</v>
      </c>
    </row>
    <row r="697" spans="20:27" ht="13.5">
      <c r="T697" s="32" t="s">
        <v>2799</v>
      </c>
      <c r="V697" t="s">
        <v>3593</v>
      </c>
      <c r="AA697" t="s">
        <v>1760</v>
      </c>
    </row>
    <row r="698" spans="20:27" ht="13.5">
      <c r="T698" s="32" t="s">
        <v>2800</v>
      </c>
      <c r="V698" t="s">
        <v>3594</v>
      </c>
      <c r="AA698" t="s">
        <v>4369</v>
      </c>
    </row>
    <row r="699" spans="20:27" ht="13.5">
      <c r="T699" s="32" t="s">
        <v>2801</v>
      </c>
      <c r="V699" t="s">
        <v>3595</v>
      </c>
      <c r="AA699" t="s">
        <v>2832</v>
      </c>
    </row>
    <row r="700" spans="20:27" ht="13.5">
      <c r="T700" s="32" t="s">
        <v>2802</v>
      </c>
      <c r="V700" t="s">
        <v>3596</v>
      </c>
      <c r="AA700" s="32" t="s">
        <v>3006</v>
      </c>
    </row>
    <row r="701" spans="20:27" ht="13.5">
      <c r="T701" s="32" t="s">
        <v>2803</v>
      </c>
      <c r="V701" t="s">
        <v>3597</v>
      </c>
    </row>
    <row r="702" spans="20:27" ht="13.5">
      <c r="T702" s="32" t="s">
        <v>2804</v>
      </c>
      <c r="V702" t="s">
        <v>3598</v>
      </c>
    </row>
    <row r="703" spans="20:27" ht="13.5">
      <c r="T703" s="32" t="s">
        <v>2805</v>
      </c>
      <c r="V703" t="s">
        <v>3599</v>
      </c>
    </row>
    <row r="704" spans="20:27" ht="13.5">
      <c r="T704" s="32" t="s">
        <v>2806</v>
      </c>
      <c r="V704" t="s">
        <v>3600</v>
      </c>
    </row>
    <row r="705" spans="20:22" ht="13.5">
      <c r="T705" s="32" t="s">
        <v>2807</v>
      </c>
      <c r="V705" t="s">
        <v>3601</v>
      </c>
    </row>
    <row r="706" spans="20:22" ht="13.5">
      <c r="T706" s="32" t="s">
        <v>2808</v>
      </c>
      <c r="V706" t="s">
        <v>3602</v>
      </c>
    </row>
    <row r="707" spans="20:22" ht="13.5">
      <c r="T707" s="32" t="s">
        <v>2809</v>
      </c>
      <c r="V707" t="s">
        <v>3603</v>
      </c>
    </row>
    <row r="708" spans="20:22" ht="13.5">
      <c r="T708" s="32" t="s">
        <v>2810</v>
      </c>
      <c r="V708" t="s">
        <v>3604</v>
      </c>
    </row>
    <row r="709" spans="20:22" ht="13.5">
      <c r="T709" s="32" t="s">
        <v>1777</v>
      </c>
      <c r="V709" t="s">
        <v>3605</v>
      </c>
    </row>
    <row r="710" spans="20:22" ht="13.5">
      <c r="T710" s="32" t="s">
        <v>2811</v>
      </c>
      <c r="V710" t="s">
        <v>3606</v>
      </c>
    </row>
    <row r="711" spans="20:22" ht="13.5">
      <c r="T711" s="32" t="s">
        <v>2812</v>
      </c>
      <c r="V711" t="s">
        <v>3607</v>
      </c>
    </row>
    <row r="712" spans="20:22" ht="13.5">
      <c r="T712" s="32" t="s">
        <v>2813</v>
      </c>
      <c r="V712" t="s">
        <v>3608</v>
      </c>
    </row>
    <row r="713" spans="20:22" ht="13.5">
      <c r="T713" s="32" t="s">
        <v>1754</v>
      </c>
      <c r="V713" t="s">
        <v>3609</v>
      </c>
    </row>
    <row r="714" spans="20:22" ht="13.5">
      <c r="T714" s="32" t="s">
        <v>1755</v>
      </c>
      <c r="V714" t="s">
        <v>3610</v>
      </c>
    </row>
    <row r="715" spans="20:22" ht="13.5">
      <c r="T715" s="32" t="s">
        <v>1756</v>
      </c>
      <c r="V715" t="s">
        <v>3611</v>
      </c>
    </row>
    <row r="716" spans="20:22" ht="13.5">
      <c r="T716" s="32" t="s">
        <v>1757</v>
      </c>
      <c r="V716" t="s">
        <v>3612</v>
      </c>
    </row>
    <row r="717" spans="20:22" ht="13.5">
      <c r="T717" s="32" t="s">
        <v>1758</v>
      </c>
      <c r="V717" t="s">
        <v>3613</v>
      </c>
    </row>
    <row r="718" spans="20:22" ht="13.5">
      <c r="T718" s="32" t="s">
        <v>1759</v>
      </c>
      <c r="V718" t="s">
        <v>3614</v>
      </c>
    </row>
    <row r="719" spans="20:22" ht="13.5">
      <c r="T719" s="32" t="s">
        <v>1760</v>
      </c>
      <c r="V719" t="s">
        <v>3615</v>
      </c>
    </row>
    <row r="720" spans="20:22" ht="13.5">
      <c r="T720" s="32" t="s">
        <v>2814</v>
      </c>
      <c r="V720" t="s">
        <v>3616</v>
      </c>
    </row>
    <row r="721" spans="20:22" ht="13.5">
      <c r="T721" s="32" t="s">
        <v>2815</v>
      </c>
      <c r="V721" t="s">
        <v>3617</v>
      </c>
    </row>
    <row r="722" spans="20:22" ht="13.5">
      <c r="T722" s="32" t="s">
        <v>2816</v>
      </c>
      <c r="V722" t="s">
        <v>3618</v>
      </c>
    </row>
    <row r="723" spans="20:22" ht="13.5">
      <c r="T723" s="32" t="s">
        <v>1614</v>
      </c>
      <c r="V723" t="s">
        <v>3619</v>
      </c>
    </row>
    <row r="724" spans="20:22" ht="13.5">
      <c r="T724" s="32" t="s">
        <v>2817</v>
      </c>
      <c r="V724" t="s">
        <v>3620</v>
      </c>
    </row>
    <row r="725" spans="20:22" ht="13.5">
      <c r="T725" s="32" t="s">
        <v>1615</v>
      </c>
      <c r="V725" t="s">
        <v>3621</v>
      </c>
    </row>
    <row r="726" spans="20:22" ht="13.5">
      <c r="T726" s="32" t="s">
        <v>2818</v>
      </c>
      <c r="V726" t="s">
        <v>3622</v>
      </c>
    </row>
    <row r="727" spans="20:22" ht="13.5">
      <c r="T727" s="32" t="s">
        <v>2819</v>
      </c>
      <c r="V727" t="s">
        <v>3623</v>
      </c>
    </row>
    <row r="728" spans="20:22" ht="13.5">
      <c r="T728" s="32" t="s">
        <v>2820</v>
      </c>
      <c r="V728" t="s">
        <v>3624</v>
      </c>
    </row>
    <row r="729" spans="20:22" ht="13.5">
      <c r="T729" s="32" t="s">
        <v>2821</v>
      </c>
      <c r="V729" t="s">
        <v>3625</v>
      </c>
    </row>
    <row r="730" spans="20:22" ht="13.5">
      <c r="T730" s="32" t="s">
        <v>2822</v>
      </c>
      <c r="V730" t="s">
        <v>3626</v>
      </c>
    </row>
    <row r="731" spans="20:22" ht="13.5">
      <c r="T731" s="32" t="s">
        <v>2823</v>
      </c>
      <c r="V731" t="s">
        <v>3627</v>
      </c>
    </row>
    <row r="732" spans="20:22" ht="13.5">
      <c r="T732" s="32" t="s">
        <v>2824</v>
      </c>
      <c r="V732" t="s">
        <v>3628</v>
      </c>
    </row>
    <row r="733" spans="20:22" ht="13.5">
      <c r="T733" s="32" t="s">
        <v>2825</v>
      </c>
      <c r="V733" t="s">
        <v>3629</v>
      </c>
    </row>
    <row r="734" spans="20:22" ht="13.5">
      <c r="T734" s="32" t="s">
        <v>2826</v>
      </c>
      <c r="V734" t="s">
        <v>3630</v>
      </c>
    </row>
    <row r="735" spans="20:22" ht="13.5">
      <c r="T735" s="32" t="s">
        <v>2827</v>
      </c>
      <c r="V735" t="s">
        <v>3631</v>
      </c>
    </row>
    <row r="736" spans="20:22" ht="13.5">
      <c r="T736" s="32" t="s">
        <v>2828</v>
      </c>
      <c r="V736" t="s">
        <v>3632</v>
      </c>
    </row>
    <row r="737" spans="20:22" ht="13.5">
      <c r="T737" s="32" t="s">
        <v>2829</v>
      </c>
      <c r="V737" t="s">
        <v>3633</v>
      </c>
    </row>
    <row r="738" spans="20:22">
      <c r="T738" t="s">
        <v>2832</v>
      </c>
      <c r="V738" t="s">
        <v>3634</v>
      </c>
    </row>
    <row r="739" spans="20:22">
      <c r="V739" t="s">
        <v>3635</v>
      </c>
    </row>
    <row r="740" spans="20:22">
      <c r="V740" t="s">
        <v>3636</v>
      </c>
    </row>
    <row r="741" spans="20:22">
      <c r="V741" t="s">
        <v>3637</v>
      </c>
    </row>
    <row r="742" spans="20:22">
      <c r="V742" t="s">
        <v>3638</v>
      </c>
    </row>
    <row r="743" spans="20:22">
      <c r="V743" t="s">
        <v>3639</v>
      </c>
    </row>
    <row r="744" spans="20:22">
      <c r="V744" t="s">
        <v>3640</v>
      </c>
    </row>
    <row r="745" spans="20:22">
      <c r="V745" t="s">
        <v>3641</v>
      </c>
    </row>
    <row r="746" spans="20:22">
      <c r="V746" t="s">
        <v>3642</v>
      </c>
    </row>
    <row r="747" spans="20:22">
      <c r="V747" t="s">
        <v>3643</v>
      </c>
    </row>
    <row r="748" spans="20:22">
      <c r="V748" t="s">
        <v>3644</v>
      </c>
    </row>
    <row r="749" spans="20:22">
      <c r="V749" t="s">
        <v>3645</v>
      </c>
    </row>
    <row r="750" spans="20:22">
      <c r="V750" t="s">
        <v>3646</v>
      </c>
    </row>
    <row r="751" spans="20:22">
      <c r="V751" t="s">
        <v>3647</v>
      </c>
    </row>
    <row r="752" spans="20:22">
      <c r="V752" t="s">
        <v>3648</v>
      </c>
    </row>
    <row r="753" spans="22:22">
      <c r="V753" t="s">
        <v>3649</v>
      </c>
    </row>
    <row r="754" spans="22:22">
      <c r="V754" t="s">
        <v>3650</v>
      </c>
    </row>
    <row r="755" spans="22:22">
      <c r="V755" t="s">
        <v>3651</v>
      </c>
    </row>
    <row r="756" spans="22:22">
      <c r="V756" t="s">
        <v>3652</v>
      </c>
    </row>
    <row r="757" spans="22:22">
      <c r="V757" t="s">
        <v>3653</v>
      </c>
    </row>
    <row r="758" spans="22:22">
      <c r="V758" t="s">
        <v>3654</v>
      </c>
    </row>
    <row r="759" spans="22:22">
      <c r="V759" t="s">
        <v>3655</v>
      </c>
    </row>
    <row r="760" spans="22:22">
      <c r="V760" t="s">
        <v>3656</v>
      </c>
    </row>
    <row r="761" spans="22:22">
      <c r="V761" t="s">
        <v>3657</v>
      </c>
    </row>
    <row r="762" spans="22:22">
      <c r="V762" t="s">
        <v>3658</v>
      </c>
    </row>
    <row r="763" spans="22:22">
      <c r="V763" t="s">
        <v>3659</v>
      </c>
    </row>
    <row r="764" spans="22:22">
      <c r="V764" t="s">
        <v>3660</v>
      </c>
    </row>
    <row r="765" spans="22:22">
      <c r="V765" t="s">
        <v>3661</v>
      </c>
    </row>
    <row r="766" spans="22:22">
      <c r="V766" t="s">
        <v>3662</v>
      </c>
    </row>
    <row r="767" spans="22:22">
      <c r="V767" t="s">
        <v>3663</v>
      </c>
    </row>
    <row r="768" spans="22:22">
      <c r="V768" t="s">
        <v>3664</v>
      </c>
    </row>
    <row r="769" spans="22:22">
      <c r="V769" t="s">
        <v>3665</v>
      </c>
    </row>
    <row r="770" spans="22:22">
      <c r="V770" t="s">
        <v>3666</v>
      </c>
    </row>
    <row r="771" spans="22:22">
      <c r="V771" t="s">
        <v>3667</v>
      </c>
    </row>
    <row r="772" spans="22:22">
      <c r="V772" t="s">
        <v>3668</v>
      </c>
    </row>
    <row r="773" spans="22:22">
      <c r="V773" t="s">
        <v>3669</v>
      </c>
    </row>
    <row r="774" spans="22:22">
      <c r="V774" t="s">
        <v>3670</v>
      </c>
    </row>
    <row r="775" spans="22:22">
      <c r="V775" t="s">
        <v>3671</v>
      </c>
    </row>
    <row r="776" spans="22:22">
      <c r="V776" t="s">
        <v>3672</v>
      </c>
    </row>
    <row r="777" spans="22:22">
      <c r="V777" t="s">
        <v>3673</v>
      </c>
    </row>
    <row r="778" spans="22:22">
      <c r="V778" t="s">
        <v>3674</v>
      </c>
    </row>
    <row r="779" spans="22:22">
      <c r="V779" t="s">
        <v>3675</v>
      </c>
    </row>
    <row r="780" spans="22:22">
      <c r="V780" t="s">
        <v>3676</v>
      </c>
    </row>
    <row r="781" spans="22:22">
      <c r="V781" t="s">
        <v>3677</v>
      </c>
    </row>
    <row r="782" spans="22:22">
      <c r="V782" t="s">
        <v>3678</v>
      </c>
    </row>
    <row r="783" spans="22:22">
      <c r="V783" t="s">
        <v>3679</v>
      </c>
    </row>
    <row r="784" spans="22:22">
      <c r="V784" t="s">
        <v>3680</v>
      </c>
    </row>
    <row r="785" spans="22:22">
      <c r="V785" t="s">
        <v>3681</v>
      </c>
    </row>
    <row r="786" spans="22:22">
      <c r="V786" t="s">
        <v>3682</v>
      </c>
    </row>
    <row r="787" spans="22:22">
      <c r="V787" t="s">
        <v>3683</v>
      </c>
    </row>
    <row r="788" spans="22:22">
      <c r="V788" t="s">
        <v>3684</v>
      </c>
    </row>
    <row r="789" spans="22:22">
      <c r="V789" t="s">
        <v>3685</v>
      </c>
    </row>
    <row r="790" spans="22:22">
      <c r="V790" t="s">
        <v>3686</v>
      </c>
    </row>
    <row r="791" spans="22:22">
      <c r="V791" t="s">
        <v>3687</v>
      </c>
    </row>
    <row r="792" spans="22:22">
      <c r="V792" t="s">
        <v>3688</v>
      </c>
    </row>
    <row r="793" spans="22:22">
      <c r="V793" t="s">
        <v>3689</v>
      </c>
    </row>
    <row r="794" spans="22:22">
      <c r="V794" t="s">
        <v>3690</v>
      </c>
    </row>
    <row r="795" spans="22:22">
      <c r="V795" t="s">
        <v>3691</v>
      </c>
    </row>
    <row r="796" spans="22:22">
      <c r="V796" t="s">
        <v>3692</v>
      </c>
    </row>
    <row r="797" spans="22:22">
      <c r="V797" t="s">
        <v>3693</v>
      </c>
    </row>
    <row r="798" spans="22:22">
      <c r="V798" t="s">
        <v>3694</v>
      </c>
    </row>
    <row r="799" spans="22:22">
      <c r="V799" t="s">
        <v>3695</v>
      </c>
    </row>
    <row r="800" spans="22:22">
      <c r="V800" t="s">
        <v>3696</v>
      </c>
    </row>
    <row r="801" spans="22:22">
      <c r="V801" t="s">
        <v>3697</v>
      </c>
    </row>
    <row r="802" spans="22:22">
      <c r="V802" t="s">
        <v>3698</v>
      </c>
    </row>
    <row r="803" spans="22:22">
      <c r="V803" t="s">
        <v>3699</v>
      </c>
    </row>
    <row r="804" spans="22:22">
      <c r="V804" t="s">
        <v>3700</v>
      </c>
    </row>
    <row r="805" spans="22:22">
      <c r="V805" t="s">
        <v>3701</v>
      </c>
    </row>
    <row r="806" spans="22:22">
      <c r="V806" t="s">
        <v>3702</v>
      </c>
    </row>
    <row r="807" spans="22:22">
      <c r="V807" t="s">
        <v>3703</v>
      </c>
    </row>
    <row r="808" spans="22:22">
      <c r="V808" t="s">
        <v>3704</v>
      </c>
    </row>
    <row r="809" spans="22:22">
      <c r="V809" t="s">
        <v>3705</v>
      </c>
    </row>
    <row r="810" spans="22:22">
      <c r="V810" t="s">
        <v>3706</v>
      </c>
    </row>
    <row r="811" spans="22:22">
      <c r="V811" t="s">
        <v>3707</v>
      </c>
    </row>
    <row r="812" spans="22:22">
      <c r="V812" t="s">
        <v>3708</v>
      </c>
    </row>
    <row r="813" spans="22:22">
      <c r="V813" t="s">
        <v>3709</v>
      </c>
    </row>
    <row r="814" spans="22:22">
      <c r="V814" t="s">
        <v>3710</v>
      </c>
    </row>
    <row r="815" spans="22:22">
      <c r="V815" t="s">
        <v>3711</v>
      </c>
    </row>
    <row r="816" spans="22:22">
      <c r="V816" t="s">
        <v>3712</v>
      </c>
    </row>
    <row r="817" spans="22:22">
      <c r="V817" t="s">
        <v>3713</v>
      </c>
    </row>
    <row r="818" spans="22:22">
      <c r="V818" t="s">
        <v>3714</v>
      </c>
    </row>
    <row r="819" spans="22:22">
      <c r="V819" t="s">
        <v>3715</v>
      </c>
    </row>
    <row r="820" spans="22:22">
      <c r="V820" t="s">
        <v>3716</v>
      </c>
    </row>
    <row r="821" spans="22:22">
      <c r="V821" t="s">
        <v>3717</v>
      </c>
    </row>
    <row r="822" spans="22:22">
      <c r="V822" t="s">
        <v>3718</v>
      </c>
    </row>
    <row r="823" spans="22:22">
      <c r="V823" t="s">
        <v>3719</v>
      </c>
    </row>
    <row r="824" spans="22:22">
      <c r="V824" t="s">
        <v>3720</v>
      </c>
    </row>
    <row r="825" spans="22:22">
      <c r="V825" t="s">
        <v>3721</v>
      </c>
    </row>
    <row r="826" spans="22:22">
      <c r="V826" t="s">
        <v>3722</v>
      </c>
    </row>
    <row r="827" spans="22:22">
      <c r="V827" t="s">
        <v>1735</v>
      </c>
    </row>
    <row r="828" spans="22:22">
      <c r="V828" t="s">
        <v>1929</v>
      </c>
    </row>
    <row r="829" spans="22:22">
      <c r="V829" t="s">
        <v>1736</v>
      </c>
    </row>
    <row r="830" spans="22:22">
      <c r="V830" t="s">
        <v>1737</v>
      </c>
    </row>
    <row r="831" spans="22:22">
      <c r="V831" t="s">
        <v>3723</v>
      </c>
    </row>
    <row r="832" spans="22:22">
      <c r="V832" t="s">
        <v>3724</v>
      </c>
    </row>
    <row r="833" spans="22:22">
      <c r="V833" t="s">
        <v>1510</v>
      </c>
    </row>
    <row r="834" spans="22:22">
      <c r="V834" t="s">
        <v>3725</v>
      </c>
    </row>
    <row r="835" spans="22:22">
      <c r="V835" t="s">
        <v>3726</v>
      </c>
    </row>
    <row r="836" spans="22:22">
      <c r="V836" t="s">
        <v>3727</v>
      </c>
    </row>
    <row r="837" spans="22:22">
      <c r="V837" t="s">
        <v>3728</v>
      </c>
    </row>
    <row r="838" spans="22:22">
      <c r="V838" t="s">
        <v>3729</v>
      </c>
    </row>
    <row r="839" spans="22:22">
      <c r="V839" t="s">
        <v>3730</v>
      </c>
    </row>
    <row r="840" spans="22:22">
      <c r="V840" t="s">
        <v>3731</v>
      </c>
    </row>
    <row r="841" spans="22:22">
      <c r="V841" t="s">
        <v>3732</v>
      </c>
    </row>
    <row r="842" spans="22:22">
      <c r="V842" t="s">
        <v>3733</v>
      </c>
    </row>
    <row r="843" spans="22:22">
      <c r="V843" t="s">
        <v>3734</v>
      </c>
    </row>
    <row r="844" spans="22:22">
      <c r="V844" t="s">
        <v>3735</v>
      </c>
    </row>
    <row r="845" spans="22:22">
      <c r="V845" t="s">
        <v>3736</v>
      </c>
    </row>
    <row r="846" spans="22:22">
      <c r="V846" t="s">
        <v>3737</v>
      </c>
    </row>
    <row r="847" spans="22:22">
      <c r="V847" t="s">
        <v>3738</v>
      </c>
    </row>
    <row r="848" spans="22:22">
      <c r="V848" t="s">
        <v>3739</v>
      </c>
    </row>
    <row r="849" spans="22:22">
      <c r="V849" t="s">
        <v>3740</v>
      </c>
    </row>
    <row r="850" spans="22:22">
      <c r="V850" t="s">
        <v>3741</v>
      </c>
    </row>
    <row r="851" spans="22:22">
      <c r="V851" t="s">
        <v>3742</v>
      </c>
    </row>
    <row r="852" spans="22:22">
      <c r="V852" t="s">
        <v>3743</v>
      </c>
    </row>
    <row r="853" spans="22:22">
      <c r="V853" t="s">
        <v>3744</v>
      </c>
    </row>
    <row r="854" spans="22:22">
      <c r="V854" t="s">
        <v>3745</v>
      </c>
    </row>
    <row r="855" spans="22:22">
      <c r="V855" t="s">
        <v>3746</v>
      </c>
    </row>
    <row r="856" spans="22:22">
      <c r="V856" t="s">
        <v>3747</v>
      </c>
    </row>
    <row r="857" spans="22:22">
      <c r="V857" t="s">
        <v>3748</v>
      </c>
    </row>
    <row r="858" spans="22:22">
      <c r="V858" t="s">
        <v>3749</v>
      </c>
    </row>
    <row r="859" spans="22:22">
      <c r="V859" t="s">
        <v>3750</v>
      </c>
    </row>
    <row r="860" spans="22:22">
      <c r="V860" t="s">
        <v>3751</v>
      </c>
    </row>
    <row r="861" spans="22:22">
      <c r="V861" t="s">
        <v>3752</v>
      </c>
    </row>
    <row r="862" spans="22:22">
      <c r="V862" t="s">
        <v>3753</v>
      </c>
    </row>
    <row r="863" spans="22:22">
      <c r="V863" t="s">
        <v>3754</v>
      </c>
    </row>
    <row r="864" spans="22:22">
      <c r="V864" t="s">
        <v>3755</v>
      </c>
    </row>
    <row r="865" spans="22:22">
      <c r="V865" t="s">
        <v>3756</v>
      </c>
    </row>
    <row r="866" spans="22:22">
      <c r="V866" t="s">
        <v>3757</v>
      </c>
    </row>
    <row r="867" spans="22:22">
      <c r="V867" t="s">
        <v>3758</v>
      </c>
    </row>
    <row r="868" spans="22:22">
      <c r="V868" t="s">
        <v>3759</v>
      </c>
    </row>
    <row r="869" spans="22:22">
      <c r="V869" t="s">
        <v>3760</v>
      </c>
    </row>
    <row r="870" spans="22:22">
      <c r="V870" t="s">
        <v>3761</v>
      </c>
    </row>
    <row r="871" spans="22:22">
      <c r="V871" t="s">
        <v>3762</v>
      </c>
    </row>
    <row r="872" spans="22:22">
      <c r="V872" t="s">
        <v>3763</v>
      </c>
    </row>
    <row r="873" spans="22:22">
      <c r="V873" t="s">
        <v>3764</v>
      </c>
    </row>
    <row r="874" spans="22:22">
      <c r="V874" t="s">
        <v>3765</v>
      </c>
    </row>
    <row r="875" spans="22:22">
      <c r="V875" t="s">
        <v>3766</v>
      </c>
    </row>
    <row r="876" spans="22:22">
      <c r="V876" t="s">
        <v>3767</v>
      </c>
    </row>
    <row r="877" spans="22:22">
      <c r="V877" t="s">
        <v>3768</v>
      </c>
    </row>
    <row r="878" spans="22:22">
      <c r="V878" t="s">
        <v>3769</v>
      </c>
    </row>
    <row r="879" spans="22:22">
      <c r="V879" t="s">
        <v>3770</v>
      </c>
    </row>
    <row r="880" spans="22:22">
      <c r="V880" t="s">
        <v>3771</v>
      </c>
    </row>
    <row r="881" spans="22:22">
      <c r="V881" t="s">
        <v>3772</v>
      </c>
    </row>
    <row r="882" spans="22:22">
      <c r="V882" t="s">
        <v>3773</v>
      </c>
    </row>
    <row r="883" spans="22:22">
      <c r="V883" t="s">
        <v>3774</v>
      </c>
    </row>
    <row r="884" spans="22:22">
      <c r="V884" t="s">
        <v>3775</v>
      </c>
    </row>
    <row r="885" spans="22:22">
      <c r="V885" t="s">
        <v>3776</v>
      </c>
    </row>
    <row r="886" spans="22:22">
      <c r="V886" t="s">
        <v>3777</v>
      </c>
    </row>
    <row r="887" spans="22:22">
      <c r="V887" t="s">
        <v>3778</v>
      </c>
    </row>
    <row r="888" spans="22:22">
      <c r="V888" t="s">
        <v>3779</v>
      </c>
    </row>
    <row r="889" spans="22:22">
      <c r="V889" t="s">
        <v>3780</v>
      </c>
    </row>
    <row r="890" spans="22:22">
      <c r="V890" t="s">
        <v>3781</v>
      </c>
    </row>
    <row r="891" spans="22:22">
      <c r="V891" t="s">
        <v>3782</v>
      </c>
    </row>
    <row r="892" spans="22:22">
      <c r="V892" t="s">
        <v>3783</v>
      </c>
    </row>
    <row r="893" spans="22:22">
      <c r="V893" t="s">
        <v>3784</v>
      </c>
    </row>
    <row r="894" spans="22:22">
      <c r="V894" t="s">
        <v>3785</v>
      </c>
    </row>
    <row r="895" spans="22:22">
      <c r="V895" t="s">
        <v>3786</v>
      </c>
    </row>
    <row r="896" spans="22:22">
      <c r="V896" t="s">
        <v>3787</v>
      </c>
    </row>
    <row r="897" spans="22:22">
      <c r="V897" t="s">
        <v>3788</v>
      </c>
    </row>
    <row r="898" spans="22:22">
      <c r="V898" t="s">
        <v>3789</v>
      </c>
    </row>
    <row r="899" spans="22:22">
      <c r="V899" t="s">
        <v>3790</v>
      </c>
    </row>
    <row r="900" spans="22:22">
      <c r="V900" t="s">
        <v>3791</v>
      </c>
    </row>
    <row r="901" spans="22:22">
      <c r="V901" t="s">
        <v>3792</v>
      </c>
    </row>
    <row r="902" spans="22:22">
      <c r="V902" t="s">
        <v>3793</v>
      </c>
    </row>
    <row r="903" spans="22:22">
      <c r="V903" t="s">
        <v>3794</v>
      </c>
    </row>
    <row r="904" spans="22:22">
      <c r="V904" t="s">
        <v>3795</v>
      </c>
    </row>
    <row r="905" spans="22:22">
      <c r="V905" t="s">
        <v>3796</v>
      </c>
    </row>
    <row r="906" spans="22:22">
      <c r="V906" t="s">
        <v>3797</v>
      </c>
    </row>
    <row r="907" spans="22:22">
      <c r="V907" t="s">
        <v>3798</v>
      </c>
    </row>
    <row r="908" spans="22:22">
      <c r="V908" t="s">
        <v>3799</v>
      </c>
    </row>
    <row r="909" spans="22:22">
      <c r="V909" t="s">
        <v>3800</v>
      </c>
    </row>
    <row r="910" spans="22:22">
      <c r="V910" t="s">
        <v>3801</v>
      </c>
    </row>
    <row r="911" spans="22:22">
      <c r="V911" t="s">
        <v>3802</v>
      </c>
    </row>
    <row r="912" spans="22:22">
      <c r="V912" t="s">
        <v>3803</v>
      </c>
    </row>
    <row r="913" spans="22:22">
      <c r="V913" t="s">
        <v>3804</v>
      </c>
    </row>
    <row r="914" spans="22:22">
      <c r="V914" t="s">
        <v>3805</v>
      </c>
    </row>
    <row r="915" spans="22:22">
      <c r="V915" t="s">
        <v>3806</v>
      </c>
    </row>
    <row r="916" spans="22:22">
      <c r="V916" t="s">
        <v>3807</v>
      </c>
    </row>
    <row r="917" spans="22:22">
      <c r="V917" t="s">
        <v>3808</v>
      </c>
    </row>
    <row r="918" spans="22:22">
      <c r="V918" t="s">
        <v>3809</v>
      </c>
    </row>
    <row r="919" spans="22:22">
      <c r="V919" t="s">
        <v>3810</v>
      </c>
    </row>
    <row r="920" spans="22:22">
      <c r="V920" t="s">
        <v>3811</v>
      </c>
    </row>
    <row r="921" spans="22:22">
      <c r="V921" t="s">
        <v>3812</v>
      </c>
    </row>
    <row r="922" spans="22:22">
      <c r="V922" t="s">
        <v>3813</v>
      </c>
    </row>
    <row r="923" spans="22:22">
      <c r="V923" t="s">
        <v>3814</v>
      </c>
    </row>
    <row r="924" spans="22:22">
      <c r="V924" t="s">
        <v>3815</v>
      </c>
    </row>
    <row r="925" spans="22:22">
      <c r="V925" t="s">
        <v>3816</v>
      </c>
    </row>
    <row r="926" spans="22:22">
      <c r="V926" t="s">
        <v>3817</v>
      </c>
    </row>
    <row r="927" spans="22:22">
      <c r="V927" t="s">
        <v>3818</v>
      </c>
    </row>
    <row r="928" spans="22:22">
      <c r="V928" t="s">
        <v>3819</v>
      </c>
    </row>
    <row r="929" spans="22:22">
      <c r="V929" t="s">
        <v>3820</v>
      </c>
    </row>
    <row r="930" spans="22:22">
      <c r="V930" t="s">
        <v>3821</v>
      </c>
    </row>
    <row r="931" spans="22:22">
      <c r="V931" t="s">
        <v>3822</v>
      </c>
    </row>
    <row r="932" spans="22:22">
      <c r="V932" t="s">
        <v>3823</v>
      </c>
    </row>
    <row r="933" spans="22:22">
      <c r="V933" t="s">
        <v>3824</v>
      </c>
    </row>
    <row r="934" spans="22:22">
      <c r="V934" t="s">
        <v>3825</v>
      </c>
    </row>
    <row r="935" spans="22:22">
      <c r="V935" t="s">
        <v>3826</v>
      </c>
    </row>
    <row r="936" spans="22:22">
      <c r="V936" t="s">
        <v>3827</v>
      </c>
    </row>
    <row r="937" spans="22:22">
      <c r="V937" t="s">
        <v>3828</v>
      </c>
    </row>
    <row r="938" spans="22:22">
      <c r="V938" t="s">
        <v>3829</v>
      </c>
    </row>
    <row r="939" spans="22:22">
      <c r="V939" t="s">
        <v>3830</v>
      </c>
    </row>
    <row r="940" spans="22:22">
      <c r="V940" t="s">
        <v>3831</v>
      </c>
    </row>
    <row r="941" spans="22:22">
      <c r="V941" t="s">
        <v>3832</v>
      </c>
    </row>
    <row r="942" spans="22:22">
      <c r="V942" t="s">
        <v>3833</v>
      </c>
    </row>
    <row r="943" spans="22:22">
      <c r="V943" t="s">
        <v>3834</v>
      </c>
    </row>
    <row r="944" spans="22:22">
      <c r="V944" t="s">
        <v>3835</v>
      </c>
    </row>
    <row r="945" spans="22:22">
      <c r="V945" t="s">
        <v>3836</v>
      </c>
    </row>
    <row r="946" spans="22:22">
      <c r="V946" t="s">
        <v>3837</v>
      </c>
    </row>
    <row r="947" spans="22:22">
      <c r="V947" t="s">
        <v>3838</v>
      </c>
    </row>
    <row r="948" spans="22:22">
      <c r="V948" t="s">
        <v>2717</v>
      </c>
    </row>
    <row r="949" spans="22:22">
      <c r="V949" t="s">
        <v>2974</v>
      </c>
    </row>
    <row r="950" spans="22:22">
      <c r="V950" t="s">
        <v>2977</v>
      </c>
    </row>
    <row r="951" spans="22:22">
      <c r="V951" t="s">
        <v>1529</v>
      </c>
    </row>
    <row r="952" spans="22:22">
      <c r="V952" t="s">
        <v>1530</v>
      </c>
    </row>
    <row r="953" spans="22:22">
      <c r="V953" t="s">
        <v>3839</v>
      </c>
    </row>
    <row r="954" spans="22:22">
      <c r="V954" t="s">
        <v>3840</v>
      </c>
    </row>
    <row r="955" spans="22:22">
      <c r="V955" t="s">
        <v>3841</v>
      </c>
    </row>
    <row r="956" spans="22:22">
      <c r="V956" t="s">
        <v>3842</v>
      </c>
    </row>
    <row r="957" spans="22:22">
      <c r="V957" t="s">
        <v>3843</v>
      </c>
    </row>
    <row r="958" spans="22:22">
      <c r="V958" t="s">
        <v>3844</v>
      </c>
    </row>
    <row r="959" spans="22:22">
      <c r="V959" t="s">
        <v>3845</v>
      </c>
    </row>
    <row r="960" spans="22:22">
      <c r="V960" t="s">
        <v>3846</v>
      </c>
    </row>
    <row r="961" spans="22:22">
      <c r="V961" t="s">
        <v>3847</v>
      </c>
    </row>
    <row r="962" spans="22:22">
      <c r="V962" t="s">
        <v>3848</v>
      </c>
    </row>
    <row r="963" spans="22:22">
      <c r="V963" t="s">
        <v>3849</v>
      </c>
    </row>
    <row r="964" spans="22:22">
      <c r="V964" t="s">
        <v>3850</v>
      </c>
    </row>
    <row r="965" spans="22:22">
      <c r="V965" t="s">
        <v>3851</v>
      </c>
    </row>
    <row r="966" spans="22:22">
      <c r="V966" t="s">
        <v>3852</v>
      </c>
    </row>
    <row r="967" spans="22:22">
      <c r="V967" t="s">
        <v>3853</v>
      </c>
    </row>
    <row r="968" spans="22:22">
      <c r="V968" t="s">
        <v>3854</v>
      </c>
    </row>
    <row r="969" spans="22:22">
      <c r="V969" t="s">
        <v>3855</v>
      </c>
    </row>
    <row r="970" spans="22:22">
      <c r="V970" t="s">
        <v>3856</v>
      </c>
    </row>
    <row r="971" spans="22:22">
      <c r="V971" t="s">
        <v>3857</v>
      </c>
    </row>
    <row r="972" spans="22:22">
      <c r="V972" t="s">
        <v>3858</v>
      </c>
    </row>
    <row r="973" spans="22:22">
      <c r="V973" t="s">
        <v>3859</v>
      </c>
    </row>
    <row r="974" spans="22:22">
      <c r="V974" t="s">
        <v>3860</v>
      </c>
    </row>
    <row r="975" spans="22:22">
      <c r="V975" t="s">
        <v>3861</v>
      </c>
    </row>
    <row r="976" spans="22:22">
      <c r="V976" t="s">
        <v>3862</v>
      </c>
    </row>
    <row r="977" spans="22:22">
      <c r="V977" t="s">
        <v>3863</v>
      </c>
    </row>
    <row r="978" spans="22:22">
      <c r="V978" t="s">
        <v>3864</v>
      </c>
    </row>
    <row r="979" spans="22:22">
      <c r="V979" t="s">
        <v>3865</v>
      </c>
    </row>
    <row r="980" spans="22:22">
      <c r="V980" t="s">
        <v>3866</v>
      </c>
    </row>
    <row r="981" spans="22:22">
      <c r="V981" t="s">
        <v>3867</v>
      </c>
    </row>
    <row r="982" spans="22:22">
      <c r="V982" t="s">
        <v>3868</v>
      </c>
    </row>
    <row r="983" spans="22:22">
      <c r="V983" t="s">
        <v>3869</v>
      </c>
    </row>
    <row r="984" spans="22:22">
      <c r="V984" t="s">
        <v>1754</v>
      </c>
    </row>
    <row r="985" spans="22:22">
      <c r="V985" t="s">
        <v>1755</v>
      </c>
    </row>
    <row r="986" spans="22:22">
      <c r="V986" t="s">
        <v>1756</v>
      </c>
    </row>
    <row r="987" spans="22:22">
      <c r="V987" t="s">
        <v>1757</v>
      </c>
    </row>
    <row r="988" spans="22:22">
      <c r="V988" t="s">
        <v>1758</v>
      </c>
    </row>
    <row r="989" spans="22:22">
      <c r="V989" t="s">
        <v>1759</v>
      </c>
    </row>
    <row r="990" spans="22:22">
      <c r="V990" t="s">
        <v>1760</v>
      </c>
    </row>
    <row r="991" spans="22:22" ht="13.5">
      <c r="V991" s="32" t="s">
        <v>2832</v>
      </c>
    </row>
    <row r="992" spans="22:22" ht="13.5">
      <c r="V992" s="32" t="s">
        <v>3006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25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J13" sqref="J13"/>
    </sheetView>
  </sheetViews>
  <sheetFormatPr defaultColWidth="9.1796875" defaultRowHeight="12.5"/>
  <cols>
    <col min="1" max="1" width="20" style="4" customWidth="1"/>
    <col min="2" max="2" width="13.26953125" style="4" customWidth="1"/>
    <col min="3" max="3" width="11.26953125" style="4" customWidth="1"/>
    <col min="4" max="4" width="18" style="4" customWidth="1"/>
    <col min="5" max="5" width="15" style="4" customWidth="1"/>
    <col min="6" max="6" width="13.54296875" style="4" customWidth="1"/>
    <col min="7" max="7" width="25.1796875" style="4" customWidth="1"/>
    <col min="8" max="8" width="11.26953125" style="4" customWidth="1"/>
    <col min="9" max="9" width="9.26953125" style="4" customWidth="1"/>
    <col min="10" max="10" width="9.54296875" style="4" customWidth="1"/>
    <col min="11" max="11" width="12.1796875" style="4" customWidth="1"/>
    <col min="12" max="12" width="23.54296875" style="4" customWidth="1"/>
    <col min="13" max="13" width="24.7265625" style="4" customWidth="1"/>
    <col min="14" max="14" width="12" style="4" bestFit="1" customWidth="1"/>
    <col min="15" max="15" width="12.1796875" style="4" bestFit="1" customWidth="1"/>
    <col min="16" max="16" width="9.81640625" style="4" customWidth="1"/>
    <col min="17" max="17" width="16.26953125" style="4" customWidth="1"/>
    <col min="18" max="18" width="13.54296875" style="4" customWidth="1"/>
    <col min="19" max="19" width="11.7265625" style="4" customWidth="1"/>
    <col min="20" max="20" width="11.26953125" style="4" customWidth="1"/>
    <col min="21" max="21" width="10.1796875" style="4" customWidth="1"/>
    <col min="22" max="22" width="12.7265625" style="4" customWidth="1"/>
    <col min="23" max="23" width="28.453125" style="4" customWidth="1"/>
    <col min="24" max="16384" width="9.1796875" style="4"/>
  </cols>
  <sheetData>
    <row r="1" spans="1:22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7"/>
      <c r="P1" s="166"/>
      <c r="Q1" s="167"/>
      <c r="R1" s="17"/>
      <c r="S1" s="17"/>
      <c r="T1" s="17"/>
      <c r="U1" s="17"/>
      <c r="V1" s="17"/>
    </row>
    <row r="2" spans="1:22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60"/>
      <c r="P2" s="168"/>
      <c r="Q2" s="169"/>
    </row>
    <row r="3" spans="1:22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59"/>
      <c r="L3" s="160"/>
      <c r="M3" s="3" t="s">
        <v>1510</v>
      </c>
      <c r="N3" s="164" t="str">
        <f>_FormulaHelpers_!B48</f>
        <v>Base</v>
      </c>
      <c r="O3" s="164"/>
      <c r="P3" s="168"/>
      <c r="Q3" s="169"/>
    </row>
    <row r="4" spans="1:22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2"/>
      <c r="L4" s="163"/>
      <c r="M4" s="3" t="s">
        <v>1795</v>
      </c>
      <c r="N4" s="164" t="str">
        <f>_FormulaHelpers_!B52</f>
        <v>Normal</v>
      </c>
      <c r="O4" s="164"/>
      <c r="P4" s="170"/>
      <c r="Q4" s="171"/>
    </row>
    <row r="5" spans="1:22" ht="18.75" customHeight="1">
      <c r="A5" s="154" t="s">
        <v>2093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7"/>
      <c r="S5" s="17"/>
      <c r="T5" s="17"/>
      <c r="U5" s="17"/>
      <c r="V5" s="17"/>
    </row>
    <row r="7" spans="1:22" customFormat="1" ht="15" customHeight="1">
      <c r="A7" s="149" t="s">
        <v>368</v>
      </c>
      <c r="B7" s="149"/>
      <c r="C7" s="149"/>
      <c r="D7" s="149"/>
      <c r="E7" s="149"/>
      <c r="F7" s="149"/>
      <c r="G7" s="149"/>
      <c r="H7" s="186" t="s">
        <v>375</v>
      </c>
      <c r="I7" s="187"/>
      <c r="J7" s="187"/>
      <c r="K7" s="188"/>
      <c r="L7" s="149" t="s">
        <v>12</v>
      </c>
      <c r="M7" s="146" t="s">
        <v>2223</v>
      </c>
      <c r="N7" s="61"/>
      <c r="O7" s="61"/>
      <c r="P7" s="61"/>
      <c r="Q7" s="61"/>
      <c r="R7" s="61"/>
    </row>
    <row r="8" spans="1:22" customFormat="1" ht="15" customHeight="1">
      <c r="A8" s="149" t="s">
        <v>1576</v>
      </c>
      <c r="B8" s="149" t="s">
        <v>365</v>
      </c>
      <c r="C8" s="149" t="s">
        <v>366</v>
      </c>
      <c r="D8" s="150" t="s">
        <v>2230</v>
      </c>
      <c r="E8" s="150" t="s">
        <v>2152</v>
      </c>
      <c r="F8" s="149" t="s">
        <v>367</v>
      </c>
      <c r="G8" s="149" t="s">
        <v>1512</v>
      </c>
      <c r="H8" s="149" t="s">
        <v>847</v>
      </c>
      <c r="I8" s="149" t="s">
        <v>2097</v>
      </c>
      <c r="J8" s="150" t="s">
        <v>2099</v>
      </c>
      <c r="K8" s="190" t="s">
        <v>2101</v>
      </c>
      <c r="L8" s="149"/>
      <c r="M8" s="147"/>
      <c r="N8" s="62" t="s">
        <v>2857</v>
      </c>
      <c r="O8" s="63" t="s">
        <v>2285</v>
      </c>
      <c r="P8" s="62" t="s">
        <v>2295</v>
      </c>
      <c r="Q8" s="63" t="s">
        <v>2296</v>
      </c>
      <c r="R8" s="62" t="s">
        <v>2297</v>
      </c>
    </row>
    <row r="9" spans="1:22" customFormat="1" ht="15" customHeight="1">
      <c r="A9" s="149"/>
      <c r="B9" s="149"/>
      <c r="C9" s="149"/>
      <c r="D9" s="152"/>
      <c r="E9" s="152"/>
      <c r="F9" s="149"/>
      <c r="G9" s="149"/>
      <c r="H9" s="149"/>
      <c r="I9" s="149"/>
      <c r="J9" s="152"/>
      <c r="K9" s="192"/>
      <c r="L9" s="149"/>
      <c r="M9" s="148"/>
      <c r="N9" s="59"/>
      <c r="O9" s="59"/>
      <c r="P9" s="59"/>
      <c r="Q9" s="59"/>
      <c r="R9" s="59"/>
    </row>
    <row r="10" spans="1:22" customFormat="1" ht="15" customHeight="1">
      <c r="A10" s="13" t="s">
        <v>1853</v>
      </c>
      <c r="B10" s="14" t="s">
        <v>2274</v>
      </c>
      <c r="C10" s="30" t="s">
        <v>2275</v>
      </c>
      <c r="D10" s="13" t="s">
        <v>2231</v>
      </c>
      <c r="E10" s="13" t="s">
        <v>2153</v>
      </c>
      <c r="F10" s="13" t="s">
        <v>1861</v>
      </c>
      <c r="G10" s="13" t="s">
        <v>2128</v>
      </c>
      <c r="H10" s="41" t="s">
        <v>2096</v>
      </c>
      <c r="I10" s="41" t="s">
        <v>2098</v>
      </c>
      <c r="J10" s="41" t="s">
        <v>2100</v>
      </c>
      <c r="K10" s="41" t="s">
        <v>2065</v>
      </c>
      <c r="L10" s="34" t="s">
        <v>571</v>
      </c>
      <c r="M10" s="53" t="s">
        <v>2224</v>
      </c>
      <c r="N10" s="58"/>
      <c r="O10" s="58"/>
      <c r="P10" s="58"/>
      <c r="Q10" s="58"/>
      <c r="R10" s="58"/>
    </row>
    <row r="12" spans="1:22" ht="13">
      <c r="A12" s="6"/>
    </row>
    <row r="13" spans="1:22">
      <c r="A13" s="7"/>
    </row>
    <row r="14" spans="1:22">
      <c r="A14" s="7"/>
    </row>
    <row r="15" spans="1:22">
      <c r="A15" s="7"/>
    </row>
    <row r="16" spans="1:22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M7:M10" name="Range1_1"/>
  </protectedRanges>
  <mergeCells count="23">
    <mergeCell ref="C1:O1"/>
    <mergeCell ref="N4:O4"/>
    <mergeCell ref="G8:G9"/>
    <mergeCell ref="I8:I9"/>
    <mergeCell ref="K8:K9"/>
    <mergeCell ref="H7:K7"/>
    <mergeCell ref="D8:D9"/>
    <mergeCell ref="C3:L3"/>
    <mergeCell ref="A5:Q5"/>
    <mergeCell ref="P1:Q4"/>
    <mergeCell ref="A8:A9"/>
    <mergeCell ref="C8:C9"/>
    <mergeCell ref="M7:M9"/>
    <mergeCell ref="A7:G7"/>
    <mergeCell ref="L7:L9"/>
    <mergeCell ref="J8:J9"/>
    <mergeCell ref="N3:O3"/>
    <mergeCell ref="C4:L4"/>
    <mergeCell ref="C2:O2"/>
    <mergeCell ref="E8:E9"/>
    <mergeCell ref="B8:B9"/>
    <mergeCell ref="F8:F9"/>
    <mergeCell ref="H8:H9"/>
  </mergeCells>
  <phoneticPr fontId="21" type="noConversion"/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5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H43" sqref="H43"/>
    </sheetView>
  </sheetViews>
  <sheetFormatPr defaultColWidth="9.1796875" defaultRowHeight="12.5"/>
  <cols>
    <col min="1" max="1" width="20" style="4" customWidth="1"/>
    <col min="2" max="2" width="13.26953125" style="4" customWidth="1"/>
    <col min="3" max="4" width="11.26953125" style="4" customWidth="1"/>
    <col min="5" max="5" width="18" style="4" customWidth="1"/>
    <col min="6" max="6" width="14" style="4" customWidth="1"/>
    <col min="7" max="7" width="13.54296875" style="4" customWidth="1"/>
    <col min="8" max="8" width="25.1796875" style="4" customWidth="1"/>
    <col min="9" max="9" width="11.26953125" style="4" customWidth="1"/>
    <col min="10" max="10" width="9.26953125" style="4" customWidth="1"/>
    <col min="11" max="11" width="9.54296875" style="4" customWidth="1"/>
    <col min="12" max="12" width="12.1796875" style="4" customWidth="1"/>
    <col min="13" max="13" width="23.54296875" style="4" customWidth="1"/>
    <col min="14" max="14" width="24.7265625" style="4" customWidth="1"/>
    <col min="15" max="15" width="8.7265625" style="4" customWidth="1"/>
    <col min="16" max="16" width="11" style="4" customWidth="1"/>
    <col min="17" max="17" width="9.81640625" style="4" customWidth="1"/>
    <col min="18" max="18" width="16.26953125" style="4" customWidth="1"/>
    <col min="19" max="19" width="13.54296875" style="4" customWidth="1"/>
    <col min="20" max="20" width="11.7265625" style="4" customWidth="1"/>
    <col min="21" max="21" width="11.26953125" style="4" customWidth="1"/>
    <col min="22" max="22" width="10.1796875" style="4" customWidth="1"/>
    <col min="23" max="23" width="12.7265625" style="4" customWidth="1"/>
    <col min="24" max="24" width="28.453125" style="4" customWidth="1"/>
    <col min="25" max="16384" width="9.1796875" style="4"/>
  </cols>
  <sheetData>
    <row r="1" spans="1:23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  <c r="Q1" s="166"/>
      <c r="R1" s="167"/>
      <c r="S1" s="17"/>
      <c r="T1" s="17"/>
      <c r="U1" s="17"/>
      <c r="V1" s="17"/>
      <c r="W1" s="17"/>
    </row>
    <row r="2" spans="1:23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60"/>
      <c r="Q2" s="168"/>
      <c r="R2" s="169"/>
    </row>
    <row r="3" spans="1:23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59"/>
      <c r="L3" s="159"/>
      <c r="M3" s="160"/>
      <c r="N3" s="3" t="s">
        <v>1510</v>
      </c>
      <c r="O3" s="164" t="str">
        <f>_FormulaHelpers_!B48</f>
        <v>Base</v>
      </c>
      <c r="P3" s="164"/>
      <c r="Q3" s="168"/>
      <c r="R3" s="169"/>
    </row>
    <row r="4" spans="1:23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2"/>
      <c r="L4" s="162"/>
      <c r="M4" s="163"/>
      <c r="N4" s="3" t="s">
        <v>1795</v>
      </c>
      <c r="O4" s="164" t="str">
        <f>_FormulaHelpers_!B52</f>
        <v>Normal</v>
      </c>
      <c r="P4" s="164"/>
      <c r="Q4" s="170"/>
      <c r="R4" s="171"/>
    </row>
    <row r="5" spans="1:23" ht="18.75" customHeight="1">
      <c r="A5" s="154" t="s">
        <v>2123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7"/>
      <c r="T5" s="17"/>
      <c r="U5" s="17"/>
      <c r="V5" s="17"/>
      <c r="W5" s="17"/>
    </row>
    <row r="7" spans="1:23" customFormat="1" ht="15" customHeight="1">
      <c r="A7" s="149" t="s">
        <v>368</v>
      </c>
      <c r="B7" s="149"/>
      <c r="C7" s="149"/>
      <c r="D7" s="149"/>
      <c r="E7" s="149"/>
      <c r="F7" s="149"/>
      <c r="G7" s="149"/>
      <c r="H7" s="149"/>
      <c r="I7" s="186" t="s">
        <v>375</v>
      </c>
      <c r="J7" s="187"/>
      <c r="K7" s="187"/>
      <c r="L7" s="188"/>
      <c r="M7" s="149" t="s">
        <v>12</v>
      </c>
      <c r="N7" s="146" t="s">
        <v>2223</v>
      </c>
    </row>
    <row r="8" spans="1:23" customFormat="1" ht="15" customHeight="1">
      <c r="A8" s="149" t="s">
        <v>1576</v>
      </c>
      <c r="B8" s="149" t="s">
        <v>365</v>
      </c>
      <c r="C8" s="149" t="s">
        <v>2121</v>
      </c>
      <c r="D8" s="150" t="s">
        <v>2122</v>
      </c>
      <c r="E8" s="150" t="s">
        <v>2230</v>
      </c>
      <c r="F8" s="150" t="s">
        <v>2152</v>
      </c>
      <c r="G8" s="149" t="s">
        <v>367</v>
      </c>
      <c r="H8" s="149" t="s">
        <v>1512</v>
      </c>
      <c r="I8" s="149" t="s">
        <v>847</v>
      </c>
      <c r="J8" s="149" t="s">
        <v>2097</v>
      </c>
      <c r="K8" s="150" t="s">
        <v>2112</v>
      </c>
      <c r="L8" s="190" t="s">
        <v>2101</v>
      </c>
      <c r="M8" s="149"/>
      <c r="N8" s="147"/>
    </row>
    <row r="9" spans="1:23" customFormat="1" ht="15" customHeight="1">
      <c r="A9" s="149"/>
      <c r="B9" s="149"/>
      <c r="C9" s="149"/>
      <c r="D9" s="152"/>
      <c r="E9" s="152"/>
      <c r="F9" s="152"/>
      <c r="G9" s="149"/>
      <c r="H9" s="149"/>
      <c r="I9" s="149"/>
      <c r="J9" s="149"/>
      <c r="K9" s="152"/>
      <c r="L9" s="192"/>
      <c r="M9" s="149"/>
      <c r="N9" s="148"/>
    </row>
    <row r="10" spans="1:23" customFormat="1" ht="15" customHeight="1">
      <c r="A10" s="13" t="s">
        <v>1853</v>
      </c>
      <c r="B10" s="13" t="s">
        <v>2278</v>
      </c>
      <c r="C10" s="30" t="s">
        <v>2279</v>
      </c>
      <c r="D10" s="30" t="s">
        <v>2280</v>
      </c>
      <c r="E10" s="13" t="s">
        <v>2231</v>
      </c>
      <c r="F10" s="13" t="s">
        <v>2153</v>
      </c>
      <c r="G10" s="13" t="s">
        <v>1861</v>
      </c>
      <c r="H10" s="13" t="s">
        <v>1854</v>
      </c>
      <c r="I10" s="41" t="s">
        <v>2096</v>
      </c>
      <c r="J10" s="41" t="s">
        <v>2098</v>
      </c>
      <c r="K10" s="41" t="s">
        <v>2113</v>
      </c>
      <c r="L10" s="41" t="s">
        <v>2065</v>
      </c>
      <c r="M10" s="34" t="s">
        <v>571</v>
      </c>
      <c r="N10" s="53" t="s">
        <v>2224</v>
      </c>
    </row>
    <row r="12" spans="1:23" ht="13">
      <c r="A12" s="6"/>
    </row>
    <row r="13" spans="1:23">
      <c r="A13" s="7"/>
    </row>
    <row r="14" spans="1:23">
      <c r="A14" s="7"/>
    </row>
    <row r="15" spans="1:23">
      <c r="A15" s="7"/>
    </row>
    <row r="16" spans="1:23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N7:N10" name="Range1_1"/>
  </protectedRanges>
  <mergeCells count="24">
    <mergeCell ref="B8:B9"/>
    <mergeCell ref="A8:A9"/>
    <mergeCell ref="I7:L7"/>
    <mergeCell ref="G8:G9"/>
    <mergeCell ref="K8:K9"/>
    <mergeCell ref="C8:C9"/>
    <mergeCell ref="E8:E9"/>
    <mergeCell ref="Q1:R4"/>
    <mergeCell ref="C2:P2"/>
    <mergeCell ref="C3:M3"/>
    <mergeCell ref="F8:F9"/>
    <mergeCell ref="A7:H7"/>
    <mergeCell ref="L8:L9"/>
    <mergeCell ref="O3:P3"/>
    <mergeCell ref="M7:M9"/>
    <mergeCell ref="H8:H9"/>
    <mergeCell ref="A5:R5"/>
    <mergeCell ref="C1:P1"/>
    <mergeCell ref="C4:M4"/>
    <mergeCell ref="N7:N9"/>
    <mergeCell ref="O4:P4"/>
    <mergeCell ref="I8:I9"/>
    <mergeCell ref="D8:D9"/>
    <mergeCell ref="J8:J9"/>
  </mergeCells>
  <phoneticPr fontId="21" type="noConversion"/>
  <pageMargins left="0.75" right="0.75" top="1" bottom="1" header="0.5" footer="0.5"/>
  <pageSetup scale="31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25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N8" sqref="N8"/>
    </sheetView>
  </sheetViews>
  <sheetFormatPr defaultColWidth="9.1796875" defaultRowHeight="12.5"/>
  <cols>
    <col min="1" max="1" width="20" style="4" customWidth="1"/>
    <col min="2" max="2" width="13.26953125" style="4" customWidth="1"/>
    <col min="3" max="3" width="11.26953125" style="4" customWidth="1"/>
    <col min="4" max="4" width="18" style="4" customWidth="1"/>
    <col min="5" max="5" width="15" style="4" customWidth="1"/>
    <col min="6" max="6" width="13.54296875" style="4" customWidth="1"/>
    <col min="7" max="7" width="25.1796875" style="4" customWidth="1"/>
    <col min="8" max="8" width="11.26953125" style="4" customWidth="1"/>
    <col min="9" max="9" width="9.26953125" style="4" customWidth="1"/>
    <col min="10" max="10" width="9.54296875" style="4" customWidth="1"/>
    <col min="11" max="11" width="12.1796875" style="4" customWidth="1"/>
    <col min="12" max="12" width="23.54296875" style="4" customWidth="1"/>
    <col min="13" max="13" width="25.7265625" style="4" customWidth="1"/>
    <col min="14" max="14" width="12" style="4" bestFit="1" customWidth="1"/>
    <col min="15" max="15" width="12.1796875" style="4" bestFit="1" customWidth="1"/>
    <col min="16" max="16" width="9.81640625" style="4" customWidth="1"/>
    <col min="17" max="17" width="16.26953125" style="4" customWidth="1"/>
    <col min="18" max="18" width="13.54296875" style="4" customWidth="1"/>
    <col min="19" max="19" width="11.7265625" style="4" customWidth="1"/>
    <col min="20" max="20" width="11.26953125" style="4" customWidth="1"/>
    <col min="21" max="21" width="10.1796875" style="4" customWidth="1"/>
    <col min="22" max="22" width="12.7265625" style="4" customWidth="1"/>
    <col min="23" max="23" width="28.453125" style="4" customWidth="1"/>
    <col min="24" max="16384" width="9.1796875" style="4"/>
  </cols>
  <sheetData>
    <row r="1" spans="1:22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7"/>
      <c r="M1" s="166"/>
      <c r="N1" s="167"/>
      <c r="O1" s="108"/>
      <c r="P1" s="17"/>
      <c r="Q1" s="17"/>
      <c r="R1" s="17"/>
      <c r="S1" s="17"/>
    </row>
    <row r="2" spans="1:22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60"/>
      <c r="M2" s="168"/>
      <c r="N2" s="169"/>
      <c r="O2" s="108"/>
      <c r="P2" s="17"/>
      <c r="Q2" s="17"/>
    </row>
    <row r="3" spans="1:22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60"/>
      <c r="J3" s="3" t="s">
        <v>1510</v>
      </c>
      <c r="K3" s="164" t="str">
        <f>_FormulaHelpers_!B48</f>
        <v>Base</v>
      </c>
      <c r="L3" s="164"/>
      <c r="M3" s="168"/>
      <c r="N3" s="169"/>
      <c r="O3" s="108"/>
      <c r="P3" s="17"/>
      <c r="Q3" s="17"/>
    </row>
    <row r="4" spans="1:22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3"/>
      <c r="J4" s="3" t="s">
        <v>1795</v>
      </c>
      <c r="K4" s="164" t="str">
        <f>_FormulaHelpers_!B52</f>
        <v>Normal</v>
      </c>
      <c r="L4" s="164"/>
      <c r="M4" s="170"/>
      <c r="N4" s="171"/>
      <c r="O4" s="108"/>
      <c r="P4" s="17"/>
      <c r="Q4" s="17"/>
    </row>
    <row r="5" spans="1:22" ht="18.75" customHeight="1">
      <c r="A5" s="154" t="s">
        <v>2111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200"/>
      <c r="P5" s="200"/>
      <c r="Q5" s="200"/>
      <c r="R5" s="17"/>
      <c r="S5" s="17"/>
      <c r="T5" s="17"/>
      <c r="U5" s="17"/>
      <c r="V5" s="17"/>
    </row>
    <row r="7" spans="1:22" customFormat="1" ht="15" customHeight="1">
      <c r="A7" s="149" t="s">
        <v>368</v>
      </c>
      <c r="B7" s="149"/>
      <c r="C7" s="149"/>
      <c r="D7" s="149"/>
      <c r="E7" s="149"/>
      <c r="F7" s="149"/>
      <c r="G7" s="149"/>
      <c r="H7" s="186" t="s">
        <v>375</v>
      </c>
      <c r="I7" s="187"/>
      <c r="J7" s="187"/>
      <c r="K7" s="188"/>
      <c r="L7" s="149" t="s">
        <v>12</v>
      </c>
      <c r="M7" s="146" t="s">
        <v>2223</v>
      </c>
      <c r="N7" s="61"/>
      <c r="O7" s="61"/>
      <c r="P7" s="61"/>
      <c r="Q7" s="61"/>
      <c r="R7" s="61"/>
    </row>
    <row r="8" spans="1:22" customFormat="1" ht="15" customHeight="1">
      <c r="A8" s="149" t="s">
        <v>1576</v>
      </c>
      <c r="B8" s="149" t="s">
        <v>365</v>
      </c>
      <c r="C8" s="149" t="s">
        <v>366</v>
      </c>
      <c r="D8" s="149" t="s">
        <v>1882</v>
      </c>
      <c r="E8" s="150" t="s">
        <v>2152</v>
      </c>
      <c r="F8" s="149" t="s">
        <v>367</v>
      </c>
      <c r="G8" s="149" t="s">
        <v>1512</v>
      </c>
      <c r="H8" s="149" t="s">
        <v>847</v>
      </c>
      <c r="I8" s="149" t="s">
        <v>2097</v>
      </c>
      <c r="J8" s="150" t="s">
        <v>2112</v>
      </c>
      <c r="K8" s="190" t="s">
        <v>2101</v>
      </c>
      <c r="L8" s="149"/>
      <c r="M8" s="147"/>
      <c r="N8" s="62" t="s">
        <v>2857</v>
      </c>
      <c r="O8" s="63" t="s">
        <v>2285</v>
      </c>
      <c r="P8" s="62" t="s">
        <v>2295</v>
      </c>
      <c r="Q8" s="63" t="s">
        <v>2296</v>
      </c>
      <c r="R8" s="62" t="s">
        <v>2297</v>
      </c>
    </row>
    <row r="9" spans="1:22" customFormat="1" ht="15" customHeight="1">
      <c r="A9" s="149"/>
      <c r="B9" s="149"/>
      <c r="C9" s="149"/>
      <c r="D9" s="149"/>
      <c r="E9" s="152"/>
      <c r="F9" s="149"/>
      <c r="G9" s="149"/>
      <c r="H9" s="149"/>
      <c r="I9" s="149"/>
      <c r="J9" s="152"/>
      <c r="K9" s="192"/>
      <c r="L9" s="149"/>
      <c r="M9" s="148"/>
      <c r="N9" s="59"/>
      <c r="O9" s="59"/>
      <c r="P9" s="59"/>
      <c r="Q9" s="59"/>
      <c r="R9" s="59"/>
    </row>
    <row r="10" spans="1:22" customFormat="1" ht="15" customHeight="1">
      <c r="A10" s="13" t="s">
        <v>1853</v>
      </c>
      <c r="B10" s="13" t="s">
        <v>2274</v>
      </c>
      <c r="C10" s="30" t="s">
        <v>2275</v>
      </c>
      <c r="D10" s="13" t="s">
        <v>1881</v>
      </c>
      <c r="E10" s="13" t="s">
        <v>2153</v>
      </c>
      <c r="F10" s="13" t="s">
        <v>1861</v>
      </c>
      <c r="G10" s="13" t="s">
        <v>1854</v>
      </c>
      <c r="H10" s="41" t="s">
        <v>2096</v>
      </c>
      <c r="I10" s="41" t="s">
        <v>2098</v>
      </c>
      <c r="J10" s="41" t="s">
        <v>2113</v>
      </c>
      <c r="K10" s="41" t="s">
        <v>2065</v>
      </c>
      <c r="L10" s="35" t="s">
        <v>571</v>
      </c>
      <c r="M10" s="53" t="s">
        <v>2224</v>
      </c>
      <c r="N10" s="58"/>
      <c r="O10" s="58"/>
      <c r="P10" s="58"/>
      <c r="Q10" s="58"/>
      <c r="R10" s="58"/>
    </row>
    <row r="12" spans="1:22" ht="13">
      <c r="A12" s="6"/>
    </row>
    <row r="13" spans="1:22">
      <c r="A13" s="7"/>
    </row>
    <row r="14" spans="1:22">
      <c r="A14" s="7"/>
    </row>
    <row r="15" spans="1:22">
      <c r="A15" s="7"/>
    </row>
    <row r="16" spans="1:22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M7:M10" name="Range1_1"/>
  </protectedRanges>
  <mergeCells count="23">
    <mergeCell ref="M1:N4"/>
    <mergeCell ref="M7:M9"/>
    <mergeCell ref="C1:L1"/>
    <mergeCell ref="K3:L3"/>
    <mergeCell ref="L7:L9"/>
    <mergeCell ref="C2:L2"/>
    <mergeCell ref="A5:Q5"/>
    <mergeCell ref="C3:I3"/>
    <mergeCell ref="C4:I4"/>
    <mergeCell ref="K4:L4"/>
    <mergeCell ref="G8:G9"/>
    <mergeCell ref="C8:C9"/>
    <mergeCell ref="J8:J9"/>
    <mergeCell ref="A7:G7"/>
    <mergeCell ref="A8:A9"/>
    <mergeCell ref="E8:E9"/>
    <mergeCell ref="B8:B9"/>
    <mergeCell ref="I8:I9"/>
    <mergeCell ref="H7:K7"/>
    <mergeCell ref="K8:K9"/>
    <mergeCell ref="F8:F9"/>
    <mergeCell ref="D8:D9"/>
    <mergeCell ref="H8:H9"/>
  </mergeCells>
  <phoneticPr fontId="21" type="noConversion"/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325"/>
  <sheetViews>
    <sheetView workbookViewId="0">
      <pane xSplit="1" ySplit="9" topLeftCell="L10" activePane="bottomRight" state="frozen"/>
      <selection pane="topRight" activeCell="B1" sqref="B1"/>
      <selection pane="bottomLeft" activeCell="A10" sqref="A10"/>
      <selection pane="bottomRight" activeCell="V22" sqref="V22"/>
    </sheetView>
  </sheetViews>
  <sheetFormatPr defaultColWidth="9.1796875" defaultRowHeight="12.5"/>
  <cols>
    <col min="1" max="1" width="20" style="64" customWidth="1"/>
    <col min="2" max="2" width="12.54296875" style="64" customWidth="1"/>
    <col min="3" max="3" width="12.1796875" style="64" customWidth="1"/>
    <col min="4" max="4" width="18" style="64" customWidth="1"/>
    <col min="5" max="5" width="15" style="64" customWidth="1"/>
    <col min="6" max="6" width="13.54296875" style="64" customWidth="1"/>
    <col min="7" max="7" width="9.26953125" style="64" customWidth="1"/>
    <col min="8" max="8" width="7.81640625" style="64" customWidth="1"/>
    <col min="9" max="9" width="7.26953125" style="64" customWidth="1"/>
    <col min="10" max="10" width="9.7265625" style="64" customWidth="1"/>
    <col min="11" max="13" width="8.7265625" style="64" customWidth="1"/>
    <col min="14" max="14" width="8.81640625" style="64" customWidth="1"/>
    <col min="15" max="15" width="13" style="64" customWidth="1"/>
    <col min="16" max="16" width="9" style="64" customWidth="1"/>
    <col min="17" max="17" width="6.54296875" style="64" customWidth="1"/>
    <col min="18" max="18" width="8" style="64" customWidth="1"/>
    <col min="19" max="19" width="9.453125" style="64" customWidth="1"/>
    <col min="20" max="20" width="12.81640625" style="64" customWidth="1"/>
    <col min="21" max="21" width="6.453125" style="64" customWidth="1"/>
    <col min="22" max="22" width="24.453125" style="64" customWidth="1"/>
    <col min="23" max="24" width="6.81640625" style="64" customWidth="1"/>
    <col min="25" max="25" width="5.54296875" style="64" customWidth="1"/>
    <col min="26" max="26" width="6.1796875" style="64" customWidth="1"/>
    <col min="27" max="27" width="5.81640625" style="64" customWidth="1"/>
    <col min="28" max="28" width="6" style="64" customWidth="1"/>
    <col min="29" max="29" width="6.1796875" style="64" customWidth="1"/>
    <col min="30" max="31" width="5.54296875" style="64" customWidth="1"/>
    <col min="32" max="32" width="7.54296875" style="64" customWidth="1"/>
    <col min="33" max="34" width="6.453125" style="64" customWidth="1"/>
    <col min="35" max="35" width="9" style="64" customWidth="1"/>
    <col min="36" max="36" width="8.453125" style="64" customWidth="1"/>
    <col min="37" max="37" width="10" style="64" customWidth="1"/>
    <col min="38" max="38" width="9.7265625" style="64" customWidth="1"/>
    <col min="39" max="39" width="29.81640625" style="64" customWidth="1"/>
    <col min="40" max="40" width="30.453125" style="64" customWidth="1"/>
    <col min="41" max="41" width="12.1796875" style="64" bestFit="1" customWidth="1"/>
    <col min="42" max="42" width="13.1796875" style="64" bestFit="1" customWidth="1"/>
    <col min="43" max="43" width="9.81640625" style="64" bestFit="1" customWidth="1"/>
    <col min="44" max="45" width="13.1796875" style="64" bestFit="1" customWidth="1"/>
    <col min="46" max="16384" width="9.1796875" style="64"/>
  </cols>
  <sheetData>
    <row r="1" spans="1:45" ht="14">
      <c r="A1" s="79"/>
      <c r="B1" s="76" t="s">
        <v>1507</v>
      </c>
      <c r="C1" s="204">
        <f>_FormulaHelpers_!B43</f>
        <v>0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/>
      <c r="R1" s="211"/>
      <c r="S1" s="212"/>
      <c r="T1" s="75"/>
      <c r="U1" s="75"/>
      <c r="V1" s="75"/>
      <c r="W1" s="75"/>
      <c r="X1" s="75"/>
      <c r="Y1" s="75"/>
      <c r="Z1" s="75"/>
      <c r="AA1" s="75"/>
      <c r="AB1" s="75"/>
    </row>
    <row r="2" spans="1:45" ht="14">
      <c r="A2" s="78"/>
      <c r="B2" s="76" t="s">
        <v>1508</v>
      </c>
      <c r="C2" s="201">
        <f>_FormulaHelpers_!B44</f>
        <v>0</v>
      </c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13"/>
      <c r="S2" s="214"/>
    </row>
    <row r="3" spans="1:45" ht="14">
      <c r="A3" s="78"/>
      <c r="B3" s="76" t="s">
        <v>1794</v>
      </c>
      <c r="C3" s="201">
        <f>_FormulaHelpers_!B45</f>
        <v>0</v>
      </c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3"/>
      <c r="O3" s="76" t="s">
        <v>1510</v>
      </c>
      <c r="P3" s="207" t="str">
        <f>_FormulaHelpers_!B48</f>
        <v>Base</v>
      </c>
      <c r="Q3" s="207"/>
      <c r="R3" s="213"/>
      <c r="S3" s="214"/>
    </row>
    <row r="4" spans="1:45" ht="14">
      <c r="A4" s="77"/>
      <c r="B4" s="76" t="s">
        <v>1509</v>
      </c>
      <c r="C4" s="208">
        <f>_FormulaHelpers_!B46</f>
        <v>45703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10"/>
      <c r="O4" s="76" t="s">
        <v>1795</v>
      </c>
      <c r="P4" s="207" t="str">
        <f>_FormulaHelpers_!B52</f>
        <v>Normal</v>
      </c>
      <c r="Q4" s="207"/>
      <c r="R4" s="215"/>
      <c r="S4" s="216"/>
    </row>
    <row r="5" spans="1:45" ht="18.75" customHeight="1">
      <c r="A5" s="220" t="s">
        <v>2309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102"/>
      <c r="R5" s="102"/>
      <c r="S5" s="102"/>
      <c r="T5" s="75"/>
      <c r="U5" s="75"/>
      <c r="V5" s="75"/>
      <c r="W5" s="75"/>
      <c r="X5" s="75"/>
      <c r="Y5" s="75"/>
      <c r="Z5" s="75"/>
      <c r="AA5" s="75"/>
      <c r="AB5" s="75"/>
    </row>
    <row r="7" spans="1:45" s="67" customFormat="1" ht="15" customHeight="1">
      <c r="A7" s="219" t="s">
        <v>368</v>
      </c>
      <c r="B7" s="219"/>
      <c r="C7" s="219"/>
      <c r="D7" s="219"/>
      <c r="E7" s="219"/>
      <c r="F7" s="219"/>
      <c r="G7" s="195" t="s">
        <v>2264</v>
      </c>
      <c r="H7" s="196"/>
      <c r="I7" s="196"/>
      <c r="J7" s="196"/>
      <c r="K7" s="196"/>
      <c r="L7" s="196"/>
      <c r="M7" s="196"/>
      <c r="N7" s="197"/>
      <c r="O7" s="195" t="s">
        <v>1355</v>
      </c>
      <c r="P7" s="196"/>
      <c r="Q7" s="196"/>
      <c r="R7" s="196"/>
      <c r="S7" s="196"/>
      <c r="T7" s="196"/>
      <c r="U7" s="197"/>
      <c r="V7" s="195" t="s">
        <v>4548</v>
      </c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7"/>
      <c r="AM7" s="74"/>
      <c r="AN7" s="74"/>
      <c r="AO7" s="61"/>
      <c r="AP7" s="61"/>
      <c r="AQ7" s="61"/>
      <c r="AR7" s="61"/>
      <c r="AS7" s="61"/>
    </row>
    <row r="8" spans="1:45" s="67" customFormat="1" ht="20.25" customHeight="1">
      <c r="A8" s="193" t="s">
        <v>1576</v>
      </c>
      <c r="B8" s="219" t="s">
        <v>4553</v>
      </c>
      <c r="C8" s="193" t="s">
        <v>2230</v>
      </c>
      <c r="D8" s="193" t="s">
        <v>2152</v>
      </c>
      <c r="E8" s="219" t="s">
        <v>4391</v>
      </c>
      <c r="F8" s="219" t="s">
        <v>1512</v>
      </c>
      <c r="G8" s="195" t="s">
        <v>2308</v>
      </c>
      <c r="H8" s="197"/>
      <c r="I8" s="195" t="s">
        <v>2307</v>
      </c>
      <c r="J8" s="197"/>
      <c r="K8" s="193" t="s">
        <v>847</v>
      </c>
      <c r="L8" s="193" t="s">
        <v>4602</v>
      </c>
      <c r="M8" s="193" t="s">
        <v>4603</v>
      </c>
      <c r="N8" s="193" t="s">
        <v>4597</v>
      </c>
      <c r="O8" s="193" t="s">
        <v>4544</v>
      </c>
      <c r="P8" s="193" t="s">
        <v>4540</v>
      </c>
      <c r="Q8" s="193" t="s">
        <v>4545</v>
      </c>
      <c r="R8" s="193" t="s">
        <v>4541</v>
      </c>
      <c r="S8" s="193" t="s">
        <v>4600</v>
      </c>
      <c r="T8" s="193" t="s">
        <v>4601</v>
      </c>
      <c r="U8" s="193" t="s">
        <v>4546</v>
      </c>
      <c r="V8" s="193" t="s">
        <v>4547</v>
      </c>
      <c r="W8" s="193" t="s">
        <v>4604</v>
      </c>
      <c r="X8" s="193" t="s">
        <v>4605</v>
      </c>
      <c r="Y8" s="193" t="s">
        <v>4608</v>
      </c>
      <c r="Z8" s="193" t="s">
        <v>4606</v>
      </c>
      <c r="AA8" s="193" t="s">
        <v>4607</v>
      </c>
      <c r="AB8" s="193" t="s">
        <v>4609</v>
      </c>
      <c r="AC8" s="193" t="s">
        <v>4610</v>
      </c>
      <c r="AD8" s="193" t="s">
        <v>4611</v>
      </c>
      <c r="AE8" s="193" t="s">
        <v>4721</v>
      </c>
      <c r="AF8" s="193" t="s">
        <v>4612</v>
      </c>
      <c r="AG8" s="193" t="s">
        <v>4613</v>
      </c>
      <c r="AH8" s="193" t="s">
        <v>4720</v>
      </c>
      <c r="AI8" s="193" t="s">
        <v>2711</v>
      </c>
      <c r="AJ8" s="193" t="s">
        <v>2709</v>
      </c>
      <c r="AK8" s="193" t="s">
        <v>2710</v>
      </c>
      <c r="AL8" s="193" t="s">
        <v>2373</v>
      </c>
      <c r="AM8" s="193" t="s">
        <v>12</v>
      </c>
      <c r="AN8" s="217" t="s">
        <v>2223</v>
      </c>
      <c r="AO8" s="62" t="s">
        <v>2857</v>
      </c>
      <c r="AP8" s="63" t="s">
        <v>2285</v>
      </c>
      <c r="AQ8" s="62" t="s">
        <v>2295</v>
      </c>
      <c r="AR8" s="63" t="s">
        <v>2296</v>
      </c>
      <c r="AS8" s="62" t="s">
        <v>2297</v>
      </c>
    </row>
    <row r="9" spans="1:45" s="67" customFormat="1" ht="15" customHeight="1">
      <c r="A9" s="194"/>
      <c r="B9" s="219"/>
      <c r="C9" s="194"/>
      <c r="D9" s="194"/>
      <c r="E9" s="219"/>
      <c r="F9" s="219"/>
      <c r="G9" s="73" t="s">
        <v>2167</v>
      </c>
      <c r="H9" s="73" t="s">
        <v>2166</v>
      </c>
      <c r="I9" s="73" t="s">
        <v>2167</v>
      </c>
      <c r="J9" s="73" t="s">
        <v>2166</v>
      </c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218"/>
      <c r="AO9" s="59"/>
      <c r="AP9" s="59"/>
      <c r="AQ9" s="59"/>
      <c r="AR9" s="59"/>
      <c r="AS9" s="59"/>
    </row>
    <row r="10" spans="1:45" s="68" customFormat="1" ht="15" customHeight="1">
      <c r="A10" s="72" t="s">
        <v>1853</v>
      </c>
      <c r="B10" s="72" t="s">
        <v>2269</v>
      </c>
      <c r="C10" s="72" t="s">
        <v>2231</v>
      </c>
      <c r="D10" s="80" t="s">
        <v>2153</v>
      </c>
      <c r="E10" s="72" t="s">
        <v>1861</v>
      </c>
      <c r="F10" s="72" t="s">
        <v>1854</v>
      </c>
      <c r="G10" s="71" t="s">
        <v>2306</v>
      </c>
      <c r="H10" s="71" t="s">
        <v>2305</v>
      </c>
      <c r="I10" s="71" t="s">
        <v>2304</v>
      </c>
      <c r="J10" s="71" t="s">
        <v>2303</v>
      </c>
      <c r="K10" s="71" t="s">
        <v>2302</v>
      </c>
      <c r="L10" s="71" t="s">
        <v>2301</v>
      </c>
      <c r="M10" s="71" t="s">
        <v>4599</v>
      </c>
      <c r="N10" s="71" t="s">
        <v>4598</v>
      </c>
      <c r="O10" s="71" t="s">
        <v>4746</v>
      </c>
      <c r="P10" s="71" t="s">
        <v>2212</v>
      </c>
      <c r="Q10" s="71" t="s">
        <v>4730</v>
      </c>
      <c r="R10" s="71" t="s">
        <v>4543</v>
      </c>
      <c r="S10" s="71" t="s">
        <v>4731</v>
      </c>
      <c r="T10" s="71" t="s">
        <v>4542</v>
      </c>
      <c r="U10" s="71" t="s">
        <v>4732</v>
      </c>
      <c r="V10" s="71" t="s">
        <v>4574</v>
      </c>
      <c r="W10" s="71" t="s">
        <v>4739</v>
      </c>
      <c r="X10" s="71" t="s">
        <v>4740</v>
      </c>
      <c r="Y10" s="71" t="s">
        <v>4549</v>
      </c>
      <c r="Z10" s="71" t="s">
        <v>4741</v>
      </c>
      <c r="AA10" s="71" t="s">
        <v>4742</v>
      </c>
      <c r="AB10" s="71" t="s">
        <v>4573</v>
      </c>
      <c r="AC10" s="71" t="s">
        <v>4743</v>
      </c>
      <c r="AD10" s="71" t="s">
        <v>4744</v>
      </c>
      <c r="AE10" s="71" t="s">
        <v>5118</v>
      </c>
      <c r="AF10" s="71" t="s">
        <v>4745</v>
      </c>
      <c r="AG10" s="71" t="s">
        <v>4575</v>
      </c>
      <c r="AH10" s="71" t="s">
        <v>4722</v>
      </c>
      <c r="AI10" s="71" t="s">
        <v>4550</v>
      </c>
      <c r="AJ10" s="71" t="s">
        <v>4551</v>
      </c>
      <c r="AK10" s="71" t="s">
        <v>4552</v>
      </c>
      <c r="AL10" s="71" t="s">
        <v>4614</v>
      </c>
      <c r="AM10" s="104" t="s">
        <v>571</v>
      </c>
      <c r="AN10" s="70" t="s">
        <v>2224</v>
      </c>
      <c r="AO10" s="105"/>
      <c r="AP10" s="105"/>
      <c r="AQ10" s="105"/>
      <c r="AR10" s="105"/>
      <c r="AS10" s="105"/>
    </row>
    <row r="12" spans="1:45" ht="13">
      <c r="A12" s="69"/>
    </row>
    <row r="13" spans="1:45">
      <c r="A13" s="66"/>
    </row>
    <row r="14" spans="1:45">
      <c r="A14" s="66"/>
    </row>
    <row r="15" spans="1:45">
      <c r="A15" s="66"/>
    </row>
    <row r="16" spans="1:45">
      <c r="A16" s="66"/>
    </row>
    <row r="20" spans="1:5" s="67" customFormat="1">
      <c r="E20" s="68"/>
    </row>
    <row r="21" spans="1:5" s="67" customFormat="1"/>
    <row r="22" spans="1:5" s="67" customFormat="1"/>
    <row r="23" spans="1:5">
      <c r="A23" s="66"/>
    </row>
    <row r="24" spans="1:5">
      <c r="A24" s="66"/>
    </row>
    <row r="25" spans="1:5">
      <c r="A25" s="66"/>
    </row>
    <row r="26" spans="1:5">
      <c r="A26" s="66"/>
    </row>
    <row r="27" spans="1:5">
      <c r="A27" s="66"/>
    </row>
    <row r="28" spans="1:5">
      <c r="A28" s="66"/>
    </row>
    <row r="29" spans="1:5">
      <c r="A29" s="66"/>
    </row>
    <row r="30" spans="1:5">
      <c r="A30" s="66"/>
    </row>
    <row r="31" spans="1:5">
      <c r="A31" s="66"/>
    </row>
    <row r="32" spans="1:5">
      <c r="A32" s="66"/>
    </row>
    <row r="33" spans="1:1">
      <c r="A33" s="66"/>
    </row>
    <row r="34" spans="1:1">
      <c r="A34" s="66"/>
    </row>
    <row r="35" spans="1:1">
      <c r="A35" s="66"/>
    </row>
    <row r="36" spans="1:1">
      <c r="A36" s="66"/>
    </row>
    <row r="37" spans="1:1">
      <c r="A37" s="66"/>
    </row>
    <row r="38" spans="1:1">
      <c r="A38" s="66"/>
    </row>
    <row r="39" spans="1:1">
      <c r="A39" s="66"/>
    </row>
    <row r="40" spans="1:1">
      <c r="A40" s="66"/>
    </row>
    <row r="41" spans="1:1">
      <c r="A41" s="66"/>
    </row>
    <row r="42" spans="1:1">
      <c r="A42" s="66"/>
    </row>
    <row r="43" spans="1:1">
      <c r="A43" s="66"/>
    </row>
    <row r="44" spans="1:1">
      <c r="A44" s="66"/>
    </row>
    <row r="45" spans="1:1">
      <c r="A45" s="66"/>
    </row>
    <row r="46" spans="1:1">
      <c r="A46" s="66"/>
    </row>
    <row r="47" spans="1:1">
      <c r="A47" s="66"/>
    </row>
    <row r="48" spans="1:1">
      <c r="A48" s="66"/>
    </row>
    <row r="49" spans="1:1">
      <c r="A49" s="66"/>
    </row>
    <row r="50" spans="1:1">
      <c r="A50" s="66"/>
    </row>
    <row r="51" spans="1:1">
      <c r="A51" s="66"/>
    </row>
    <row r="52" spans="1:1">
      <c r="A52" s="66"/>
    </row>
    <row r="53" spans="1:1">
      <c r="A53" s="66"/>
    </row>
    <row r="54" spans="1:1">
      <c r="A54" s="66"/>
    </row>
    <row r="55" spans="1:1">
      <c r="A55" s="66"/>
    </row>
    <row r="56" spans="1:1">
      <c r="A56" s="66"/>
    </row>
    <row r="57" spans="1:1">
      <c r="A57" s="66"/>
    </row>
    <row r="58" spans="1:1">
      <c r="A58" s="66"/>
    </row>
    <row r="59" spans="1:1">
      <c r="A59" s="66"/>
    </row>
    <row r="60" spans="1:1">
      <c r="A60" s="66"/>
    </row>
    <row r="61" spans="1:1">
      <c r="A61" s="66"/>
    </row>
    <row r="62" spans="1:1">
      <c r="A62" s="66"/>
    </row>
    <row r="63" spans="1:1">
      <c r="A63" s="66"/>
    </row>
    <row r="64" spans="1:1">
      <c r="A64" s="66"/>
    </row>
    <row r="65" spans="1:1">
      <c r="A65" s="66"/>
    </row>
    <row r="66" spans="1:1">
      <c r="A66" s="66"/>
    </row>
    <row r="67" spans="1:1">
      <c r="A67" s="66"/>
    </row>
    <row r="68" spans="1:1">
      <c r="A68" s="66"/>
    </row>
    <row r="69" spans="1:1">
      <c r="A69" s="66"/>
    </row>
    <row r="70" spans="1:1">
      <c r="A70" s="66"/>
    </row>
    <row r="71" spans="1:1">
      <c r="A71" s="66"/>
    </row>
    <row r="72" spans="1:1">
      <c r="A72" s="66"/>
    </row>
    <row r="73" spans="1:1">
      <c r="A73" s="66"/>
    </row>
    <row r="74" spans="1:1">
      <c r="A74" s="66"/>
    </row>
    <row r="75" spans="1:1">
      <c r="A75" s="66"/>
    </row>
    <row r="76" spans="1:1">
      <c r="A76" s="66"/>
    </row>
    <row r="77" spans="1:1">
      <c r="A77" s="66"/>
    </row>
    <row r="78" spans="1:1">
      <c r="A78" s="66"/>
    </row>
    <row r="79" spans="1:1">
      <c r="A79" s="66"/>
    </row>
    <row r="80" spans="1:1">
      <c r="A80" s="66"/>
    </row>
    <row r="81" spans="1:1">
      <c r="A81" s="66"/>
    </row>
    <row r="82" spans="1:1">
      <c r="A82" s="66"/>
    </row>
    <row r="83" spans="1:1">
      <c r="A83" s="66"/>
    </row>
    <row r="84" spans="1:1">
      <c r="A84" s="66"/>
    </row>
    <row r="85" spans="1:1">
      <c r="A85" s="66"/>
    </row>
    <row r="86" spans="1:1">
      <c r="A86" s="66"/>
    </row>
    <row r="87" spans="1:1">
      <c r="A87" s="66"/>
    </row>
    <row r="88" spans="1:1">
      <c r="A88" s="66"/>
    </row>
    <row r="89" spans="1:1">
      <c r="A89" s="66"/>
    </row>
    <row r="90" spans="1:1">
      <c r="A90" s="66"/>
    </row>
    <row r="91" spans="1:1">
      <c r="A91" s="66"/>
    </row>
    <row r="92" spans="1:1">
      <c r="A92" s="66"/>
    </row>
    <row r="93" spans="1:1">
      <c r="A93" s="66"/>
    </row>
    <row r="94" spans="1:1">
      <c r="A94" s="66"/>
    </row>
    <row r="95" spans="1:1">
      <c r="A95" s="66"/>
    </row>
    <row r="96" spans="1:1">
      <c r="A96" s="66"/>
    </row>
    <row r="97" spans="1:1">
      <c r="A97" s="66"/>
    </row>
    <row r="98" spans="1:1">
      <c r="A98" s="66"/>
    </row>
    <row r="99" spans="1:1">
      <c r="A99" s="66"/>
    </row>
    <row r="100" spans="1:1">
      <c r="A100" s="66"/>
    </row>
    <row r="101" spans="1:1">
      <c r="A101" s="66"/>
    </row>
    <row r="102" spans="1:1">
      <c r="A102" s="66"/>
    </row>
    <row r="103" spans="1:1">
      <c r="A103" s="66"/>
    </row>
    <row r="104" spans="1:1">
      <c r="A104" s="66"/>
    </row>
    <row r="105" spans="1:1">
      <c r="A105" s="66"/>
    </row>
    <row r="106" spans="1:1">
      <c r="A106" s="66"/>
    </row>
    <row r="107" spans="1:1">
      <c r="A107" s="66"/>
    </row>
    <row r="108" spans="1:1">
      <c r="A108" s="66"/>
    </row>
    <row r="109" spans="1:1">
      <c r="A109" s="66"/>
    </row>
    <row r="110" spans="1:1">
      <c r="A110" s="66"/>
    </row>
    <row r="111" spans="1:1">
      <c r="A111" s="66"/>
    </row>
    <row r="112" spans="1:1">
      <c r="A112" s="66"/>
    </row>
    <row r="113" spans="1:1">
      <c r="A113" s="66"/>
    </row>
    <row r="114" spans="1:1">
      <c r="A114" s="66"/>
    </row>
    <row r="115" spans="1:1">
      <c r="A115" s="66"/>
    </row>
    <row r="116" spans="1:1">
      <c r="A116" s="66"/>
    </row>
    <row r="117" spans="1:1">
      <c r="A117" s="66"/>
    </row>
    <row r="118" spans="1:1">
      <c r="A118" s="66"/>
    </row>
    <row r="119" spans="1:1">
      <c r="A119" s="66"/>
    </row>
    <row r="120" spans="1:1">
      <c r="A120" s="66"/>
    </row>
    <row r="121" spans="1:1">
      <c r="A121" s="66"/>
    </row>
    <row r="122" spans="1:1">
      <c r="A122" s="66"/>
    </row>
    <row r="123" spans="1:1">
      <c r="A123" s="66"/>
    </row>
    <row r="124" spans="1:1">
      <c r="A124" s="66"/>
    </row>
    <row r="125" spans="1:1">
      <c r="A125" s="66"/>
    </row>
    <row r="126" spans="1:1">
      <c r="A126" s="66"/>
    </row>
    <row r="127" spans="1:1">
      <c r="A127" s="66"/>
    </row>
    <row r="128" spans="1:1">
      <c r="A128" s="66"/>
    </row>
    <row r="129" spans="1:1">
      <c r="A129" s="66"/>
    </row>
    <row r="130" spans="1:1">
      <c r="A130" s="66"/>
    </row>
    <row r="131" spans="1:1">
      <c r="A131" s="66"/>
    </row>
    <row r="132" spans="1:1">
      <c r="A132" s="66"/>
    </row>
    <row r="133" spans="1:1">
      <c r="A133" s="66"/>
    </row>
    <row r="134" spans="1:1">
      <c r="A134" s="66"/>
    </row>
    <row r="135" spans="1:1">
      <c r="A135" s="66"/>
    </row>
    <row r="136" spans="1:1">
      <c r="A136" s="66"/>
    </row>
    <row r="137" spans="1:1">
      <c r="A137" s="66"/>
    </row>
    <row r="138" spans="1:1">
      <c r="A138" s="66"/>
    </row>
    <row r="139" spans="1:1">
      <c r="A139" s="66"/>
    </row>
    <row r="140" spans="1:1">
      <c r="A140" s="66"/>
    </row>
    <row r="141" spans="1:1">
      <c r="A141" s="66"/>
    </row>
    <row r="142" spans="1:1">
      <c r="A142" s="66"/>
    </row>
    <row r="143" spans="1:1">
      <c r="A143" s="66"/>
    </row>
    <row r="144" spans="1:1">
      <c r="A144" s="66"/>
    </row>
    <row r="145" spans="1:1">
      <c r="A145" s="66"/>
    </row>
    <row r="146" spans="1:1">
      <c r="A146" s="66"/>
    </row>
    <row r="147" spans="1:1">
      <c r="A147" s="66"/>
    </row>
    <row r="148" spans="1:1">
      <c r="A148" s="66"/>
    </row>
    <row r="149" spans="1:1">
      <c r="A149" s="66"/>
    </row>
    <row r="150" spans="1:1">
      <c r="A150" s="66"/>
    </row>
    <row r="151" spans="1:1">
      <c r="A151" s="66"/>
    </row>
    <row r="152" spans="1:1">
      <c r="A152" s="66"/>
    </row>
    <row r="153" spans="1:1">
      <c r="A153" s="66"/>
    </row>
    <row r="154" spans="1:1">
      <c r="A154" s="66"/>
    </row>
    <row r="155" spans="1:1">
      <c r="A155" s="66"/>
    </row>
    <row r="156" spans="1:1">
      <c r="A156" s="66"/>
    </row>
    <row r="157" spans="1:1">
      <c r="A157" s="66"/>
    </row>
    <row r="158" spans="1:1">
      <c r="A158" s="66"/>
    </row>
    <row r="159" spans="1:1">
      <c r="A159" s="66"/>
    </row>
    <row r="160" spans="1:1">
      <c r="A160" s="66"/>
    </row>
    <row r="161" spans="1:1">
      <c r="A161" s="66"/>
    </row>
    <row r="162" spans="1:1">
      <c r="A162" s="66"/>
    </row>
    <row r="163" spans="1:1">
      <c r="A163" s="66"/>
    </row>
    <row r="164" spans="1:1">
      <c r="A164" s="66"/>
    </row>
    <row r="165" spans="1:1">
      <c r="A165" s="66"/>
    </row>
    <row r="166" spans="1:1">
      <c r="A166" s="66"/>
    </row>
    <row r="167" spans="1:1">
      <c r="A167" s="66"/>
    </row>
    <row r="168" spans="1:1">
      <c r="A168" s="66"/>
    </row>
    <row r="169" spans="1:1">
      <c r="A169" s="66"/>
    </row>
    <row r="170" spans="1:1">
      <c r="A170" s="66"/>
    </row>
    <row r="171" spans="1:1">
      <c r="A171" s="66"/>
    </row>
    <row r="172" spans="1:1">
      <c r="A172" s="66"/>
    </row>
    <row r="173" spans="1:1">
      <c r="A173" s="66"/>
    </row>
    <row r="174" spans="1:1">
      <c r="A174" s="66"/>
    </row>
    <row r="175" spans="1:1">
      <c r="A175" s="66"/>
    </row>
    <row r="176" spans="1:1">
      <c r="A176" s="66"/>
    </row>
    <row r="177" spans="1:1">
      <c r="A177" s="66"/>
    </row>
    <row r="178" spans="1:1">
      <c r="A178" s="66"/>
    </row>
    <row r="179" spans="1:1">
      <c r="A179" s="66"/>
    </row>
    <row r="180" spans="1:1">
      <c r="A180" s="66"/>
    </row>
    <row r="181" spans="1:1">
      <c r="A181" s="66"/>
    </row>
    <row r="182" spans="1:1">
      <c r="A182" s="66"/>
    </row>
    <row r="183" spans="1:1">
      <c r="A183" s="66"/>
    </row>
    <row r="184" spans="1:1">
      <c r="A184" s="66"/>
    </row>
    <row r="185" spans="1:1">
      <c r="A185" s="66"/>
    </row>
    <row r="186" spans="1:1">
      <c r="A186" s="66"/>
    </row>
    <row r="187" spans="1:1">
      <c r="A187" s="66"/>
    </row>
    <row r="188" spans="1:1">
      <c r="A188" s="66"/>
    </row>
    <row r="189" spans="1:1">
      <c r="A189" s="66"/>
    </row>
    <row r="190" spans="1:1">
      <c r="A190" s="66"/>
    </row>
    <row r="191" spans="1:1">
      <c r="A191" s="66"/>
    </row>
    <row r="192" spans="1:1">
      <c r="A192" s="66"/>
    </row>
    <row r="193" spans="1:1">
      <c r="A193" s="66"/>
    </row>
    <row r="194" spans="1:1">
      <c r="A194" s="66"/>
    </row>
    <row r="195" spans="1:1">
      <c r="A195" s="66"/>
    </row>
    <row r="196" spans="1:1">
      <c r="A196" s="66"/>
    </row>
    <row r="197" spans="1:1">
      <c r="A197" s="66"/>
    </row>
    <row r="198" spans="1:1">
      <c r="A198" s="66"/>
    </row>
    <row r="199" spans="1:1">
      <c r="A199" s="66"/>
    </row>
    <row r="200" spans="1:1">
      <c r="A200" s="66"/>
    </row>
    <row r="201" spans="1:1">
      <c r="A201" s="66"/>
    </row>
    <row r="202" spans="1:1">
      <c r="A202" s="66"/>
    </row>
    <row r="203" spans="1:1">
      <c r="A203" s="66"/>
    </row>
    <row r="204" spans="1:1">
      <c r="A204" s="66"/>
    </row>
    <row r="205" spans="1:1">
      <c r="A205" s="66"/>
    </row>
    <row r="206" spans="1:1">
      <c r="A206" s="66"/>
    </row>
    <row r="207" spans="1:1">
      <c r="A207" s="66"/>
    </row>
    <row r="208" spans="1:1">
      <c r="A208" s="66"/>
    </row>
    <row r="209" spans="1:1">
      <c r="A209" s="66"/>
    </row>
    <row r="210" spans="1:1">
      <c r="A210" s="66"/>
    </row>
    <row r="211" spans="1:1">
      <c r="A211" s="66"/>
    </row>
    <row r="212" spans="1:1">
      <c r="A212" s="66"/>
    </row>
    <row r="213" spans="1:1">
      <c r="A213" s="66"/>
    </row>
    <row r="214" spans="1:1">
      <c r="A214" s="66"/>
    </row>
    <row r="215" spans="1:1">
      <c r="A215" s="66"/>
    </row>
    <row r="216" spans="1:1">
      <c r="A216" s="66"/>
    </row>
    <row r="217" spans="1:1">
      <c r="A217" s="66"/>
    </row>
    <row r="218" spans="1:1">
      <c r="A218" s="66"/>
    </row>
    <row r="219" spans="1:1">
      <c r="A219" s="66"/>
    </row>
    <row r="220" spans="1:1">
      <c r="A220" s="66"/>
    </row>
    <row r="221" spans="1:1">
      <c r="A221" s="66"/>
    </row>
    <row r="222" spans="1:1">
      <c r="A222" s="66"/>
    </row>
    <row r="223" spans="1:1">
      <c r="A223" s="66"/>
    </row>
    <row r="224" spans="1:1">
      <c r="A224" s="66"/>
    </row>
    <row r="225" spans="1:1">
      <c r="A225" s="66"/>
    </row>
    <row r="226" spans="1:1">
      <c r="A226" s="66"/>
    </row>
    <row r="227" spans="1:1">
      <c r="A227" s="66"/>
    </row>
    <row r="228" spans="1:1">
      <c r="A228" s="66"/>
    </row>
    <row r="229" spans="1:1">
      <c r="A229" s="66"/>
    </row>
    <row r="230" spans="1:1">
      <c r="A230" s="66"/>
    </row>
    <row r="231" spans="1:1">
      <c r="A231" s="66"/>
    </row>
    <row r="232" spans="1:1">
      <c r="A232" s="66"/>
    </row>
    <row r="233" spans="1:1">
      <c r="A233" s="66"/>
    </row>
    <row r="234" spans="1:1">
      <c r="A234" s="66"/>
    </row>
    <row r="235" spans="1:1">
      <c r="A235" s="66"/>
    </row>
    <row r="236" spans="1:1">
      <c r="A236" s="66"/>
    </row>
    <row r="237" spans="1:1">
      <c r="A237" s="66"/>
    </row>
    <row r="238" spans="1:1">
      <c r="A238" s="66"/>
    </row>
    <row r="239" spans="1:1">
      <c r="A239" s="66"/>
    </row>
    <row r="240" spans="1:1">
      <c r="A240" s="66"/>
    </row>
    <row r="241" spans="1:1">
      <c r="A241" s="66"/>
    </row>
    <row r="242" spans="1:1">
      <c r="A242" s="66"/>
    </row>
    <row r="243" spans="1:1">
      <c r="A243" s="66"/>
    </row>
    <row r="244" spans="1:1">
      <c r="A244" s="66"/>
    </row>
    <row r="245" spans="1:1">
      <c r="A245" s="66"/>
    </row>
    <row r="246" spans="1:1">
      <c r="A246" s="66"/>
    </row>
    <row r="247" spans="1:1">
      <c r="A247" s="66"/>
    </row>
    <row r="248" spans="1:1">
      <c r="A248" s="66"/>
    </row>
    <row r="249" spans="1:1">
      <c r="A249" s="66"/>
    </row>
    <row r="250" spans="1:1">
      <c r="A250" s="66"/>
    </row>
    <row r="251" spans="1:1">
      <c r="A251" s="66"/>
    </row>
    <row r="252" spans="1:1">
      <c r="A252" s="66"/>
    </row>
    <row r="253" spans="1:1">
      <c r="A253" s="66"/>
    </row>
    <row r="254" spans="1:1">
      <c r="A254" s="66"/>
    </row>
    <row r="255" spans="1:1">
      <c r="A255" s="66"/>
    </row>
    <row r="256" spans="1:1">
      <c r="A256" s="66"/>
    </row>
    <row r="257" spans="1:1">
      <c r="A257" s="66"/>
    </row>
    <row r="258" spans="1:1">
      <c r="A258" s="66"/>
    </row>
    <row r="259" spans="1:1">
      <c r="A259" s="66"/>
    </row>
    <row r="260" spans="1:1">
      <c r="A260" s="66"/>
    </row>
    <row r="261" spans="1:1">
      <c r="A261" s="66"/>
    </row>
    <row r="262" spans="1:1">
      <c r="A262" s="66"/>
    </row>
    <row r="263" spans="1:1">
      <c r="A263" s="66"/>
    </row>
    <row r="264" spans="1:1">
      <c r="A264" s="66"/>
    </row>
    <row r="265" spans="1:1">
      <c r="A265" s="66"/>
    </row>
    <row r="266" spans="1:1">
      <c r="A266" s="66"/>
    </row>
    <row r="267" spans="1:1">
      <c r="A267" s="66"/>
    </row>
    <row r="268" spans="1:1">
      <c r="A268" s="66"/>
    </row>
    <row r="269" spans="1:1">
      <c r="A269" s="66"/>
    </row>
    <row r="270" spans="1:1">
      <c r="A270" s="66"/>
    </row>
    <row r="271" spans="1:1">
      <c r="A271" s="66"/>
    </row>
    <row r="272" spans="1:1">
      <c r="A272" s="66"/>
    </row>
    <row r="273" spans="1:1">
      <c r="A273" s="66"/>
    </row>
    <row r="274" spans="1:1">
      <c r="A274" s="66"/>
    </row>
    <row r="275" spans="1:1">
      <c r="A275" s="66"/>
    </row>
    <row r="276" spans="1:1">
      <c r="A276" s="66"/>
    </row>
    <row r="277" spans="1:1">
      <c r="A277" s="66"/>
    </row>
    <row r="278" spans="1:1">
      <c r="A278" s="66"/>
    </row>
    <row r="279" spans="1:1">
      <c r="A279" s="66"/>
    </row>
    <row r="280" spans="1:1">
      <c r="A280" s="66"/>
    </row>
    <row r="281" spans="1:1">
      <c r="A281" s="66"/>
    </row>
    <row r="282" spans="1:1">
      <c r="A282" s="66"/>
    </row>
    <row r="283" spans="1:1">
      <c r="A283" s="66"/>
    </row>
    <row r="284" spans="1:1">
      <c r="A284" s="66"/>
    </row>
    <row r="285" spans="1:1">
      <c r="A285" s="66"/>
    </row>
    <row r="286" spans="1:1">
      <c r="A286" s="66"/>
    </row>
    <row r="287" spans="1:1">
      <c r="A287" s="66"/>
    </row>
    <row r="288" spans="1:1">
      <c r="A288" s="66"/>
    </row>
    <row r="289" spans="1:1">
      <c r="A289" s="66"/>
    </row>
    <row r="290" spans="1:1">
      <c r="A290" s="66"/>
    </row>
    <row r="291" spans="1:1">
      <c r="A291" s="66"/>
    </row>
    <row r="292" spans="1:1">
      <c r="A292" s="66"/>
    </row>
    <row r="293" spans="1:1">
      <c r="A293" s="66"/>
    </row>
    <row r="294" spans="1:1">
      <c r="A294" s="66"/>
    </row>
    <row r="295" spans="1:1">
      <c r="A295" s="66"/>
    </row>
    <row r="296" spans="1:1">
      <c r="A296" s="66"/>
    </row>
    <row r="297" spans="1:1">
      <c r="A297" s="66"/>
    </row>
    <row r="298" spans="1:1">
      <c r="A298" s="66"/>
    </row>
    <row r="299" spans="1:1">
      <c r="A299" s="66"/>
    </row>
    <row r="300" spans="1:1">
      <c r="A300" s="66"/>
    </row>
    <row r="301" spans="1:1">
      <c r="A301" s="66"/>
    </row>
    <row r="302" spans="1:1">
      <c r="A302" s="66"/>
    </row>
    <row r="303" spans="1:1">
      <c r="A303" s="66"/>
    </row>
    <row r="304" spans="1:1">
      <c r="A304" s="66"/>
    </row>
    <row r="305" spans="1:1">
      <c r="A305" s="66"/>
    </row>
    <row r="306" spans="1:1">
      <c r="A306" s="66"/>
    </row>
    <row r="307" spans="1:1">
      <c r="A307" s="66"/>
    </row>
    <row r="308" spans="1:1">
      <c r="A308" s="66"/>
    </row>
    <row r="309" spans="1:1">
      <c r="A309" s="66"/>
    </row>
    <row r="310" spans="1:1">
      <c r="A310" s="66"/>
    </row>
    <row r="311" spans="1:1">
      <c r="A311" s="66"/>
    </row>
    <row r="312" spans="1:1">
      <c r="A312" s="66"/>
    </row>
    <row r="313" spans="1:1">
      <c r="A313" s="66"/>
    </row>
    <row r="314" spans="1:1">
      <c r="A314" s="66"/>
    </row>
    <row r="315" spans="1:1">
      <c r="A315" s="66"/>
    </row>
    <row r="316" spans="1:1">
      <c r="A316" s="66"/>
    </row>
    <row r="317" spans="1:1">
      <c r="A317" s="66"/>
    </row>
    <row r="318" spans="1:1">
      <c r="A318" s="66"/>
    </row>
    <row r="319" spans="1:1">
      <c r="A319" s="66"/>
    </row>
    <row r="320" spans="1:1">
      <c r="A320" s="65"/>
    </row>
    <row r="321" spans="1:1">
      <c r="A321" s="65"/>
    </row>
    <row r="322" spans="1:1">
      <c r="A322" s="65"/>
    </row>
    <row r="323" spans="1:1">
      <c r="A323" s="65"/>
    </row>
    <row r="324" spans="1:1">
      <c r="A324" s="65"/>
    </row>
    <row r="325" spans="1:1">
      <c r="A325" s="65"/>
    </row>
  </sheetData>
  <protectedRanges>
    <protectedRange sqref="AN10 AN8 AM9" name="Range1_1_3"/>
  </protectedRanges>
  <mergeCells count="50">
    <mergeCell ref="AC8:AC9"/>
    <mergeCell ref="B8:B9"/>
    <mergeCell ref="R8:R9"/>
    <mergeCell ref="I8:J8"/>
    <mergeCell ref="A5:P5"/>
    <mergeCell ref="G7:N7"/>
    <mergeCell ref="C8:C9"/>
    <mergeCell ref="A8:A9"/>
    <mergeCell ref="E8:E9"/>
    <mergeCell ref="Q8:Q9"/>
    <mergeCell ref="R1:S4"/>
    <mergeCell ref="AN8:AN9"/>
    <mergeCell ref="F8:F9"/>
    <mergeCell ref="O8:O9"/>
    <mergeCell ref="P4:Q4"/>
    <mergeCell ref="AM8:AM9"/>
    <mergeCell ref="G8:H8"/>
    <mergeCell ref="K8:K9"/>
    <mergeCell ref="N8:N9"/>
    <mergeCell ref="A7:F7"/>
    <mergeCell ref="AH8:AH9"/>
    <mergeCell ref="P3:Q3"/>
    <mergeCell ref="C4:N4"/>
    <mergeCell ref="D8:D9"/>
    <mergeCell ref="U8:U9"/>
    <mergeCell ref="L8:L9"/>
    <mergeCell ref="M8:M9"/>
    <mergeCell ref="S8:S9"/>
    <mergeCell ref="T8:T9"/>
    <mergeCell ref="P8:P9"/>
    <mergeCell ref="X8:X9"/>
    <mergeCell ref="AD8:AD9"/>
    <mergeCell ref="AF8:AF9"/>
    <mergeCell ref="AG8:AG9"/>
    <mergeCell ref="AI8:AI9"/>
    <mergeCell ref="O7:U7"/>
    <mergeCell ref="AA8:AA9"/>
    <mergeCell ref="AB8:AB9"/>
    <mergeCell ref="Y8:Y9"/>
    <mergeCell ref="Z8:Z9"/>
    <mergeCell ref="V7:AL7"/>
    <mergeCell ref="AK8:AK9"/>
    <mergeCell ref="AE8:AE9"/>
    <mergeCell ref="C2:Q2"/>
    <mergeCell ref="C1:Q1"/>
    <mergeCell ref="C3:N3"/>
    <mergeCell ref="AL8:AL9"/>
    <mergeCell ref="AJ8:AJ9"/>
    <mergeCell ref="V8:V9"/>
    <mergeCell ref="W8:W9"/>
  </mergeCells>
  <phoneticPr fontId="21" type="noConversion"/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pane xSplit="1" topLeftCell="B1" activePane="topRight" state="frozen"/>
      <selection pane="topRight" activeCell="G26" sqref="G26"/>
    </sheetView>
  </sheetViews>
  <sheetFormatPr defaultRowHeight="12.5"/>
  <cols>
    <col min="2" max="2" width="16.81640625" customWidth="1"/>
    <col min="3" max="4" width="17.54296875" customWidth="1"/>
    <col min="5" max="5" width="14" customWidth="1"/>
    <col min="6" max="6" width="15.26953125" customWidth="1"/>
    <col min="7" max="7" width="13" customWidth="1"/>
    <col min="8" max="8" width="11" bestFit="1" customWidth="1"/>
    <col min="9" max="9" width="10.54296875" customWidth="1"/>
    <col min="10" max="10" width="13" customWidth="1"/>
    <col min="11" max="11" width="13.81640625" bestFit="1" customWidth="1"/>
    <col min="12" max="12" width="29" customWidth="1"/>
    <col min="13" max="13" width="12.81640625" customWidth="1"/>
    <col min="14" max="14" width="13.54296875" customWidth="1"/>
    <col min="15" max="15" width="11.81640625" customWidth="1"/>
    <col min="16" max="16" width="12.453125" customWidth="1"/>
    <col min="17" max="17" width="13" customWidth="1"/>
  </cols>
  <sheetData>
    <row r="1" spans="1:21" s="4" customFormat="1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7"/>
      <c r="O1" s="166"/>
      <c r="P1" s="167"/>
      <c r="Q1" s="17"/>
      <c r="R1" s="17"/>
      <c r="S1" s="17"/>
      <c r="T1" s="17"/>
      <c r="U1" s="17"/>
    </row>
    <row r="2" spans="1:21" s="4" customFormat="1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60"/>
      <c r="O2" s="168"/>
      <c r="P2" s="169"/>
    </row>
    <row r="3" spans="1:21" s="4" customFormat="1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60"/>
      <c r="L3" s="3" t="s">
        <v>1510</v>
      </c>
      <c r="M3" s="164" t="str">
        <f>_FormulaHelpers_!B48</f>
        <v>Base</v>
      </c>
      <c r="N3" s="164"/>
      <c r="O3" s="168"/>
      <c r="P3" s="169"/>
    </row>
    <row r="4" spans="1:21" s="4" customFormat="1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3"/>
      <c r="L4" s="3" t="s">
        <v>1795</v>
      </c>
      <c r="M4" s="164" t="str">
        <f>_FormulaHelpers_!B52</f>
        <v>Normal</v>
      </c>
      <c r="N4" s="164"/>
      <c r="O4" s="170"/>
      <c r="P4" s="171"/>
    </row>
    <row r="5" spans="1:21" s="4" customFormat="1" ht="18.75" customHeight="1">
      <c r="A5" s="154" t="s">
        <v>4393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00"/>
      <c r="N5" s="100"/>
      <c r="O5" s="100"/>
      <c r="P5" s="100"/>
      <c r="Q5" s="17"/>
      <c r="R5" s="17"/>
      <c r="S5" s="17"/>
      <c r="T5" s="17"/>
      <c r="U5" s="17"/>
    </row>
    <row r="6" spans="1:21" s="4" customFormat="1"/>
    <row r="7" spans="1:21" ht="15" customHeight="1">
      <c r="A7" s="149" t="s">
        <v>368</v>
      </c>
      <c r="B7" s="149"/>
      <c r="C7" s="149"/>
      <c r="D7" s="149"/>
      <c r="E7" s="149"/>
      <c r="F7" s="149"/>
      <c r="G7" s="149"/>
      <c r="H7" s="149"/>
      <c r="I7" s="186" t="s">
        <v>375</v>
      </c>
      <c r="J7" s="188"/>
      <c r="K7" s="44"/>
      <c r="L7" s="98"/>
      <c r="M7" s="61"/>
      <c r="N7" s="61"/>
      <c r="O7" s="61"/>
      <c r="P7" s="61"/>
      <c r="Q7" s="61"/>
    </row>
    <row r="8" spans="1:21" s="94" customFormat="1" ht="21.75" customHeight="1">
      <c r="A8" s="150" t="s">
        <v>1576</v>
      </c>
      <c r="B8" s="150" t="s">
        <v>365</v>
      </c>
      <c r="C8" s="150" t="s">
        <v>366</v>
      </c>
      <c r="D8" s="150" t="s">
        <v>4554</v>
      </c>
      <c r="E8" s="150" t="s">
        <v>2230</v>
      </c>
      <c r="F8" s="150" t="s">
        <v>1955</v>
      </c>
      <c r="G8" s="150" t="s">
        <v>370</v>
      </c>
      <c r="H8" s="150" t="s">
        <v>1512</v>
      </c>
      <c r="I8" s="150" t="s">
        <v>5106</v>
      </c>
      <c r="J8" s="150" t="s">
        <v>5107</v>
      </c>
      <c r="K8" s="150" t="s">
        <v>12</v>
      </c>
      <c r="L8" s="150" t="s">
        <v>2223</v>
      </c>
      <c r="M8" s="62" t="s">
        <v>2857</v>
      </c>
      <c r="N8" s="63" t="s">
        <v>2285</v>
      </c>
      <c r="O8" s="62" t="s">
        <v>2295</v>
      </c>
      <c r="P8" s="63" t="s">
        <v>2296</v>
      </c>
      <c r="Q8" s="62" t="s">
        <v>2297</v>
      </c>
    </row>
    <row r="9" spans="1:21" s="94" customFormat="1" ht="15" customHeight="1">
      <c r="A9" s="152"/>
      <c r="B9" s="152"/>
      <c r="C9" s="152"/>
      <c r="D9" s="152"/>
      <c r="E9" s="152" t="s">
        <v>4392</v>
      </c>
      <c r="F9" s="152"/>
      <c r="G9" s="152"/>
      <c r="H9" s="152"/>
      <c r="I9" s="152"/>
      <c r="J9" s="152"/>
      <c r="K9" s="152"/>
      <c r="L9" s="152"/>
      <c r="M9" s="59"/>
      <c r="N9" s="59"/>
      <c r="O9" s="59"/>
      <c r="P9" s="59"/>
      <c r="Q9" s="59"/>
    </row>
    <row r="10" spans="1:21" ht="13.5" customHeight="1">
      <c r="A10" s="13" t="s">
        <v>1853</v>
      </c>
      <c r="B10" s="13" t="s">
        <v>2267</v>
      </c>
      <c r="C10" s="30" t="s">
        <v>2268</v>
      </c>
      <c r="D10" s="30" t="s">
        <v>4702</v>
      </c>
      <c r="E10" s="13" t="s">
        <v>2231</v>
      </c>
      <c r="F10" s="13" t="s">
        <v>4389</v>
      </c>
      <c r="G10" s="13" t="s">
        <v>4390</v>
      </c>
      <c r="H10" s="13" t="s">
        <v>1854</v>
      </c>
      <c r="I10" s="41" t="s">
        <v>2841</v>
      </c>
      <c r="J10" s="41" t="s">
        <v>2842</v>
      </c>
      <c r="K10" s="35" t="s">
        <v>571</v>
      </c>
      <c r="L10" s="53" t="s">
        <v>2224</v>
      </c>
      <c r="M10" s="58"/>
      <c r="N10" s="58"/>
      <c r="O10" s="58"/>
      <c r="P10" s="58"/>
      <c r="Q10" s="58"/>
    </row>
  </sheetData>
  <protectedRanges>
    <protectedRange sqref="L7:L9" name="Range1_1"/>
    <protectedRange sqref="L10" name="Range1_1_1"/>
  </protectedRanges>
  <mergeCells count="22">
    <mergeCell ref="A8:A9"/>
    <mergeCell ref="J8:J9"/>
    <mergeCell ref="O1:P4"/>
    <mergeCell ref="C2:N2"/>
    <mergeCell ref="C3:K3"/>
    <mergeCell ref="M3:N3"/>
    <mergeCell ref="C4:K4"/>
    <mergeCell ref="D8:D9"/>
    <mergeCell ref="I7:J7"/>
    <mergeCell ref="I8:I9"/>
    <mergeCell ref="M4:N4"/>
    <mergeCell ref="C1:N1"/>
    <mergeCell ref="L8:L9"/>
    <mergeCell ref="H8:H9"/>
    <mergeCell ref="K8:K9"/>
    <mergeCell ref="C8:C9"/>
    <mergeCell ref="A5:L5"/>
    <mergeCell ref="F8:F9"/>
    <mergeCell ref="G8:G9"/>
    <mergeCell ref="E8:E9"/>
    <mergeCell ref="A7:H7"/>
    <mergeCell ref="B8:B9"/>
  </mergeCells>
  <phoneticPr fontId="21" type="noConversion"/>
  <pageMargins left="0.7" right="0.7" top="0.75" bottom="0.75" header="0.3" footer="0.3"/>
  <pageSetup paperSize="161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pane xSplit="1" topLeftCell="B1" activePane="topRight" state="frozen"/>
      <selection pane="topRight" activeCell="L18" sqref="L18"/>
    </sheetView>
  </sheetViews>
  <sheetFormatPr defaultRowHeight="12.5"/>
  <cols>
    <col min="1" max="1" width="10.81640625" customWidth="1"/>
    <col min="2" max="2" width="14.54296875" customWidth="1"/>
    <col min="3" max="4" width="20.1796875" customWidth="1"/>
    <col min="5" max="5" width="13.54296875" customWidth="1"/>
    <col min="7" max="7" width="13.7265625" customWidth="1"/>
    <col min="8" max="8" width="12" customWidth="1"/>
    <col min="9" max="9" width="9.81640625" customWidth="1"/>
    <col min="10" max="10" width="11.1796875" customWidth="1"/>
    <col min="11" max="11" width="11.453125" customWidth="1"/>
    <col min="12" max="12" width="28.7265625" customWidth="1"/>
    <col min="13" max="13" width="12.54296875" customWidth="1"/>
    <col min="14" max="14" width="13.453125" customWidth="1"/>
    <col min="15" max="15" width="13.54296875" customWidth="1"/>
    <col min="16" max="16" width="12.81640625" customWidth="1"/>
    <col min="17" max="17" width="16.54296875" customWidth="1"/>
  </cols>
  <sheetData>
    <row r="1" spans="1:21" s="4" customFormat="1" ht="14">
      <c r="A1" s="10"/>
      <c r="B1" s="3" t="s">
        <v>1507</v>
      </c>
      <c r="C1" s="24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7"/>
      <c r="O1" s="166"/>
      <c r="P1" s="167"/>
      <c r="Q1" s="17"/>
      <c r="R1" s="17"/>
      <c r="S1" s="17"/>
      <c r="T1" s="17"/>
      <c r="U1" s="17"/>
    </row>
    <row r="2" spans="1:21" s="4" customFormat="1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60"/>
      <c r="O2" s="168"/>
      <c r="P2" s="169"/>
    </row>
    <row r="3" spans="1:21" s="4" customFormat="1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60"/>
      <c r="L3" s="3" t="s">
        <v>1510</v>
      </c>
      <c r="M3" s="164" t="str">
        <f>_FormulaHelpers_!B48</f>
        <v>Base</v>
      </c>
      <c r="N3" s="164"/>
      <c r="O3" s="168"/>
      <c r="P3" s="169"/>
    </row>
    <row r="4" spans="1:21" s="4" customFormat="1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3"/>
      <c r="L4" s="3" t="s">
        <v>1795</v>
      </c>
      <c r="M4" s="164" t="str">
        <f>_FormulaHelpers_!B52</f>
        <v>Normal</v>
      </c>
      <c r="N4" s="164"/>
      <c r="O4" s="170"/>
      <c r="P4" s="171"/>
    </row>
    <row r="5" spans="1:21" s="4" customFormat="1" ht="18.75" customHeight="1">
      <c r="A5" s="154" t="s">
        <v>4394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00"/>
      <c r="N5" s="100"/>
      <c r="O5" s="100"/>
      <c r="P5" s="100"/>
      <c r="Q5" s="17"/>
      <c r="R5" s="17"/>
      <c r="S5" s="17"/>
      <c r="T5" s="17"/>
      <c r="U5" s="17"/>
    </row>
    <row r="6" spans="1:21" s="4" customFormat="1"/>
    <row r="7" spans="1:21" ht="15" customHeight="1">
      <c r="A7" s="149" t="s">
        <v>368</v>
      </c>
      <c r="B7" s="149"/>
      <c r="C7" s="149"/>
      <c r="D7" s="149"/>
      <c r="E7" s="149"/>
      <c r="F7" s="149"/>
      <c r="G7" s="149"/>
      <c r="H7" s="149"/>
      <c r="I7" s="186" t="s">
        <v>375</v>
      </c>
      <c r="J7" s="187"/>
      <c r="K7" s="149" t="s">
        <v>12</v>
      </c>
      <c r="L7" s="146" t="s">
        <v>2223</v>
      </c>
      <c r="M7" s="61"/>
      <c r="N7" s="61"/>
      <c r="O7" s="61"/>
      <c r="P7" s="61"/>
      <c r="Q7" s="61"/>
    </row>
    <row r="8" spans="1:21" ht="15" customHeight="1">
      <c r="A8" s="149" t="s">
        <v>1576</v>
      </c>
      <c r="B8" s="149" t="s">
        <v>365</v>
      </c>
      <c r="C8" s="149" t="s">
        <v>366</v>
      </c>
      <c r="D8" s="149" t="s">
        <v>4554</v>
      </c>
      <c r="E8" s="149" t="s">
        <v>4615</v>
      </c>
      <c r="F8" s="150" t="s">
        <v>2152</v>
      </c>
      <c r="G8" s="149" t="s">
        <v>2180</v>
      </c>
      <c r="H8" s="149" t="s">
        <v>1512</v>
      </c>
      <c r="I8" s="149" t="s">
        <v>4577</v>
      </c>
      <c r="J8" s="149" t="s">
        <v>4576</v>
      </c>
      <c r="K8" s="149"/>
      <c r="L8" s="147"/>
      <c r="M8" s="62" t="s">
        <v>2857</v>
      </c>
      <c r="N8" s="63" t="s">
        <v>2285</v>
      </c>
      <c r="O8" s="62" t="s">
        <v>2295</v>
      </c>
      <c r="P8" s="63" t="s">
        <v>2296</v>
      </c>
      <c r="Q8" s="62" t="s">
        <v>2297</v>
      </c>
    </row>
    <row r="9" spans="1:21" ht="15" customHeight="1">
      <c r="A9" s="149"/>
      <c r="B9" s="149"/>
      <c r="C9" s="149"/>
      <c r="D9" s="149"/>
      <c r="E9" s="149"/>
      <c r="F9" s="152"/>
      <c r="G9" s="149"/>
      <c r="H9" s="149"/>
      <c r="I9" s="149" t="s">
        <v>847</v>
      </c>
      <c r="J9" s="149" t="s">
        <v>4385</v>
      </c>
      <c r="K9" s="149"/>
      <c r="L9" s="148"/>
      <c r="M9" s="59"/>
      <c r="N9" s="59"/>
      <c r="O9" s="59"/>
      <c r="P9" s="59"/>
      <c r="Q9" s="59"/>
    </row>
    <row r="10" spans="1:21" ht="15" customHeight="1">
      <c r="A10" s="13" t="s">
        <v>1853</v>
      </c>
      <c r="B10" s="13" t="s">
        <v>2267</v>
      </c>
      <c r="C10" s="30" t="s">
        <v>2268</v>
      </c>
      <c r="D10" s="30" t="s">
        <v>4523</v>
      </c>
      <c r="E10" s="13" t="s">
        <v>2231</v>
      </c>
      <c r="F10" s="13" t="s">
        <v>2153</v>
      </c>
      <c r="G10" s="13" t="s">
        <v>4388</v>
      </c>
      <c r="H10" s="13" t="s">
        <v>1854</v>
      </c>
      <c r="I10" s="41" t="s">
        <v>4386</v>
      </c>
      <c r="J10" s="41" t="s">
        <v>4387</v>
      </c>
      <c r="K10" s="35" t="s">
        <v>571</v>
      </c>
      <c r="L10" s="53" t="s">
        <v>2224</v>
      </c>
      <c r="M10" s="58"/>
      <c r="N10" s="58"/>
      <c r="O10" s="58"/>
      <c r="P10" s="58"/>
      <c r="Q10" s="58"/>
    </row>
  </sheetData>
  <protectedRanges>
    <protectedRange sqref="L7:L10" name="Range1_1"/>
  </protectedRanges>
  <mergeCells count="22">
    <mergeCell ref="D1:N1"/>
    <mergeCell ref="O1:P4"/>
    <mergeCell ref="C2:N2"/>
    <mergeCell ref="C3:K3"/>
    <mergeCell ref="M3:N3"/>
    <mergeCell ref="C4:K4"/>
    <mergeCell ref="A7:H7"/>
    <mergeCell ref="I8:I9"/>
    <mergeCell ref="B8:B9"/>
    <mergeCell ref="F8:F9"/>
    <mergeCell ref="L7:L9"/>
    <mergeCell ref="G8:G9"/>
    <mergeCell ref="A5:L5"/>
    <mergeCell ref="D8:D9"/>
    <mergeCell ref="M4:N4"/>
    <mergeCell ref="I7:J7"/>
    <mergeCell ref="J8:J9"/>
    <mergeCell ref="C8:C9"/>
    <mergeCell ref="K7:K9"/>
    <mergeCell ref="E8:E9"/>
    <mergeCell ref="H8:H9"/>
    <mergeCell ref="A8:A9"/>
  </mergeCells>
  <phoneticPr fontId="21" type="noConversion"/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"/>
  <sheetViews>
    <sheetView zoomScaleNormal="100" workbookViewId="0">
      <pane xSplit="1" topLeftCell="B1" activePane="topRight" state="frozen"/>
      <selection pane="topRight" activeCell="A11" sqref="A11:U11"/>
    </sheetView>
  </sheetViews>
  <sheetFormatPr defaultRowHeight="12.5"/>
  <cols>
    <col min="1" max="1" width="8.7265625" style="85"/>
    <col min="2" max="2" width="15.453125" style="85" customWidth="1"/>
    <col min="3" max="3" width="13.26953125" style="85" customWidth="1"/>
    <col min="4" max="4" width="8.7265625" style="85"/>
    <col min="5" max="5" width="13.81640625" style="85" customWidth="1"/>
    <col min="6" max="6" width="9.1796875" style="85" customWidth="1"/>
    <col min="7" max="7" width="19.7265625" style="85" customWidth="1"/>
    <col min="8" max="8" width="7.7265625" style="85" customWidth="1"/>
    <col min="9" max="9" width="14.54296875" style="85" customWidth="1"/>
    <col min="10" max="10" width="14.81640625" style="85" customWidth="1"/>
    <col min="11" max="11" width="8.7265625" style="85"/>
    <col min="12" max="12" width="12.26953125" style="85" customWidth="1"/>
    <col min="13" max="13" width="15.81640625" style="85" customWidth="1"/>
    <col min="14" max="14" width="8.7265625" style="85"/>
    <col min="15" max="15" width="10.26953125" style="85" customWidth="1"/>
    <col min="16" max="18" width="8.7265625" style="85"/>
    <col min="19" max="19" width="13.26953125" style="85" customWidth="1"/>
    <col min="20" max="20" width="24" style="85" customWidth="1"/>
    <col min="21" max="21" width="25" style="85" customWidth="1"/>
    <col min="22" max="22" width="12.54296875" style="85" bestFit="1" customWidth="1"/>
    <col min="23" max="23" width="12.1796875" style="85" bestFit="1" customWidth="1"/>
    <col min="24" max="24" width="12" style="85" bestFit="1" customWidth="1"/>
    <col min="25" max="25" width="13.453125" style="85" bestFit="1" customWidth="1"/>
    <col min="26" max="26" width="13.1796875" style="85" bestFit="1" customWidth="1"/>
    <col min="27" max="27" width="12.1796875" style="85" bestFit="1" customWidth="1"/>
    <col min="28" max="28" width="13.1796875" style="85" bestFit="1" customWidth="1"/>
    <col min="29" max="29" width="9.81640625" style="85" bestFit="1" customWidth="1"/>
    <col min="30" max="30" width="13.1796875" style="85" bestFit="1" customWidth="1"/>
    <col min="31" max="16384" width="8.7265625" style="85"/>
  </cols>
  <sheetData>
    <row r="1" spans="1:42" s="57" customFormat="1" ht="14">
      <c r="A1" s="83"/>
      <c r="B1" s="84" t="s">
        <v>1507</v>
      </c>
      <c r="C1" s="137">
        <f>_FormulaHelpers_!B43</f>
        <v>0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9"/>
      <c r="U1" s="250"/>
      <c r="V1" s="251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</row>
    <row r="2" spans="1:42" s="57" customFormat="1" ht="14">
      <c r="A2" s="87"/>
      <c r="B2" s="84" t="s">
        <v>1508</v>
      </c>
      <c r="C2" s="140">
        <f>_FormulaHelpers_!B44</f>
        <v>0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2"/>
      <c r="U2" s="253"/>
      <c r="V2" s="254"/>
    </row>
    <row r="3" spans="1:42" s="57" customFormat="1" ht="14">
      <c r="A3" s="87"/>
      <c r="B3" s="84" t="s">
        <v>1794</v>
      </c>
      <c r="C3" s="140">
        <f>_FormulaHelpers_!B45</f>
        <v>0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29"/>
      <c r="P3" s="129"/>
      <c r="Q3" s="129"/>
      <c r="R3" s="129"/>
      <c r="S3" s="84" t="s">
        <v>1510</v>
      </c>
      <c r="T3" s="269" t="str">
        <f>_FormulaHelpers_!B48</f>
        <v>Base</v>
      </c>
      <c r="U3" s="253"/>
      <c r="V3" s="254"/>
    </row>
    <row r="4" spans="1:42" s="57" customFormat="1" ht="14">
      <c r="A4" s="88"/>
      <c r="B4" s="84" t="s">
        <v>1509</v>
      </c>
      <c r="C4" s="143">
        <f>_FormulaHelpers_!B46</f>
        <v>45703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30"/>
      <c r="P4" s="130"/>
      <c r="Q4" s="130"/>
      <c r="R4" s="130"/>
      <c r="S4" s="84" t="s">
        <v>1795</v>
      </c>
      <c r="T4" s="269" t="str">
        <f>_FormulaHelpers_!B52</f>
        <v>Normal</v>
      </c>
      <c r="U4" s="256"/>
      <c r="V4" s="257"/>
    </row>
    <row r="5" spans="1:42" s="57" customFormat="1" ht="18.75" customHeight="1">
      <c r="A5" s="134" t="s">
        <v>4515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270"/>
      <c r="W5" s="270"/>
      <c r="X5" s="270"/>
      <c r="Y5" s="270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</row>
    <row r="6" spans="1:42" s="57" customFormat="1" ht="12.75" customHeight="1"/>
    <row r="7" spans="1:42" s="114" customFormat="1" ht="15" customHeight="1">
      <c r="A7" s="176" t="s">
        <v>1576</v>
      </c>
      <c r="B7" s="176" t="s">
        <v>2240</v>
      </c>
      <c r="C7" s="176" t="s">
        <v>2230</v>
      </c>
      <c r="D7" s="146" t="s">
        <v>2152</v>
      </c>
      <c r="E7" s="176" t="s">
        <v>1512</v>
      </c>
      <c r="F7" s="176" t="s">
        <v>4395</v>
      </c>
      <c r="G7" s="176" t="s">
        <v>4391</v>
      </c>
      <c r="H7" s="176" t="s">
        <v>1602</v>
      </c>
      <c r="I7" s="177" t="s">
        <v>2264</v>
      </c>
      <c r="J7" s="178"/>
      <c r="K7" s="178"/>
      <c r="L7" s="178"/>
      <c r="M7" s="178"/>
      <c r="N7" s="179"/>
      <c r="O7" s="176" t="s">
        <v>3122</v>
      </c>
      <c r="P7" s="176" t="s">
        <v>3124</v>
      </c>
      <c r="Q7" s="176" t="s">
        <v>3233</v>
      </c>
      <c r="R7" s="176" t="s">
        <v>3235</v>
      </c>
      <c r="S7" s="113" t="s">
        <v>2192</v>
      </c>
      <c r="T7" s="146" t="s">
        <v>12</v>
      </c>
      <c r="U7" s="146" t="s">
        <v>2223</v>
      </c>
      <c r="V7" s="61"/>
      <c r="W7" s="61"/>
      <c r="X7" s="61"/>
      <c r="Y7" s="61"/>
      <c r="Z7" s="61"/>
    </row>
    <row r="8" spans="1:42" s="114" customFormat="1" ht="15" customHeight="1">
      <c r="A8" s="176"/>
      <c r="B8" s="176"/>
      <c r="C8" s="176"/>
      <c r="D8" s="147"/>
      <c r="E8" s="176"/>
      <c r="F8" s="176"/>
      <c r="G8" s="176"/>
      <c r="H8" s="176"/>
      <c r="I8" s="177" t="s">
        <v>4396</v>
      </c>
      <c r="J8" s="178"/>
      <c r="K8" s="179"/>
      <c r="L8" s="177" t="s">
        <v>4398</v>
      </c>
      <c r="M8" s="178"/>
      <c r="N8" s="179"/>
      <c r="O8" s="176"/>
      <c r="P8" s="176"/>
      <c r="Q8" s="176"/>
      <c r="R8" s="176"/>
      <c r="S8" s="176" t="s">
        <v>2258</v>
      </c>
      <c r="T8" s="147"/>
      <c r="U8" s="147"/>
      <c r="V8" s="62" t="s">
        <v>2857</v>
      </c>
      <c r="W8" s="63" t="s">
        <v>2285</v>
      </c>
      <c r="X8" s="62" t="s">
        <v>2295</v>
      </c>
      <c r="Y8" s="63" t="s">
        <v>2296</v>
      </c>
      <c r="Z8" s="62" t="s">
        <v>2297</v>
      </c>
    </row>
    <row r="9" spans="1:42" s="114" customFormat="1" ht="26.25" customHeight="1">
      <c r="A9" s="176"/>
      <c r="B9" s="176"/>
      <c r="C9" s="176"/>
      <c r="D9" s="148"/>
      <c r="E9" s="176"/>
      <c r="F9" s="176"/>
      <c r="G9" s="176"/>
      <c r="H9" s="176"/>
      <c r="I9" s="115" t="s">
        <v>4397</v>
      </c>
      <c r="J9" s="115" t="s">
        <v>2166</v>
      </c>
      <c r="K9" s="115" t="s">
        <v>2211</v>
      </c>
      <c r="L9" s="115" t="s">
        <v>4397</v>
      </c>
      <c r="M9" s="115" t="s">
        <v>2166</v>
      </c>
      <c r="N9" s="115" t="s">
        <v>2211</v>
      </c>
      <c r="O9" s="176"/>
      <c r="P9" s="176"/>
      <c r="Q9" s="176"/>
      <c r="R9" s="176"/>
      <c r="S9" s="176"/>
      <c r="T9" s="148"/>
      <c r="U9" s="148"/>
      <c r="V9" s="59"/>
      <c r="W9" s="59"/>
      <c r="X9" s="59"/>
      <c r="Y9" s="59"/>
      <c r="Z9" s="59"/>
    </row>
    <row r="10" spans="1:42" s="56" customFormat="1" ht="23.25" hidden="1" customHeight="1">
      <c r="A10" s="105" t="s">
        <v>1853</v>
      </c>
      <c r="B10" s="105" t="s">
        <v>2269</v>
      </c>
      <c r="C10" s="105" t="s">
        <v>2231</v>
      </c>
      <c r="D10" s="105" t="s">
        <v>2153</v>
      </c>
      <c r="E10" s="105" t="s">
        <v>1854</v>
      </c>
      <c r="F10" s="105" t="s">
        <v>2302</v>
      </c>
      <c r="G10" s="271" t="s">
        <v>1861</v>
      </c>
      <c r="H10" s="127" t="s">
        <v>4693</v>
      </c>
      <c r="I10" s="105" t="s">
        <v>5069</v>
      </c>
      <c r="J10" s="58" t="s">
        <v>5070</v>
      </c>
      <c r="K10" s="105" t="s">
        <v>5071</v>
      </c>
      <c r="L10" s="105" t="s">
        <v>5117</v>
      </c>
      <c r="M10" s="58" t="s">
        <v>5067</v>
      </c>
      <c r="N10" s="105" t="s">
        <v>5068</v>
      </c>
      <c r="O10" s="105" t="s">
        <v>4824</v>
      </c>
      <c r="P10" s="105" t="s">
        <v>4825</v>
      </c>
      <c r="Q10" s="105" t="s">
        <v>5073</v>
      </c>
      <c r="R10" s="105" t="s">
        <v>5072</v>
      </c>
      <c r="S10" s="105" t="s">
        <v>5066</v>
      </c>
      <c r="T10" s="105" t="s">
        <v>571</v>
      </c>
      <c r="U10" s="244" t="s">
        <v>2224</v>
      </c>
      <c r="V10" s="105"/>
      <c r="W10" s="105"/>
      <c r="X10" s="105"/>
      <c r="Y10" s="105"/>
      <c r="Z10" s="105"/>
    </row>
    <row r="11" spans="1:42" s="57" customFormat="1">
      <c r="A11" s="105" t="s">
        <v>6322</v>
      </c>
      <c r="B11" s="105" t="str">
        <f>IF(TRIM("BUS_九龙变_243") = "", "BUS_九龙变_243", "BUS_九龙变_243")</f>
        <v>BUS_九龙变_243</v>
      </c>
      <c r="C11" s="105" t="str">
        <f>IF(TRUE = TRUE, "Yes", "No")</f>
        <v>Yes</v>
      </c>
      <c r="D11" s="105" t="s">
        <v>6323</v>
      </c>
      <c r="E11" s="105"/>
      <c r="F11" s="105">
        <f>ROUND(10, 3)</f>
        <v>10</v>
      </c>
      <c r="G11" s="271" t="s">
        <v>6324</v>
      </c>
      <c r="H11" s="127" t="str">
        <f>IF(0 = 0, "3", "1")</f>
        <v>3</v>
      </c>
      <c r="I11" s="105">
        <f>IF(0 = 0,ROUND(CHOOSE((0 + 1), 0 / 1000, 0, 0 * 1000),3),"--")</f>
        <v>0</v>
      </c>
      <c r="J11" s="58" t="str">
        <f>IF(0 = 0,CHOOSE((0 + 1), "MVAsc", "KVAsc", "VAsc"),"--")</f>
        <v>MVAsc</v>
      </c>
      <c r="K11" s="105">
        <f>IF(0 = 0,ROUND(0, 1),"--")</f>
        <v>0</v>
      </c>
      <c r="L11" s="105">
        <f>IF(0 = 1,ROUND(CHOOSE((0 + 1), 0 / 1000, 0, 0 * 1000),3),IF(AND(0 = 0,0 = 0),ROUND(CHOOSE((0 + 1), 0 / 1000, 0, 0 * 1000),3),"--"))</f>
        <v>0</v>
      </c>
      <c r="M11" s="58" t="str">
        <f>IF(OR(0 = 0,0 = 1),CHOOSE((0 + 1), "MVAsc", "KVAsc", "VAsc"),"--")</f>
        <v>MVAsc</v>
      </c>
      <c r="N11" s="105">
        <f>IF(OR(0 = 0,0 = 1),ROUND(0, 1),"--")</f>
        <v>0</v>
      </c>
      <c r="O11" s="105">
        <f>ROUND(0,3)</f>
        <v>0</v>
      </c>
      <c r="P11" s="105">
        <f>ROUND(0,3)</f>
        <v>0</v>
      </c>
      <c r="Q11" s="105">
        <f>IF(OR(0 = 1,0=1),"--",ROUND(0,3))</f>
        <v>0</v>
      </c>
      <c r="R11" s="105">
        <f>IF(OR(0 = 1,0=1),"--",ROUND(0,3))</f>
        <v>0</v>
      </c>
      <c r="S11" s="105" t="str">
        <f>IF(0 = 0, IF(0=0,  "Y", "Δ"),IF(1=0,  "Ungrounded", "Grounded"))</f>
        <v>Y</v>
      </c>
      <c r="T11" s="105"/>
      <c r="U11" s="53" t="s">
        <v>6325</v>
      </c>
    </row>
  </sheetData>
  <sheetProtection sheet="1" objects="1" scenarios="1"/>
  <protectedRanges>
    <protectedRange sqref="U7:U10" name="Range1_1"/>
  </protectedRanges>
  <mergeCells count="24">
    <mergeCell ref="U1:V4"/>
    <mergeCell ref="A5:U5"/>
    <mergeCell ref="A7:A9"/>
    <mergeCell ref="U7:U9"/>
    <mergeCell ref="S8:S9"/>
    <mergeCell ref="I8:K8"/>
    <mergeCell ref="T7:T9"/>
    <mergeCell ref="B7:B9"/>
    <mergeCell ref="C1:T1"/>
    <mergeCell ref="C2:T2"/>
    <mergeCell ref="R7:R9"/>
    <mergeCell ref="P7:P9"/>
    <mergeCell ref="E7:E9"/>
    <mergeCell ref="C4:N4"/>
    <mergeCell ref="Q7:Q9"/>
    <mergeCell ref="H7:H9"/>
    <mergeCell ref="C7:C9"/>
    <mergeCell ref="D7:D9"/>
    <mergeCell ref="C3:N3"/>
    <mergeCell ref="I7:N7"/>
    <mergeCell ref="G7:G9"/>
    <mergeCell ref="O7:O9"/>
    <mergeCell ref="L8:N8"/>
    <mergeCell ref="F7:F9"/>
  </mergeCells>
  <phoneticPr fontId="21" type="noConversion"/>
  <dataValidations count="2">
    <dataValidation type="list" allowBlank="1" showInputMessage="1" showErrorMessage="1" sqref="AA10:HY10">
      <formula1>AZ13:AZ325</formula1>
    </dataValidation>
    <dataValidation type="list" allowBlank="1" showInputMessage="1" showErrorMessage="1" sqref="HZ10:IV10">
      <formula1>13:325</formula1>
    </dataValidation>
  </dataValidations>
  <pageMargins left="0.7" right="0.7" top="0.75" bottom="0.75" header="0.3" footer="0.3"/>
  <pageSetup paperSize="161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6"/>
  <sheetViews>
    <sheetView zoomScaleNormal="100" workbookViewId="0">
      <pane xSplit="1" topLeftCell="B1" activePane="topRight" state="frozen"/>
      <selection pane="topRight" activeCell="M10" sqref="M10"/>
    </sheetView>
  </sheetViews>
  <sheetFormatPr defaultRowHeight="12.5"/>
  <cols>
    <col min="1" max="1" width="12.1796875" customWidth="1"/>
    <col min="2" max="2" width="14.81640625" customWidth="1"/>
    <col min="3" max="3" width="14.453125" customWidth="1"/>
    <col min="4" max="5" width="14.54296875" customWidth="1"/>
    <col min="6" max="6" width="19.54296875" customWidth="1"/>
    <col min="7" max="7" width="15.7265625" customWidth="1"/>
    <col min="10" max="10" width="37.26953125" customWidth="1"/>
    <col min="12" max="12" width="11.453125" bestFit="1" customWidth="1"/>
    <col min="13" max="13" width="34.54296875" customWidth="1"/>
    <col min="14" max="14" width="11.453125" customWidth="1"/>
    <col min="15" max="15" width="11.7265625" customWidth="1"/>
    <col min="16" max="16" width="31" customWidth="1"/>
    <col min="17" max="17" width="9.1796875" customWidth="1"/>
    <col min="18" max="18" width="11.7265625" customWidth="1"/>
    <col min="19" max="19" width="26.453125" customWidth="1"/>
    <col min="21" max="21" width="11.453125" customWidth="1"/>
    <col min="22" max="22" width="33.1796875" customWidth="1"/>
    <col min="23" max="24" width="11.453125" customWidth="1"/>
    <col min="25" max="25" width="29" customWidth="1"/>
    <col min="26" max="26" width="13.81640625" bestFit="1" customWidth="1"/>
    <col min="27" max="27" width="12.26953125" customWidth="1"/>
    <col min="36" max="36" width="23.81640625" customWidth="1"/>
    <col min="38" max="38" width="28" customWidth="1"/>
    <col min="46" max="46" width="26.26953125" customWidth="1"/>
    <col min="47" max="47" width="12.1796875" bestFit="1" customWidth="1"/>
    <col min="48" max="48" width="31.1796875" customWidth="1"/>
    <col min="49" max="49" width="15" customWidth="1"/>
    <col min="50" max="50" width="13.1796875" bestFit="1" customWidth="1"/>
    <col min="52" max="52" width="12.54296875" customWidth="1"/>
    <col min="53" max="53" width="12.7265625" bestFit="1" customWidth="1"/>
    <col min="59" max="59" width="12" bestFit="1" customWidth="1"/>
    <col min="60" max="60" width="12.1796875" bestFit="1" customWidth="1"/>
  </cols>
  <sheetData>
    <row r="1" spans="1:62" s="64" customFormat="1" ht="14">
      <c r="A1" s="79"/>
      <c r="B1" s="76" t="s">
        <v>1507</v>
      </c>
      <c r="C1" s="221">
        <f>_FormulaHelpers_!B43</f>
        <v>0</v>
      </c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3"/>
      <c r="S1" s="211"/>
      <c r="T1" s="212"/>
      <c r="U1" s="99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</row>
    <row r="2" spans="1:62" s="64" customFormat="1" ht="14">
      <c r="A2" s="78"/>
      <c r="B2" s="76" t="s">
        <v>1508</v>
      </c>
      <c r="C2" s="224">
        <f>_FormulaHelpers_!B44</f>
        <v>0</v>
      </c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6"/>
      <c r="S2" s="213"/>
      <c r="T2" s="214"/>
      <c r="U2" s="99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</row>
    <row r="3" spans="1:62" s="64" customFormat="1" ht="14">
      <c r="A3" s="78"/>
      <c r="B3" s="76" t="s">
        <v>1794</v>
      </c>
      <c r="C3" s="201">
        <f>_FormulaHelpers_!B45</f>
        <v>0</v>
      </c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3"/>
      <c r="O3" s="76" t="s">
        <v>1510</v>
      </c>
      <c r="P3" s="207" t="str">
        <f>_FormulaHelpers_!B48</f>
        <v>Base</v>
      </c>
      <c r="Q3" s="207"/>
      <c r="R3" s="207"/>
      <c r="S3" s="213"/>
      <c r="T3" s="214"/>
      <c r="U3" s="99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</row>
    <row r="4" spans="1:62" s="64" customFormat="1" ht="14">
      <c r="A4" s="77"/>
      <c r="B4" s="76" t="s">
        <v>1509</v>
      </c>
      <c r="C4" s="208">
        <f>_FormulaHelpers_!B46</f>
        <v>45703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10"/>
      <c r="O4" s="76" t="s">
        <v>1795</v>
      </c>
      <c r="P4" s="207" t="str">
        <f>_FormulaHelpers_!B52</f>
        <v>Normal</v>
      </c>
      <c r="Q4" s="207"/>
      <c r="R4" s="207"/>
      <c r="S4" s="215"/>
      <c r="T4" s="216"/>
      <c r="U4" s="99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</row>
    <row r="5" spans="1:62" s="4" customFormat="1" ht="18.75" customHeight="1">
      <c r="A5" s="200" t="s">
        <v>4399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101"/>
      <c r="AX5" s="101"/>
      <c r="AY5" s="101"/>
      <c r="AZ5" s="39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s="4" customFormat="1"/>
    <row r="7" spans="1:62" ht="15" customHeight="1">
      <c r="A7" s="149" t="s">
        <v>368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90" t="s">
        <v>4472</v>
      </c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8"/>
      <c r="AB7" s="190" t="s">
        <v>3292</v>
      </c>
      <c r="AC7" s="227"/>
      <c r="AD7" s="227"/>
      <c r="AE7" s="227"/>
      <c r="AF7" s="227"/>
      <c r="AG7" s="227"/>
      <c r="AH7" s="227"/>
      <c r="AI7" s="227"/>
      <c r="AJ7" s="186" t="s">
        <v>4480</v>
      </c>
      <c r="AK7" s="187"/>
      <c r="AL7" s="187"/>
      <c r="AM7" s="187"/>
      <c r="AN7" s="187"/>
      <c r="AO7" s="187"/>
      <c r="AP7" s="187"/>
      <c r="AQ7" s="187"/>
      <c r="AR7" s="187"/>
      <c r="AS7" s="188"/>
      <c r="AT7" s="106" t="s">
        <v>4580</v>
      </c>
      <c r="AU7" s="150" t="s">
        <v>12</v>
      </c>
      <c r="AV7" s="146" t="s">
        <v>2223</v>
      </c>
      <c r="AW7" s="61"/>
      <c r="AX7" s="61"/>
      <c r="AY7" s="61"/>
      <c r="AZ7" s="61"/>
      <c r="BA7" s="61"/>
    </row>
    <row r="8" spans="1:62" ht="15" customHeight="1">
      <c r="A8" s="149" t="s">
        <v>1576</v>
      </c>
      <c r="B8" s="149" t="s">
        <v>4524</v>
      </c>
      <c r="C8" s="149" t="s">
        <v>4525</v>
      </c>
      <c r="D8" s="149" t="s">
        <v>4526</v>
      </c>
      <c r="E8" s="149" t="s">
        <v>3006</v>
      </c>
      <c r="F8" s="150" t="s">
        <v>3317</v>
      </c>
      <c r="G8" s="150" t="s">
        <v>3318</v>
      </c>
      <c r="H8" s="150" t="s">
        <v>2230</v>
      </c>
      <c r="I8" s="150" t="s">
        <v>2152</v>
      </c>
      <c r="J8" s="149" t="s">
        <v>4400</v>
      </c>
      <c r="K8" s="150" t="s">
        <v>4401</v>
      </c>
      <c r="L8" s="149" t="s">
        <v>1512</v>
      </c>
      <c r="M8" s="186" t="s">
        <v>1602</v>
      </c>
      <c r="N8" s="187"/>
      <c r="O8" s="188"/>
      <c r="P8" s="186" t="s">
        <v>4477</v>
      </c>
      <c r="Q8" s="187"/>
      <c r="R8" s="188"/>
      <c r="S8" s="186" t="s">
        <v>3274</v>
      </c>
      <c r="T8" s="187"/>
      <c r="U8" s="188"/>
      <c r="V8" s="186" t="s">
        <v>4478</v>
      </c>
      <c r="W8" s="187"/>
      <c r="X8" s="188"/>
      <c r="Y8" s="186" t="s">
        <v>4476</v>
      </c>
      <c r="Z8" s="187"/>
      <c r="AA8" s="188"/>
      <c r="AB8" s="186" t="s">
        <v>1602</v>
      </c>
      <c r="AC8" s="187"/>
      <c r="AD8" s="186" t="s">
        <v>4477</v>
      </c>
      <c r="AE8" s="187"/>
      <c r="AF8" s="186" t="s">
        <v>3274</v>
      </c>
      <c r="AG8" s="188"/>
      <c r="AH8" s="186" t="s">
        <v>4476</v>
      </c>
      <c r="AI8" s="187"/>
      <c r="AJ8" s="186" t="s">
        <v>3841</v>
      </c>
      <c r="AK8" s="188"/>
      <c r="AL8" s="186" t="s">
        <v>2868</v>
      </c>
      <c r="AM8" s="188"/>
      <c r="AN8" s="186" t="s">
        <v>3292</v>
      </c>
      <c r="AO8" s="188"/>
      <c r="AP8" s="186" t="s">
        <v>3299</v>
      </c>
      <c r="AQ8" s="188"/>
      <c r="AR8" s="186" t="s">
        <v>3274</v>
      </c>
      <c r="AS8" s="188"/>
      <c r="AT8" s="150" t="s">
        <v>4581</v>
      </c>
      <c r="AU8" s="151"/>
      <c r="AV8" s="147"/>
      <c r="AW8" s="62" t="s">
        <v>2857</v>
      </c>
      <c r="AX8" s="63" t="s">
        <v>2285</v>
      </c>
      <c r="AY8" s="62" t="s">
        <v>2295</v>
      </c>
      <c r="AZ8" s="63" t="s">
        <v>2296</v>
      </c>
      <c r="BA8" s="62" t="s">
        <v>2297</v>
      </c>
    </row>
    <row r="9" spans="1:62" ht="15" customHeight="1">
      <c r="A9" s="149"/>
      <c r="B9" s="149"/>
      <c r="C9" s="149"/>
      <c r="D9" s="149"/>
      <c r="E9" s="149"/>
      <c r="F9" s="152"/>
      <c r="G9" s="152"/>
      <c r="H9" s="152"/>
      <c r="I9" s="152"/>
      <c r="J9" s="149"/>
      <c r="K9" s="152"/>
      <c r="L9" s="149"/>
      <c r="M9" s="82" t="s">
        <v>4473</v>
      </c>
      <c r="N9" s="82" t="s">
        <v>4474</v>
      </c>
      <c r="O9" s="82" t="s">
        <v>4475</v>
      </c>
      <c r="P9" s="82" t="s">
        <v>4473</v>
      </c>
      <c r="Q9" s="82" t="s">
        <v>4474</v>
      </c>
      <c r="R9" s="82" t="s">
        <v>4475</v>
      </c>
      <c r="S9" s="82" t="s">
        <v>4473</v>
      </c>
      <c r="T9" s="82" t="s">
        <v>4474</v>
      </c>
      <c r="U9" s="82" t="s">
        <v>4475</v>
      </c>
      <c r="V9" s="82" t="s">
        <v>4473</v>
      </c>
      <c r="W9" s="82" t="s">
        <v>4474</v>
      </c>
      <c r="X9" s="82" t="s">
        <v>4475</v>
      </c>
      <c r="Y9" s="82" t="s">
        <v>4473</v>
      </c>
      <c r="Z9" s="82" t="s">
        <v>4474</v>
      </c>
      <c r="AA9" s="82" t="s">
        <v>4475</v>
      </c>
      <c r="AB9" s="82" t="s">
        <v>4474</v>
      </c>
      <c r="AC9" s="82" t="s">
        <v>4479</v>
      </c>
      <c r="AD9" s="82" t="s">
        <v>4474</v>
      </c>
      <c r="AE9" s="82" t="s">
        <v>4479</v>
      </c>
      <c r="AF9" s="82" t="s">
        <v>4474</v>
      </c>
      <c r="AG9" s="82" t="s">
        <v>4479</v>
      </c>
      <c r="AH9" s="82" t="s">
        <v>4474</v>
      </c>
      <c r="AI9" s="82" t="s">
        <v>4479</v>
      </c>
      <c r="AJ9" s="82" t="s">
        <v>370</v>
      </c>
      <c r="AK9" s="82" t="s">
        <v>4481</v>
      </c>
      <c r="AL9" s="82" t="s">
        <v>370</v>
      </c>
      <c r="AM9" s="82" t="s">
        <v>4481</v>
      </c>
      <c r="AN9" s="82" t="s">
        <v>4481</v>
      </c>
      <c r="AO9" s="82" t="s">
        <v>4479</v>
      </c>
      <c r="AP9" s="82" t="s">
        <v>4481</v>
      </c>
      <c r="AQ9" s="82" t="s">
        <v>4479</v>
      </c>
      <c r="AR9" s="82" t="s">
        <v>4481</v>
      </c>
      <c r="AS9" s="82" t="s">
        <v>4479</v>
      </c>
      <c r="AT9" s="152"/>
      <c r="AU9" s="152"/>
      <c r="AV9" s="148"/>
      <c r="AW9" s="59"/>
      <c r="AX9" s="59"/>
      <c r="AY9" s="59"/>
      <c r="AZ9" s="59"/>
      <c r="BA9" s="59"/>
    </row>
    <row r="10" spans="1:62" s="94" customFormat="1" ht="15" customHeight="1">
      <c r="A10" s="13" t="s">
        <v>1853</v>
      </c>
      <c r="B10" s="13" t="s">
        <v>4556</v>
      </c>
      <c r="C10" s="13" t="s">
        <v>4555</v>
      </c>
      <c r="D10" s="13" t="s">
        <v>4557</v>
      </c>
      <c r="E10" s="13" t="s">
        <v>4558</v>
      </c>
      <c r="F10" s="13" t="s">
        <v>4470</v>
      </c>
      <c r="G10" s="13" t="s">
        <v>4471</v>
      </c>
      <c r="H10" s="13" t="s">
        <v>2231</v>
      </c>
      <c r="I10" s="13" t="s">
        <v>2153</v>
      </c>
      <c r="J10" s="13" t="s">
        <v>4403</v>
      </c>
      <c r="K10" s="13" t="s">
        <v>4402</v>
      </c>
      <c r="L10" s="13" t="s">
        <v>1854</v>
      </c>
      <c r="M10" s="41" t="s">
        <v>4559</v>
      </c>
      <c r="N10" s="41" t="s">
        <v>4560</v>
      </c>
      <c r="O10" s="41" t="s">
        <v>4561</v>
      </c>
      <c r="P10" s="41" t="s">
        <v>4562</v>
      </c>
      <c r="Q10" s="41" t="s">
        <v>4563</v>
      </c>
      <c r="R10" s="41" t="s">
        <v>4589</v>
      </c>
      <c r="S10" s="41" t="s">
        <v>4564</v>
      </c>
      <c r="T10" s="41" t="s">
        <v>4565</v>
      </c>
      <c r="U10" s="41" t="s">
        <v>4590</v>
      </c>
      <c r="V10" s="41" t="s">
        <v>4566</v>
      </c>
      <c r="W10" s="41" t="s">
        <v>4567</v>
      </c>
      <c r="X10" s="41" t="s">
        <v>4591</v>
      </c>
      <c r="Y10" s="41" t="s">
        <v>4568</v>
      </c>
      <c r="Z10" s="41" t="s">
        <v>4584</v>
      </c>
      <c r="AA10" s="41" t="s">
        <v>4592</v>
      </c>
      <c r="AB10" s="41" t="s">
        <v>4585</v>
      </c>
      <c r="AC10" s="41" t="s">
        <v>4594</v>
      </c>
      <c r="AD10" s="41" t="s">
        <v>4586</v>
      </c>
      <c r="AE10" s="41" t="s">
        <v>4593</v>
      </c>
      <c r="AF10" s="41" t="s">
        <v>4587</v>
      </c>
      <c r="AG10" s="41" t="s">
        <v>4595</v>
      </c>
      <c r="AH10" s="41" t="s">
        <v>4588</v>
      </c>
      <c r="AI10" s="41" t="s">
        <v>4596</v>
      </c>
      <c r="AJ10" s="41" t="s">
        <v>4706</v>
      </c>
      <c r="AK10" s="41" t="s">
        <v>4707</v>
      </c>
      <c r="AL10" s="41" t="s">
        <v>4708</v>
      </c>
      <c r="AM10" s="41" t="s">
        <v>4709</v>
      </c>
      <c r="AN10" s="41" t="s">
        <v>4710</v>
      </c>
      <c r="AO10" s="41" t="s">
        <v>4711</v>
      </c>
      <c r="AP10" s="41" t="s">
        <v>4712</v>
      </c>
      <c r="AQ10" s="41" t="s">
        <v>4713</v>
      </c>
      <c r="AR10" s="41" t="s">
        <v>4714</v>
      </c>
      <c r="AS10" s="41" t="s">
        <v>4715</v>
      </c>
      <c r="AT10" s="41" t="s">
        <v>4582</v>
      </c>
      <c r="AU10" s="28" t="s">
        <v>571</v>
      </c>
      <c r="AV10" s="53" t="s">
        <v>2224</v>
      </c>
      <c r="AW10" s="105"/>
      <c r="AX10" s="105"/>
      <c r="AY10" s="105"/>
      <c r="AZ10" s="105"/>
      <c r="BA10" s="105"/>
    </row>
    <row r="12" spans="1:62" ht="13.15" customHeight="1"/>
    <row r="16" spans="1:62">
      <c r="M16" s="18"/>
      <c r="N16" s="18"/>
    </row>
  </sheetData>
  <protectedRanges>
    <protectedRange sqref="AV7:AV10" name="Range1_1"/>
  </protectedRanges>
  <mergeCells count="41">
    <mergeCell ref="V8:X8"/>
    <mergeCell ref="G8:G9"/>
    <mergeCell ref="AB8:AC8"/>
    <mergeCell ref="M8:O8"/>
    <mergeCell ref="L8:L9"/>
    <mergeCell ref="A7:L7"/>
    <mergeCell ref="Y8:AA8"/>
    <mergeCell ref="J8:J9"/>
    <mergeCell ref="AN8:AO8"/>
    <mergeCell ref="AJ7:AS7"/>
    <mergeCell ref="AR8:AS8"/>
    <mergeCell ref="AB7:AI7"/>
    <mergeCell ref="AH8:AI8"/>
    <mergeCell ref="AP8:AQ8"/>
    <mergeCell ref="C2:R2"/>
    <mergeCell ref="A5:AV5"/>
    <mergeCell ref="AU7:AU9"/>
    <mergeCell ref="B8:B9"/>
    <mergeCell ref="AT8:AT9"/>
    <mergeCell ref="AJ8:AK8"/>
    <mergeCell ref="K8:K9"/>
    <mergeCell ref="A8:A9"/>
    <mergeCell ref="P4:R4"/>
    <mergeCell ref="M7:AA7"/>
    <mergeCell ref="C1:R1"/>
    <mergeCell ref="H8:H9"/>
    <mergeCell ref="AV7:AV9"/>
    <mergeCell ref="AL8:AM8"/>
    <mergeCell ref="AD8:AE8"/>
    <mergeCell ref="D8:D9"/>
    <mergeCell ref="P8:R8"/>
    <mergeCell ref="F8:F9"/>
    <mergeCell ref="S1:T4"/>
    <mergeCell ref="AF8:AG8"/>
    <mergeCell ref="P3:R3"/>
    <mergeCell ref="C8:C9"/>
    <mergeCell ref="C4:N4"/>
    <mergeCell ref="I8:I9"/>
    <mergeCell ref="C3:N3"/>
    <mergeCell ref="S8:U8"/>
    <mergeCell ref="E8:E9"/>
  </mergeCells>
  <phoneticPr fontId="21" type="noConversion"/>
  <pageMargins left="0.7" right="0.7" top="0.75" bottom="0.75" header="0.3" footer="0.3"/>
  <pageSetup paperSize="161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5"/>
  <sheetViews>
    <sheetView workbookViewId="0">
      <pane xSplit="1" topLeftCell="P1" activePane="topRight" state="frozen"/>
      <selection pane="topRight" activeCell="U20" sqref="U20"/>
    </sheetView>
  </sheetViews>
  <sheetFormatPr defaultRowHeight="12.5"/>
  <cols>
    <col min="1" max="1" width="10.453125" customWidth="1"/>
    <col min="2" max="2" width="15" customWidth="1"/>
    <col min="3" max="3" width="13.81640625" customWidth="1"/>
    <col min="4" max="4" width="28.26953125" customWidth="1"/>
    <col min="5" max="5" width="26" customWidth="1"/>
    <col min="6" max="6" width="28.81640625" customWidth="1"/>
    <col min="10" max="10" width="20.7265625" customWidth="1"/>
    <col min="11" max="11" width="18.453125" customWidth="1"/>
    <col min="12" max="12" width="15" customWidth="1"/>
    <col min="13" max="13" width="13" customWidth="1"/>
    <col min="14" max="14" width="13.26953125" customWidth="1"/>
    <col min="15" max="15" width="14.26953125" customWidth="1"/>
    <col min="16" max="16" width="29.453125" customWidth="1"/>
    <col min="17" max="17" width="24" customWidth="1"/>
    <col min="18" max="18" width="14.81640625" customWidth="1"/>
    <col min="19" max="19" width="12.54296875" customWidth="1"/>
    <col min="20" max="20" width="16" customWidth="1"/>
    <col min="21" max="21" width="14.1796875" customWidth="1"/>
    <col min="22" max="22" width="13.81640625" customWidth="1"/>
    <col min="23" max="23" width="16.26953125" customWidth="1"/>
    <col min="24" max="24" width="13.26953125" customWidth="1"/>
    <col min="25" max="25" width="18.81640625" customWidth="1"/>
    <col min="26" max="26" width="12.453125" customWidth="1"/>
    <col min="27" max="27" width="19.81640625" customWidth="1"/>
    <col min="28" max="28" width="34.7265625" customWidth="1"/>
    <col min="29" max="29" width="34.54296875" customWidth="1"/>
    <col min="30" max="30" width="16.54296875" customWidth="1"/>
    <col min="31" max="31" width="17.26953125" customWidth="1"/>
    <col min="32" max="33" width="14.81640625" customWidth="1"/>
    <col min="34" max="34" width="18.453125" customWidth="1"/>
  </cols>
  <sheetData>
    <row r="1" spans="1:33" s="4" customFormat="1" ht="14">
      <c r="A1" s="10"/>
      <c r="B1" s="3" t="s">
        <v>1507</v>
      </c>
      <c r="C1" s="158">
        <f>_FormulaHelpers_!B43</f>
        <v>0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66"/>
      <c r="T1" s="167"/>
      <c r="U1" s="17"/>
      <c r="V1" s="17"/>
      <c r="W1" s="17"/>
      <c r="X1" s="17"/>
      <c r="Y1" s="17"/>
      <c r="Z1" s="17"/>
      <c r="AA1" s="17"/>
    </row>
    <row r="2" spans="1:33" s="4" customFormat="1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8"/>
      <c r="T2" s="169"/>
    </row>
    <row r="3" spans="1:33" s="4" customFormat="1" ht="14">
      <c r="A3" s="11"/>
      <c r="B3" s="3" t="s">
        <v>1794</v>
      </c>
      <c r="C3" s="155">
        <f>_FormulaHelpers_!B45</f>
        <v>0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09" t="s">
        <v>1510</v>
      </c>
      <c r="Q3" s="165" t="str">
        <f>_FormulaHelpers_!B48</f>
        <v>Base</v>
      </c>
      <c r="R3" s="233"/>
      <c r="S3" s="168"/>
      <c r="T3" s="169"/>
    </row>
    <row r="4" spans="1:33" s="4" customFormat="1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3"/>
      <c r="P4" s="3" t="s">
        <v>1795</v>
      </c>
      <c r="Q4" s="231" t="str">
        <f>_FormulaHelpers_!B52</f>
        <v>Normal</v>
      </c>
      <c r="R4" s="232"/>
      <c r="S4" s="170"/>
      <c r="T4" s="171"/>
    </row>
    <row r="5" spans="1:33" s="4" customFormat="1" ht="18.75" customHeight="1">
      <c r="A5" s="154" t="s">
        <v>4482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7"/>
      <c r="V5" s="17"/>
      <c r="W5" s="17"/>
      <c r="X5" s="17"/>
      <c r="Y5" s="17"/>
      <c r="Z5" s="17"/>
      <c r="AA5" s="17"/>
    </row>
    <row r="6" spans="1:33" s="4" customFormat="1"/>
    <row r="7" spans="1:33" ht="15" customHeight="1">
      <c r="A7" s="186" t="s">
        <v>368</v>
      </c>
      <c r="B7" s="187"/>
      <c r="C7" s="187"/>
      <c r="D7" s="187"/>
      <c r="E7" s="187"/>
      <c r="F7" s="187"/>
      <c r="G7" s="187"/>
      <c r="H7" s="187"/>
      <c r="I7" s="187"/>
      <c r="J7" s="188"/>
      <c r="K7" s="186" t="s">
        <v>4796</v>
      </c>
      <c r="L7" s="187"/>
      <c r="M7" s="187"/>
      <c r="N7" s="187"/>
      <c r="O7" s="186" t="s">
        <v>4419</v>
      </c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8"/>
      <c r="AA7" s="150" t="s">
        <v>12</v>
      </c>
      <c r="AB7" s="146" t="s">
        <v>2223</v>
      </c>
      <c r="AC7" s="61"/>
      <c r="AD7" s="61"/>
      <c r="AE7" s="61"/>
      <c r="AF7" s="61"/>
      <c r="AG7" s="61"/>
    </row>
    <row r="8" spans="1:33" ht="15" customHeight="1">
      <c r="A8" s="149" t="s">
        <v>1576</v>
      </c>
      <c r="B8" s="149" t="s">
        <v>365</v>
      </c>
      <c r="C8" s="149" t="s">
        <v>366</v>
      </c>
      <c r="D8" s="150" t="s">
        <v>4400</v>
      </c>
      <c r="E8" s="150" t="s">
        <v>3317</v>
      </c>
      <c r="F8" s="150" t="s">
        <v>3318</v>
      </c>
      <c r="G8" s="150" t="s">
        <v>2230</v>
      </c>
      <c r="H8" s="150" t="s">
        <v>2152</v>
      </c>
      <c r="I8" s="150" t="s">
        <v>4401</v>
      </c>
      <c r="J8" s="149" t="s">
        <v>1512</v>
      </c>
      <c r="K8" s="198" t="s">
        <v>1198</v>
      </c>
      <c r="L8" s="198" t="s">
        <v>4809</v>
      </c>
      <c r="M8" s="198" t="s">
        <v>4810</v>
      </c>
      <c r="N8" s="229" t="s">
        <v>370</v>
      </c>
      <c r="O8" s="150" t="s">
        <v>4466</v>
      </c>
      <c r="P8" s="186" t="s">
        <v>3841</v>
      </c>
      <c r="Q8" s="187"/>
      <c r="R8" s="186" t="s">
        <v>2868</v>
      </c>
      <c r="S8" s="187"/>
      <c r="T8" s="188"/>
      <c r="U8" s="186" t="s">
        <v>3292</v>
      </c>
      <c r="V8" s="188"/>
      <c r="W8" s="186" t="s">
        <v>3299</v>
      </c>
      <c r="X8" s="188"/>
      <c r="Y8" s="186" t="s">
        <v>3274</v>
      </c>
      <c r="Z8" s="188"/>
      <c r="AA8" s="151"/>
      <c r="AB8" s="147"/>
      <c r="AC8" s="62" t="s">
        <v>2857</v>
      </c>
      <c r="AD8" s="63" t="s">
        <v>2285</v>
      </c>
      <c r="AE8" s="62" t="s">
        <v>2295</v>
      </c>
      <c r="AF8" s="63" t="s">
        <v>2296</v>
      </c>
      <c r="AG8" s="62" t="s">
        <v>2297</v>
      </c>
    </row>
    <row r="9" spans="1:33" ht="15" customHeight="1">
      <c r="A9" s="149"/>
      <c r="B9" s="149"/>
      <c r="C9" s="149"/>
      <c r="D9" s="152"/>
      <c r="E9" s="152"/>
      <c r="F9" s="152"/>
      <c r="G9" s="152"/>
      <c r="H9" s="152"/>
      <c r="I9" s="152"/>
      <c r="J9" s="149"/>
      <c r="K9" s="199"/>
      <c r="L9" s="199"/>
      <c r="M9" s="199"/>
      <c r="N9" s="230"/>
      <c r="O9" s="152"/>
      <c r="P9" s="82" t="s">
        <v>370</v>
      </c>
      <c r="Q9" s="82" t="s">
        <v>4481</v>
      </c>
      <c r="R9" s="82" t="s">
        <v>370</v>
      </c>
      <c r="S9" s="82" t="s">
        <v>4481</v>
      </c>
      <c r="T9" s="82" t="s">
        <v>4799</v>
      </c>
      <c r="U9" s="82" t="s">
        <v>4481</v>
      </c>
      <c r="V9" s="82" t="s">
        <v>4479</v>
      </c>
      <c r="W9" s="82" t="s">
        <v>4481</v>
      </c>
      <c r="X9" s="82" t="s">
        <v>4479</v>
      </c>
      <c r="Y9" s="82" t="s">
        <v>4481</v>
      </c>
      <c r="Z9" s="82" t="s">
        <v>4479</v>
      </c>
      <c r="AA9" s="152"/>
      <c r="AB9" s="148"/>
      <c r="AC9" s="59"/>
      <c r="AD9" s="59"/>
      <c r="AE9" s="59"/>
      <c r="AF9" s="59"/>
      <c r="AG9" s="59"/>
    </row>
    <row r="10" spans="1:33" s="94" customFormat="1" ht="15" customHeight="1">
      <c r="A10" s="13" t="s">
        <v>1853</v>
      </c>
      <c r="B10" s="13" t="s">
        <v>4556</v>
      </c>
      <c r="C10" s="13" t="s">
        <v>4558</v>
      </c>
      <c r="D10" s="13" t="s">
        <v>4483</v>
      </c>
      <c r="E10" s="13" t="s">
        <v>4470</v>
      </c>
      <c r="F10" s="13" t="s">
        <v>4471</v>
      </c>
      <c r="G10" s="13" t="s">
        <v>2231</v>
      </c>
      <c r="H10" s="13" t="s">
        <v>2153</v>
      </c>
      <c r="I10" s="13" t="s">
        <v>4402</v>
      </c>
      <c r="J10" s="13" t="s">
        <v>1854</v>
      </c>
      <c r="K10" s="41" t="s">
        <v>4811</v>
      </c>
      <c r="L10" s="41" t="s">
        <v>4812</v>
      </c>
      <c r="M10" s="41" t="s">
        <v>4813</v>
      </c>
      <c r="N10" s="41" t="s">
        <v>4814</v>
      </c>
      <c r="O10" s="41" t="s">
        <v>4569</v>
      </c>
      <c r="P10" s="41" t="s">
        <v>4805</v>
      </c>
      <c r="Q10" s="41" t="s">
        <v>4806</v>
      </c>
      <c r="R10" s="41" t="s">
        <v>4798</v>
      </c>
      <c r="S10" s="41" t="s">
        <v>5102</v>
      </c>
      <c r="T10" s="41" t="s">
        <v>5103</v>
      </c>
      <c r="U10" s="41" t="s">
        <v>4800</v>
      </c>
      <c r="V10" s="41" t="s">
        <v>4801</v>
      </c>
      <c r="W10" s="41" t="s">
        <v>4802</v>
      </c>
      <c r="X10" s="41" t="s">
        <v>4803</v>
      </c>
      <c r="Y10" s="41" t="s">
        <v>4804</v>
      </c>
      <c r="Z10" s="41" t="s">
        <v>5104</v>
      </c>
      <c r="AA10" s="28" t="s">
        <v>571</v>
      </c>
      <c r="AB10" s="53" t="s">
        <v>2224</v>
      </c>
      <c r="AC10" s="105"/>
      <c r="AD10" s="105"/>
      <c r="AE10" s="105"/>
      <c r="AF10" s="105"/>
      <c r="AG10" s="105"/>
    </row>
    <row r="12" spans="1:33">
      <c r="P12" s="18"/>
      <c r="Q12" s="18"/>
    </row>
    <row r="16" spans="1:33" ht="12.75" customHeight="1"/>
    <row r="25" spans="11:11">
      <c r="K25" t="s">
        <v>4686</v>
      </c>
    </row>
  </sheetData>
  <protectedRanges>
    <protectedRange sqref="AB7:AB10" name="Range1_1"/>
  </protectedRanges>
  <mergeCells count="33">
    <mergeCell ref="C1:R1"/>
    <mergeCell ref="C3:O3"/>
    <mergeCell ref="C2:R2"/>
    <mergeCell ref="A5:T5"/>
    <mergeCell ref="K7:N7"/>
    <mergeCell ref="Q3:R3"/>
    <mergeCell ref="AA7:AA9"/>
    <mergeCell ref="I8:I9"/>
    <mergeCell ref="J8:J9"/>
    <mergeCell ref="A7:J7"/>
    <mergeCell ref="D8:D9"/>
    <mergeCell ref="R8:T8"/>
    <mergeCell ref="O7:Z7"/>
    <mergeCell ref="H8:H9"/>
    <mergeCell ref="A8:A9"/>
    <mergeCell ref="B8:B9"/>
    <mergeCell ref="AB7:AB9"/>
    <mergeCell ref="K8:K9"/>
    <mergeCell ref="O8:O9"/>
    <mergeCell ref="C4:O4"/>
    <mergeCell ref="Q4:R4"/>
    <mergeCell ref="C8:C9"/>
    <mergeCell ref="E8:E9"/>
    <mergeCell ref="S1:T4"/>
    <mergeCell ref="U8:V8"/>
    <mergeCell ref="W8:X8"/>
    <mergeCell ref="Y8:Z8"/>
    <mergeCell ref="P8:Q8"/>
    <mergeCell ref="G8:G9"/>
    <mergeCell ref="F8:F9"/>
    <mergeCell ref="L8:L9"/>
    <mergeCell ref="N8:N9"/>
    <mergeCell ref="M8:M9"/>
  </mergeCells>
  <phoneticPr fontId="21" type="noConversion"/>
  <pageMargins left="0.7" right="0.7" top="0.75" bottom="0.75" header="0.3" footer="0.3"/>
  <pageSetup paperSize="161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8"/>
  <sheetViews>
    <sheetView workbookViewId="0">
      <pane xSplit="1" topLeftCell="H1" activePane="topRight" state="frozen"/>
      <selection pane="topRight" activeCell="R10" sqref="R10"/>
    </sheetView>
  </sheetViews>
  <sheetFormatPr defaultRowHeight="12.5"/>
  <cols>
    <col min="1" max="1" width="12.81640625" customWidth="1"/>
    <col min="2" max="2" width="12.453125" customWidth="1"/>
    <col min="4" max="4" width="9" customWidth="1"/>
    <col min="8" max="20" width="12.81640625" customWidth="1"/>
    <col min="21" max="21" width="9.7265625" customWidth="1"/>
    <col min="22" max="22" width="10.453125" customWidth="1"/>
    <col min="23" max="23" width="20.26953125" customWidth="1"/>
    <col min="24" max="24" width="11.7265625" customWidth="1"/>
    <col min="25" max="25" width="11.81640625" customWidth="1"/>
    <col min="26" max="27" width="12.26953125" customWidth="1"/>
    <col min="28" max="28" width="14.7265625" customWidth="1"/>
    <col min="29" max="29" width="11.81640625" customWidth="1"/>
    <col min="30" max="30" width="24.1796875" customWidth="1"/>
    <col min="31" max="31" width="13.81640625" bestFit="1" customWidth="1"/>
    <col min="32" max="32" width="18.453125" customWidth="1"/>
    <col min="33" max="33" width="12" bestFit="1" customWidth="1"/>
    <col min="34" max="34" width="34.1796875" customWidth="1"/>
    <col min="35" max="35" width="44.81640625" customWidth="1"/>
    <col min="36" max="37" width="12.1796875" bestFit="1" customWidth="1"/>
    <col min="38" max="38" width="6.1796875" bestFit="1" customWidth="1"/>
    <col min="39" max="40" width="13.1796875" bestFit="1" customWidth="1"/>
  </cols>
  <sheetData>
    <row r="1" spans="1:58" s="64" customFormat="1" ht="14">
      <c r="A1" s="79"/>
      <c r="B1" s="76" t="s">
        <v>1507</v>
      </c>
      <c r="C1" s="221">
        <f>_FormulaHelpers_!B43</f>
        <v>0</v>
      </c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3"/>
      <c r="Z1" s="211"/>
      <c r="AA1" s="212"/>
      <c r="AB1" s="99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</row>
    <row r="2" spans="1:58" s="64" customFormat="1" ht="14">
      <c r="A2" s="78"/>
      <c r="B2" s="76" t="s">
        <v>1508</v>
      </c>
      <c r="C2" s="224">
        <f>_FormulaHelpers_!B44</f>
        <v>0</v>
      </c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6"/>
      <c r="Z2" s="213"/>
      <c r="AA2" s="214"/>
      <c r="AB2" s="99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</row>
    <row r="3" spans="1:58" s="64" customFormat="1" ht="17.25" customHeight="1">
      <c r="A3" s="78"/>
      <c r="B3" s="76" t="s">
        <v>1794</v>
      </c>
      <c r="C3" s="201">
        <f>_FormulaHelpers_!B45</f>
        <v>0</v>
      </c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3"/>
      <c r="V3" s="76" t="s">
        <v>1510</v>
      </c>
      <c r="W3" s="207" t="str">
        <f>_FormulaHelpers_!B48</f>
        <v>Base</v>
      </c>
      <c r="X3" s="207"/>
      <c r="Y3" s="207"/>
      <c r="Z3" s="213"/>
      <c r="AA3" s="214"/>
      <c r="AB3" s="99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</row>
    <row r="4" spans="1:58" s="64" customFormat="1" ht="13.5" customHeight="1">
      <c r="A4" s="77"/>
      <c r="B4" s="76" t="s">
        <v>1509</v>
      </c>
      <c r="C4" s="208">
        <f>_FormulaHelpers_!B46</f>
        <v>45703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10"/>
      <c r="V4" s="76" t="s">
        <v>1795</v>
      </c>
      <c r="W4" s="207" t="str">
        <f>_FormulaHelpers_!B52</f>
        <v>Normal</v>
      </c>
      <c r="X4" s="207"/>
      <c r="Y4" s="207"/>
      <c r="Z4" s="215"/>
      <c r="AA4" s="216"/>
      <c r="AB4" s="99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</row>
    <row r="5" spans="1:58" s="4" customFormat="1" ht="18.75" customHeight="1">
      <c r="A5" s="200" t="s">
        <v>4516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39"/>
      <c r="AW5" s="17"/>
      <c r="AX5" s="17"/>
      <c r="AY5" s="17"/>
      <c r="AZ5" s="17"/>
      <c r="BA5" s="17"/>
      <c r="BB5" s="17"/>
      <c r="BC5" s="17"/>
      <c r="BD5" s="17"/>
      <c r="BE5" s="17"/>
      <c r="BF5" s="17"/>
    </row>
    <row r="6" spans="1:58" s="4" customFormat="1"/>
    <row r="7" spans="1:58" ht="15" customHeight="1">
      <c r="A7" s="186" t="s">
        <v>368</v>
      </c>
      <c r="B7" s="187"/>
      <c r="C7" s="187"/>
      <c r="D7" s="187"/>
      <c r="E7" s="187"/>
      <c r="F7" s="187"/>
      <c r="G7" s="187"/>
      <c r="H7" s="188"/>
      <c r="I7" s="234" t="s">
        <v>4796</v>
      </c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186" t="s">
        <v>4370</v>
      </c>
      <c r="V7" s="187"/>
      <c r="W7" s="187"/>
      <c r="X7" s="187"/>
      <c r="Y7" s="187"/>
      <c r="Z7" s="187"/>
      <c r="AA7" s="187"/>
      <c r="AB7" s="188"/>
      <c r="AC7" s="186" t="s">
        <v>4484</v>
      </c>
      <c r="AD7" s="187"/>
      <c r="AE7" s="187"/>
      <c r="AF7" s="187"/>
      <c r="AG7" s="188"/>
      <c r="AH7" s="150" t="s">
        <v>12</v>
      </c>
      <c r="AI7" s="146" t="s">
        <v>2223</v>
      </c>
      <c r="AJ7" s="61"/>
      <c r="AK7" s="61"/>
      <c r="AL7" s="61"/>
      <c r="AM7" s="61"/>
      <c r="AN7" s="61"/>
    </row>
    <row r="8" spans="1:58" ht="15" customHeight="1">
      <c r="A8" s="149" t="s">
        <v>1576</v>
      </c>
      <c r="B8" s="149" t="s">
        <v>365</v>
      </c>
      <c r="C8" s="149" t="s">
        <v>366</v>
      </c>
      <c r="D8" s="150" t="s">
        <v>2230</v>
      </c>
      <c r="E8" s="150" t="s">
        <v>2152</v>
      </c>
      <c r="F8" s="150" t="s">
        <v>367</v>
      </c>
      <c r="G8" s="150" t="s">
        <v>4401</v>
      </c>
      <c r="H8" s="149" t="s">
        <v>1512</v>
      </c>
      <c r="I8" s="149" t="s">
        <v>1955</v>
      </c>
      <c r="J8" s="150" t="s">
        <v>3317</v>
      </c>
      <c r="K8" s="149" t="s">
        <v>5001</v>
      </c>
      <c r="L8" s="149" t="s">
        <v>3318</v>
      </c>
      <c r="M8" s="149" t="s">
        <v>5003</v>
      </c>
      <c r="N8" s="149" t="s">
        <v>5002</v>
      </c>
      <c r="O8" s="149" t="s">
        <v>2264</v>
      </c>
      <c r="P8" s="149" t="s">
        <v>5010</v>
      </c>
      <c r="Q8" s="150" t="s">
        <v>5022</v>
      </c>
      <c r="R8" s="150" t="s">
        <v>5023</v>
      </c>
      <c r="S8" s="150" t="s">
        <v>370</v>
      </c>
      <c r="T8" s="150" t="s">
        <v>4485</v>
      </c>
      <c r="U8" s="150" t="s">
        <v>4487</v>
      </c>
      <c r="V8" s="150" t="s">
        <v>4490</v>
      </c>
      <c r="W8" s="150" t="s">
        <v>4488</v>
      </c>
      <c r="X8" s="150" t="s">
        <v>4489</v>
      </c>
      <c r="Y8" s="150" t="s">
        <v>4491</v>
      </c>
      <c r="Z8" s="150" t="s">
        <v>4492</v>
      </c>
      <c r="AA8" s="150" t="s">
        <v>4486</v>
      </c>
      <c r="AB8" s="150" t="s">
        <v>4493</v>
      </c>
      <c r="AC8" s="150" t="s">
        <v>4504</v>
      </c>
      <c r="AD8" s="150" t="s">
        <v>4485</v>
      </c>
      <c r="AE8" s="150" t="s">
        <v>4503</v>
      </c>
      <c r="AF8" s="150" t="s">
        <v>4506</v>
      </c>
      <c r="AG8" s="150" t="s">
        <v>4507</v>
      </c>
      <c r="AH8" s="151"/>
      <c r="AI8" s="147"/>
      <c r="AJ8" s="62" t="s">
        <v>2857</v>
      </c>
      <c r="AK8" s="63" t="s">
        <v>2285</v>
      </c>
      <c r="AL8" s="62" t="s">
        <v>2295</v>
      </c>
      <c r="AM8" s="63" t="s">
        <v>2296</v>
      </c>
      <c r="AN8" s="62" t="s">
        <v>2297</v>
      </c>
    </row>
    <row r="9" spans="1:58" ht="15" customHeight="1">
      <c r="A9" s="149"/>
      <c r="B9" s="149"/>
      <c r="C9" s="149"/>
      <c r="D9" s="152"/>
      <c r="E9" s="152"/>
      <c r="F9" s="152"/>
      <c r="G9" s="152"/>
      <c r="H9" s="149"/>
      <c r="I9" s="149"/>
      <c r="J9" s="152"/>
      <c r="K9" s="149"/>
      <c r="L9" s="149"/>
      <c r="M9" s="149"/>
      <c r="N9" s="149"/>
      <c r="O9" s="149"/>
      <c r="P9" s="149"/>
      <c r="Q9" s="152"/>
      <c r="R9" s="152"/>
      <c r="S9" s="152"/>
      <c r="T9" s="152"/>
      <c r="U9" s="152"/>
      <c r="V9" s="152"/>
      <c r="W9" s="152"/>
      <c r="X9" s="152"/>
      <c r="Y9" s="152"/>
      <c r="Z9" s="152" t="s">
        <v>4492</v>
      </c>
      <c r="AA9" s="152"/>
      <c r="AB9" s="152"/>
      <c r="AC9" s="152"/>
      <c r="AD9" s="152"/>
      <c r="AE9" s="152"/>
      <c r="AF9" s="152"/>
      <c r="AG9" s="152"/>
      <c r="AH9" s="152"/>
      <c r="AI9" s="148"/>
      <c r="AJ9" s="59"/>
      <c r="AK9" s="59"/>
      <c r="AL9" s="59"/>
      <c r="AM9" s="59"/>
      <c r="AN9" s="59"/>
    </row>
    <row r="10" spans="1:58" s="94" customFormat="1" ht="15" customHeight="1">
      <c r="A10" s="13" t="s">
        <v>1853</v>
      </c>
      <c r="B10" s="14" t="s">
        <v>2274</v>
      </c>
      <c r="C10" s="13" t="s">
        <v>2275</v>
      </c>
      <c r="D10" s="13" t="s">
        <v>2231</v>
      </c>
      <c r="E10" s="13" t="s">
        <v>2153</v>
      </c>
      <c r="F10" s="13" t="s">
        <v>1861</v>
      </c>
      <c r="G10" s="13" t="s">
        <v>4402</v>
      </c>
      <c r="H10" s="13" t="s">
        <v>1854</v>
      </c>
      <c r="I10" s="13" t="s">
        <v>5004</v>
      </c>
      <c r="J10" s="13" t="s">
        <v>5005</v>
      </c>
      <c r="K10" s="13" t="s">
        <v>5006</v>
      </c>
      <c r="L10" s="13" t="s">
        <v>5007</v>
      </c>
      <c r="M10" s="13" t="s">
        <v>5008</v>
      </c>
      <c r="N10" s="13" t="s">
        <v>5009</v>
      </c>
      <c r="O10" s="13" t="s">
        <v>5013</v>
      </c>
      <c r="P10" s="13" t="s">
        <v>5014</v>
      </c>
      <c r="Q10" s="41" t="s">
        <v>5121</v>
      </c>
      <c r="R10" s="41" t="s">
        <v>5120</v>
      </c>
      <c r="S10" s="41" t="s">
        <v>5011</v>
      </c>
      <c r="T10" s="41" t="s">
        <v>5012</v>
      </c>
      <c r="U10" s="13" t="s">
        <v>4494</v>
      </c>
      <c r="V10" s="13" t="s">
        <v>4495</v>
      </c>
      <c r="W10" s="13" t="s">
        <v>4496</v>
      </c>
      <c r="X10" s="13" t="s">
        <v>4497</v>
      </c>
      <c r="Y10" s="13" t="s">
        <v>4498</v>
      </c>
      <c r="Z10" s="13" t="s">
        <v>4499</v>
      </c>
      <c r="AA10" s="13" t="s">
        <v>4500</v>
      </c>
      <c r="AB10" s="13" t="s">
        <v>4501</v>
      </c>
      <c r="AC10" s="41" t="s">
        <v>4505</v>
      </c>
      <c r="AD10" s="41" t="s">
        <v>4502</v>
      </c>
      <c r="AE10" s="41" t="s">
        <v>5119</v>
      </c>
      <c r="AF10" s="41" t="s">
        <v>4570</v>
      </c>
      <c r="AG10" s="41" t="s">
        <v>4571</v>
      </c>
      <c r="AH10" s="28" t="s">
        <v>571</v>
      </c>
      <c r="AI10" s="53" t="s">
        <v>2224</v>
      </c>
      <c r="AJ10" s="105"/>
      <c r="AK10" s="105"/>
      <c r="AL10" s="105"/>
      <c r="AM10" s="105"/>
      <c r="AN10" s="105"/>
    </row>
    <row r="18" ht="12.75" customHeight="1"/>
  </sheetData>
  <protectedRanges>
    <protectedRange sqref="AI7:AI10" name="Range1_1"/>
  </protectedRanges>
  <mergeCells count="47">
    <mergeCell ref="F8:F9"/>
    <mergeCell ref="R8:R9"/>
    <mergeCell ref="S8:S9"/>
    <mergeCell ref="T8:T9"/>
    <mergeCell ref="I8:I9"/>
    <mergeCell ref="J8:J9"/>
    <mergeCell ref="K8:K9"/>
    <mergeCell ref="L8:L9"/>
    <mergeCell ref="O8:O9"/>
    <mergeCell ref="N8:N9"/>
    <mergeCell ref="M8:M9"/>
    <mergeCell ref="A7:H7"/>
    <mergeCell ref="U8:U9"/>
    <mergeCell ref="W8:W9"/>
    <mergeCell ref="AC8:AC9"/>
    <mergeCell ref="AB8:AB9"/>
    <mergeCell ref="U7:AB7"/>
    <mergeCell ref="I7:T7"/>
    <mergeCell ref="B8:B9"/>
    <mergeCell ref="P8:P9"/>
    <mergeCell ref="Q8:Q9"/>
    <mergeCell ref="AG8:AG9"/>
    <mergeCell ref="AF8:AF9"/>
    <mergeCell ref="V8:V9"/>
    <mergeCell ref="X8:X9"/>
    <mergeCell ref="Y8:Y9"/>
    <mergeCell ref="Z8:Z9"/>
    <mergeCell ref="AA8:AA9"/>
    <mergeCell ref="AD8:AD9"/>
    <mergeCell ref="AE8:AE9"/>
    <mergeCell ref="AH7:AH9"/>
    <mergeCell ref="AI7:AI9"/>
    <mergeCell ref="A5:AI5"/>
    <mergeCell ref="G8:G9"/>
    <mergeCell ref="H8:H9"/>
    <mergeCell ref="C8:C9"/>
    <mergeCell ref="D8:D9"/>
    <mergeCell ref="E8:E9"/>
    <mergeCell ref="AC7:AG7"/>
    <mergeCell ref="A8:A9"/>
    <mergeCell ref="C1:Y1"/>
    <mergeCell ref="Z1:AA4"/>
    <mergeCell ref="C2:Y2"/>
    <mergeCell ref="C3:U3"/>
    <mergeCell ref="W3:Y3"/>
    <mergeCell ref="C4:U4"/>
    <mergeCell ref="W4:Y4"/>
  </mergeCells>
  <phoneticPr fontId="2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1"/>
  <sheetViews>
    <sheetView workbookViewId="0">
      <selection activeCell="H25" sqref="H25"/>
    </sheetView>
  </sheetViews>
  <sheetFormatPr defaultRowHeight="12.5"/>
  <cols>
    <col min="1" max="1" width="22.81640625" bestFit="1" customWidth="1"/>
    <col min="2" max="2" width="20.81640625" customWidth="1"/>
    <col min="3" max="3" width="9.453125" bestFit="1" customWidth="1"/>
    <col min="5" max="5" width="9.26953125" bestFit="1" customWidth="1"/>
    <col min="6" max="6" width="12.81640625" bestFit="1" customWidth="1"/>
    <col min="10" max="10" width="11.54296875" customWidth="1"/>
    <col min="11" max="11" width="12.54296875" customWidth="1"/>
    <col min="12" max="12" width="12.26953125" customWidth="1"/>
    <col min="13" max="13" width="18.1796875" customWidth="1"/>
  </cols>
  <sheetData>
    <row r="1" spans="1:36" s="57" customFormat="1" ht="14">
      <c r="A1" s="83"/>
      <c r="B1" s="84" t="s">
        <v>1507</v>
      </c>
      <c r="C1" s="137">
        <f>_FormulaHelpers_!B43</f>
        <v>0</v>
      </c>
      <c r="D1" s="138"/>
      <c r="E1" s="138"/>
      <c r="F1" s="138"/>
      <c r="G1" s="138"/>
      <c r="H1" s="138"/>
      <c r="I1" s="138"/>
      <c r="J1" s="138"/>
      <c r="K1" s="138"/>
      <c r="L1" s="139"/>
      <c r="M1" s="131"/>
      <c r="N1" s="85"/>
      <c r="O1" s="55"/>
      <c r="P1" s="55"/>
      <c r="Q1" s="85"/>
      <c r="R1" s="85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</row>
    <row r="2" spans="1:36" s="57" customFormat="1" ht="14">
      <c r="A2" s="87"/>
      <c r="B2" s="84" t="s">
        <v>1508</v>
      </c>
      <c r="C2" s="140">
        <f>_FormulaHelpers_!B44</f>
        <v>0</v>
      </c>
      <c r="D2" s="141"/>
      <c r="E2" s="141"/>
      <c r="F2" s="141"/>
      <c r="G2" s="141"/>
      <c r="H2" s="141"/>
      <c r="I2" s="141"/>
      <c r="J2" s="141"/>
      <c r="K2" s="141"/>
      <c r="L2" s="142"/>
      <c r="M2" s="131"/>
      <c r="N2" s="85"/>
      <c r="O2" s="55"/>
      <c r="P2" s="55"/>
      <c r="Q2" s="85"/>
      <c r="R2" s="85"/>
    </row>
    <row r="3" spans="1:36" s="57" customFormat="1" ht="14">
      <c r="A3" s="87"/>
      <c r="B3" s="84" t="s">
        <v>1794</v>
      </c>
      <c r="C3" s="140">
        <f>_FormulaHelpers_!B45</f>
        <v>0</v>
      </c>
      <c r="D3" s="141"/>
      <c r="E3" s="141"/>
      <c r="F3" s="141"/>
      <c r="G3" s="141"/>
      <c r="H3" s="141"/>
      <c r="I3" s="142"/>
      <c r="J3" s="84" t="s">
        <v>1510</v>
      </c>
      <c r="K3" s="132" t="str">
        <f>_FormulaHelpers_!B48</f>
        <v>Base</v>
      </c>
      <c r="L3" s="133"/>
      <c r="M3" s="131"/>
      <c r="N3" s="85"/>
      <c r="O3" s="55"/>
      <c r="P3" s="55"/>
      <c r="Q3" s="85"/>
      <c r="R3" s="85"/>
    </row>
    <row r="4" spans="1:36" s="57" customFormat="1" ht="14">
      <c r="A4" s="88"/>
      <c r="B4" s="84" t="s">
        <v>1509</v>
      </c>
      <c r="C4" s="143">
        <f>_FormulaHelpers_!B46</f>
        <v>45703</v>
      </c>
      <c r="D4" s="144"/>
      <c r="E4" s="144"/>
      <c r="F4" s="144"/>
      <c r="G4" s="144"/>
      <c r="H4" s="144"/>
      <c r="I4" s="145"/>
      <c r="J4" s="84" t="s">
        <v>1795</v>
      </c>
      <c r="K4" s="132" t="str">
        <f>_FormulaHelpers_!B52</f>
        <v>Normal</v>
      </c>
      <c r="L4" s="133"/>
      <c r="M4" s="131"/>
      <c r="N4" s="103"/>
      <c r="O4" s="55"/>
      <c r="P4" s="55"/>
      <c r="Q4" s="85"/>
      <c r="R4" s="85"/>
    </row>
    <row r="5" spans="1:36" s="56" customFormat="1" ht="18.75" customHeight="1">
      <c r="A5" s="134" t="s">
        <v>2858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</row>
    <row r="7" spans="1:36" s="91" customFormat="1" ht="14">
      <c r="A7" s="89"/>
      <c r="B7" s="89"/>
      <c r="C7" s="89"/>
      <c r="D7" s="89"/>
      <c r="E7" s="90" t="s">
        <v>2847</v>
      </c>
      <c r="F7" s="90" t="s">
        <v>2848</v>
      </c>
      <c r="G7" s="89"/>
      <c r="H7" s="89"/>
      <c r="I7" s="89"/>
      <c r="J7" s="136" t="s">
        <v>2849</v>
      </c>
      <c r="K7" s="136"/>
      <c r="L7" s="136" t="s">
        <v>2850</v>
      </c>
      <c r="M7" s="136"/>
    </row>
    <row r="8" spans="1:36" s="91" customFormat="1" ht="14">
      <c r="A8" s="92" t="s">
        <v>2851</v>
      </c>
      <c r="B8" s="92" t="s">
        <v>1508</v>
      </c>
      <c r="C8" s="92" t="s">
        <v>1509</v>
      </c>
      <c r="D8" s="92" t="s">
        <v>1848</v>
      </c>
      <c r="E8" s="89" t="s">
        <v>2852</v>
      </c>
      <c r="F8" s="89" t="s">
        <v>2853</v>
      </c>
      <c r="G8" s="92" t="s">
        <v>2854</v>
      </c>
      <c r="H8" s="92" t="s">
        <v>2855</v>
      </c>
      <c r="I8" s="92" t="s">
        <v>2856</v>
      </c>
      <c r="J8" s="89" t="s">
        <v>2857</v>
      </c>
      <c r="K8" s="89" t="s">
        <v>2285</v>
      </c>
      <c r="L8" s="89" t="s">
        <v>2857</v>
      </c>
      <c r="M8" s="89" t="s">
        <v>2285</v>
      </c>
    </row>
    <row r="9" spans="1:36" s="91" customFormat="1" ht="14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</row>
    <row r="10" spans="1:36" hidden="1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</row>
    <row r="11" spans="1:36">
      <c r="A11" s="94">
        <f>_FormulaHelpers_!B43</f>
        <v>0</v>
      </c>
      <c r="B11" s="94">
        <f>_FormulaHelpers_!B44</f>
        <v>0</v>
      </c>
      <c r="C11" s="126">
        <f>_FormulaHelpers_!B46</f>
        <v>45703</v>
      </c>
      <c r="D11" s="94">
        <f>_FormulaHelpers_!B47</f>
        <v>0</v>
      </c>
      <c r="E11" s="94">
        <f>_FormulaHelpers_!B49</f>
        <v>0</v>
      </c>
      <c r="F11" s="94">
        <f>_FormulaHelpers_!B50</f>
        <v>60</v>
      </c>
      <c r="G11" s="94">
        <f>_FormulaHelpers_!B51</f>
        <v>1</v>
      </c>
      <c r="H11" s="94"/>
      <c r="I11" s="94"/>
      <c r="J11" s="94"/>
      <c r="K11" s="94"/>
      <c r="L11" s="94">
        <v>0</v>
      </c>
      <c r="M11" s="94">
        <v>0</v>
      </c>
    </row>
  </sheetData>
  <mergeCells count="10">
    <mergeCell ref="M1:M4"/>
    <mergeCell ref="K3:L3"/>
    <mergeCell ref="K4:L4"/>
    <mergeCell ref="A5:N5"/>
    <mergeCell ref="J7:K7"/>
    <mergeCell ref="L7:M7"/>
    <mergeCell ref="C1:L1"/>
    <mergeCell ref="C2:L2"/>
    <mergeCell ref="C3:I3"/>
    <mergeCell ref="C4:I4"/>
  </mergeCells>
  <phoneticPr fontId="21" type="noConversion"/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"/>
  <sheetViews>
    <sheetView workbookViewId="0">
      <pane xSplit="1" topLeftCell="B1" activePane="topRight" state="frozen"/>
      <selection pane="topRight" activeCell="H32" sqref="H32"/>
    </sheetView>
  </sheetViews>
  <sheetFormatPr defaultRowHeight="12.5"/>
  <cols>
    <col min="2" max="2" width="11.26953125" customWidth="1"/>
    <col min="5" max="5" width="11.7265625" customWidth="1"/>
    <col min="7" max="7" width="14" customWidth="1"/>
    <col min="8" max="8" width="32" customWidth="1"/>
    <col min="9" max="9" width="12" bestFit="1" customWidth="1"/>
    <col min="10" max="10" width="12.1796875" bestFit="1" customWidth="1"/>
    <col min="12" max="12" width="9.81640625" bestFit="1" customWidth="1"/>
    <col min="13" max="13" width="13.1796875" bestFit="1" customWidth="1"/>
    <col min="14" max="14" width="13.81640625" bestFit="1" customWidth="1"/>
    <col min="16" max="16" width="12" bestFit="1" customWidth="1"/>
    <col min="18" max="18" width="6.1796875" bestFit="1" customWidth="1"/>
  </cols>
  <sheetData>
    <row r="1" spans="1:36" s="4" customFormat="1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7"/>
      <c r="O1" s="153"/>
      <c r="P1"/>
      <c r="Q1" s="55"/>
      <c r="R1" s="55"/>
      <c r="S1"/>
      <c r="T1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s="4" customFormat="1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60"/>
      <c r="O2" s="153"/>
      <c r="P2"/>
      <c r="Q2" s="55"/>
      <c r="R2" s="55"/>
      <c r="S2"/>
      <c r="T2"/>
    </row>
    <row r="3" spans="1:36" s="4" customFormat="1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60"/>
      <c r="L3" s="3" t="s">
        <v>1510</v>
      </c>
      <c r="M3" s="164" t="str">
        <f>_FormulaHelpers_!B48</f>
        <v>Base</v>
      </c>
      <c r="N3" s="165"/>
      <c r="O3" s="153"/>
      <c r="P3"/>
      <c r="Q3" s="55"/>
      <c r="R3" s="55"/>
      <c r="S3"/>
      <c r="T3"/>
    </row>
    <row r="4" spans="1:36" s="4" customFormat="1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3"/>
      <c r="L4" s="3" t="s">
        <v>1795</v>
      </c>
      <c r="M4" s="164" t="str">
        <f>_FormulaHelpers_!B52</f>
        <v>Normal</v>
      </c>
      <c r="N4" s="165"/>
      <c r="O4" s="153"/>
      <c r="P4"/>
      <c r="Q4" s="55"/>
      <c r="R4" s="55"/>
      <c r="S4"/>
      <c r="T4"/>
    </row>
    <row r="5" spans="1:36" s="25" customFormat="1" ht="18.75" customHeight="1">
      <c r="A5" s="154" t="s">
        <v>4514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Q5" s="56"/>
      <c r="R5" s="56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</row>
    <row r="6" spans="1:36" s="4" customFormat="1">
      <c r="Q6" s="57"/>
      <c r="R6" s="57"/>
    </row>
    <row r="7" spans="1:36" s="15" customFormat="1" ht="15" customHeight="1">
      <c r="A7" s="149" t="s">
        <v>1576</v>
      </c>
      <c r="B7" s="149" t="s">
        <v>4517</v>
      </c>
      <c r="C7" s="149" t="s">
        <v>2230</v>
      </c>
      <c r="D7" s="150" t="s">
        <v>2152</v>
      </c>
      <c r="E7" s="149" t="s">
        <v>1512</v>
      </c>
      <c r="F7" s="149" t="s">
        <v>4401</v>
      </c>
      <c r="G7" s="149" t="s">
        <v>12</v>
      </c>
      <c r="H7" s="146" t="s">
        <v>2223</v>
      </c>
      <c r="I7" s="61"/>
      <c r="J7" s="61"/>
      <c r="K7" s="61"/>
      <c r="L7" s="61"/>
      <c r="M7" s="61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36" s="15" customFormat="1" ht="15" customHeight="1">
      <c r="A8" s="149"/>
      <c r="B8" s="149"/>
      <c r="C8" s="149"/>
      <c r="D8" s="151"/>
      <c r="E8" s="149"/>
      <c r="F8" s="149"/>
      <c r="G8" s="149"/>
      <c r="H8" s="147"/>
      <c r="I8" s="62" t="s">
        <v>2857</v>
      </c>
      <c r="J8" s="63" t="s">
        <v>2285</v>
      </c>
      <c r="K8" s="62" t="s">
        <v>2295</v>
      </c>
      <c r="L8" s="63" t="s">
        <v>2296</v>
      </c>
      <c r="M8" s="62" t="s">
        <v>2297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36" s="15" customFormat="1" ht="15" customHeight="1">
      <c r="A9" s="149"/>
      <c r="B9" s="149"/>
      <c r="C9" s="149"/>
      <c r="D9" s="152"/>
      <c r="E9" s="149"/>
      <c r="F9" s="149"/>
      <c r="G9" s="149"/>
      <c r="H9" s="148"/>
      <c r="I9" s="59"/>
      <c r="J9" s="59"/>
      <c r="K9" s="59"/>
      <c r="L9" s="59"/>
      <c r="M9" s="59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6" s="4" customFormat="1" ht="15" customHeight="1">
      <c r="A10" s="13" t="s">
        <v>1853</v>
      </c>
      <c r="B10" s="13" t="s">
        <v>4556</v>
      </c>
      <c r="C10" s="13" t="s">
        <v>2231</v>
      </c>
      <c r="D10" s="13" t="s">
        <v>2153</v>
      </c>
      <c r="E10" s="13" t="s">
        <v>1854</v>
      </c>
      <c r="F10" s="13" t="s">
        <v>4402</v>
      </c>
      <c r="G10" s="30" t="s">
        <v>571</v>
      </c>
      <c r="H10" s="53" t="s">
        <v>2224</v>
      </c>
      <c r="I10" s="58"/>
      <c r="J10" s="58"/>
      <c r="K10" s="58"/>
      <c r="L10" s="58"/>
      <c r="M10" s="58"/>
      <c r="N10" s="21"/>
      <c r="O10" s="21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2"/>
      <c r="AC10" s="20"/>
      <c r="AD10" s="20"/>
      <c r="AE10" s="20"/>
    </row>
  </sheetData>
  <protectedRanges>
    <protectedRange sqref="H7:H10" name="Range1"/>
  </protectedRanges>
  <mergeCells count="16">
    <mergeCell ref="C7:C9"/>
    <mergeCell ref="D7:D9"/>
    <mergeCell ref="E7:E9"/>
    <mergeCell ref="G7:G9"/>
    <mergeCell ref="H7:H9"/>
    <mergeCell ref="F7:F9"/>
    <mergeCell ref="O1:O4"/>
    <mergeCell ref="M3:N3"/>
    <mergeCell ref="M4:N4"/>
    <mergeCell ref="A5:N5"/>
    <mergeCell ref="A7:A9"/>
    <mergeCell ref="B7:B9"/>
    <mergeCell ref="C1:N1"/>
    <mergeCell ref="C2:N2"/>
    <mergeCell ref="C3:K3"/>
    <mergeCell ref="C4:K4"/>
  </mergeCells>
  <phoneticPr fontId="21" type="noConversion"/>
  <dataValidations count="2">
    <dataValidation type="list" allowBlank="1" showInputMessage="1" showErrorMessage="1" sqref="IK10:IV10">
      <formula1>F11:IS300</formula1>
    </dataValidation>
    <dataValidation type="list" allowBlank="1" showInputMessage="1" showErrorMessage="1" sqref="AF10:IJ10">
      <formula1>AN11:AN300</formula1>
    </dataValidation>
  </dataValidations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0"/>
  <sheetViews>
    <sheetView workbookViewId="0">
      <pane xSplit="1" topLeftCell="B1" activePane="topRight" state="frozen"/>
      <selection pane="topRight" activeCell="F7" sqref="F7:G10"/>
    </sheetView>
  </sheetViews>
  <sheetFormatPr defaultRowHeight="12.5"/>
  <cols>
    <col min="5" max="5" width="11.453125" bestFit="1" customWidth="1"/>
    <col min="7" max="7" width="11.54296875" customWidth="1"/>
    <col min="8" max="8" width="33.54296875" customWidth="1"/>
    <col min="9" max="9" width="12" bestFit="1" customWidth="1"/>
    <col min="10" max="10" width="12.1796875" bestFit="1" customWidth="1"/>
    <col min="11" max="11" width="6.1796875" bestFit="1" customWidth="1"/>
    <col min="12" max="12" width="9.81640625" bestFit="1" customWidth="1"/>
    <col min="13" max="13" width="13.1796875" bestFit="1" customWidth="1"/>
  </cols>
  <sheetData>
    <row r="1" spans="1:36" s="4" customFormat="1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7"/>
      <c r="O1" s="153"/>
      <c r="P1"/>
      <c r="Q1" s="55"/>
      <c r="R1" s="55"/>
      <c r="S1"/>
      <c r="T1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s="4" customFormat="1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60"/>
      <c r="O2" s="153"/>
      <c r="P2"/>
      <c r="Q2" s="55"/>
      <c r="R2" s="55"/>
      <c r="S2"/>
      <c r="T2"/>
    </row>
    <row r="3" spans="1:36" s="4" customFormat="1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60"/>
      <c r="L3" s="3" t="s">
        <v>1510</v>
      </c>
      <c r="M3" s="164" t="str">
        <f>_FormulaHelpers_!B48</f>
        <v>Base</v>
      </c>
      <c r="N3" s="165"/>
      <c r="O3" s="153"/>
      <c r="P3"/>
      <c r="Q3" s="55"/>
      <c r="R3" s="55"/>
      <c r="S3"/>
      <c r="T3"/>
    </row>
    <row r="4" spans="1:36" s="4" customFormat="1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3"/>
      <c r="L4" s="3" t="s">
        <v>1795</v>
      </c>
      <c r="M4" s="164" t="str">
        <f>_FormulaHelpers_!B52</f>
        <v>Normal</v>
      </c>
      <c r="N4" s="165"/>
      <c r="O4" s="153"/>
      <c r="P4"/>
      <c r="Q4" s="55"/>
      <c r="R4" s="55"/>
      <c r="S4"/>
      <c r="T4"/>
    </row>
    <row r="5" spans="1:36" s="25" customFormat="1" ht="18.75" customHeight="1">
      <c r="A5" s="154" t="s">
        <v>4519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Q5" s="56"/>
      <c r="R5" s="56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</row>
    <row r="6" spans="1:36" s="4" customFormat="1">
      <c r="Q6" s="57"/>
      <c r="R6" s="57"/>
    </row>
    <row r="7" spans="1:36" s="15" customFormat="1" ht="15" customHeight="1">
      <c r="A7" s="149" t="s">
        <v>1576</v>
      </c>
      <c r="B7" s="149" t="s">
        <v>4517</v>
      </c>
      <c r="C7" s="149" t="s">
        <v>2230</v>
      </c>
      <c r="D7" s="150" t="s">
        <v>2152</v>
      </c>
      <c r="E7" s="149" t="s">
        <v>1512</v>
      </c>
      <c r="F7" s="149" t="s">
        <v>4401</v>
      </c>
      <c r="G7" s="149" t="s">
        <v>12</v>
      </c>
      <c r="H7" s="146" t="s">
        <v>2223</v>
      </c>
      <c r="I7" s="61"/>
      <c r="J7" s="61"/>
      <c r="K7" s="61"/>
      <c r="L7" s="61"/>
      <c r="M7" s="61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36" s="15" customFormat="1" ht="15" customHeight="1">
      <c r="A8" s="149"/>
      <c r="B8" s="149"/>
      <c r="C8" s="149"/>
      <c r="D8" s="151"/>
      <c r="E8" s="149"/>
      <c r="F8" s="149"/>
      <c r="G8" s="149"/>
      <c r="H8" s="147"/>
      <c r="I8" s="62" t="s">
        <v>2857</v>
      </c>
      <c r="J8" s="63" t="s">
        <v>2285</v>
      </c>
      <c r="K8" s="62" t="s">
        <v>2295</v>
      </c>
      <c r="L8" s="63" t="s">
        <v>2296</v>
      </c>
      <c r="M8" s="62" t="s">
        <v>2297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36" s="15" customFormat="1" ht="15" customHeight="1">
      <c r="A9" s="149"/>
      <c r="B9" s="149"/>
      <c r="C9" s="149"/>
      <c r="D9" s="152"/>
      <c r="E9" s="149"/>
      <c r="F9" s="149"/>
      <c r="G9" s="149"/>
      <c r="H9" s="148"/>
      <c r="I9" s="59"/>
      <c r="J9" s="59"/>
      <c r="K9" s="59"/>
      <c r="L9" s="59"/>
      <c r="M9" s="59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6" s="4" customFormat="1" ht="15" customHeight="1">
      <c r="A10" s="13" t="s">
        <v>1853</v>
      </c>
      <c r="B10" s="13" t="s">
        <v>4556</v>
      </c>
      <c r="C10" s="13" t="s">
        <v>2231</v>
      </c>
      <c r="D10" s="13" t="s">
        <v>2153</v>
      </c>
      <c r="E10" s="13" t="s">
        <v>1854</v>
      </c>
      <c r="F10" s="13" t="s">
        <v>4402</v>
      </c>
      <c r="G10" s="30" t="s">
        <v>571</v>
      </c>
      <c r="H10" s="53" t="s">
        <v>2224</v>
      </c>
      <c r="I10" s="58"/>
      <c r="J10" s="58"/>
      <c r="K10" s="58"/>
      <c r="L10" s="58"/>
      <c r="M10" s="58"/>
      <c r="N10" s="21"/>
      <c r="O10" s="21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2"/>
      <c r="AC10" s="20"/>
      <c r="AD10" s="20"/>
      <c r="AE10" s="20"/>
    </row>
  </sheetData>
  <protectedRanges>
    <protectedRange sqref="H7:H10" name="Range1"/>
  </protectedRanges>
  <mergeCells count="16">
    <mergeCell ref="C7:C9"/>
    <mergeCell ref="D7:D9"/>
    <mergeCell ref="E7:E9"/>
    <mergeCell ref="F7:F9"/>
    <mergeCell ref="G7:G9"/>
    <mergeCell ref="H7:H9"/>
    <mergeCell ref="O1:O4"/>
    <mergeCell ref="M3:N3"/>
    <mergeCell ref="M4:N4"/>
    <mergeCell ref="A5:N5"/>
    <mergeCell ref="A7:A9"/>
    <mergeCell ref="B7:B9"/>
    <mergeCell ref="C1:N1"/>
    <mergeCell ref="C2:N2"/>
    <mergeCell ref="C3:K3"/>
    <mergeCell ref="C4:K4"/>
  </mergeCells>
  <phoneticPr fontId="21" type="noConversion"/>
  <dataValidations count="2">
    <dataValidation type="list" allowBlank="1" showInputMessage="1" showErrorMessage="1" sqref="AF10:IJ10">
      <formula1>AN11:AN300</formula1>
    </dataValidation>
    <dataValidation type="list" allowBlank="1" showInputMessage="1" showErrorMessage="1" sqref="IK10:IV10">
      <formula1>F11:IS300</formula1>
    </dataValidation>
  </dataValidations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"/>
  <sheetViews>
    <sheetView workbookViewId="0">
      <pane xSplit="1" topLeftCell="B1" activePane="topRight" state="frozen"/>
      <selection activeCell="A7" sqref="A7"/>
      <selection pane="topRight" activeCell="L16" sqref="L16"/>
    </sheetView>
  </sheetViews>
  <sheetFormatPr defaultRowHeight="12.5"/>
  <cols>
    <col min="2" max="2" width="14.26953125" customWidth="1"/>
    <col min="3" max="3" width="17.453125" customWidth="1"/>
    <col min="4" max="4" width="11.7265625" customWidth="1"/>
    <col min="8" max="8" width="12" customWidth="1"/>
    <col min="9" max="9" width="7.453125" customWidth="1"/>
    <col min="10" max="10" width="12.54296875" customWidth="1"/>
    <col min="12" max="12" width="12.7265625" customWidth="1"/>
    <col min="14" max="14" width="9.453125" bestFit="1" customWidth="1"/>
    <col min="16" max="16" width="15.81640625" customWidth="1"/>
    <col min="17" max="17" width="11.1796875" customWidth="1"/>
    <col min="18" max="18" width="14.7265625" customWidth="1"/>
    <col min="19" max="19" width="27.26953125" customWidth="1"/>
    <col min="20" max="20" width="12.81640625" customWidth="1"/>
    <col min="21" max="21" width="12.1796875" bestFit="1" customWidth="1"/>
    <col min="22" max="22" width="11" customWidth="1"/>
    <col min="23" max="23" width="10.453125" customWidth="1"/>
    <col min="24" max="24" width="13.26953125" customWidth="1"/>
    <col min="25" max="25" width="12.1796875" bestFit="1" customWidth="1"/>
    <col min="27" max="27" width="12" bestFit="1" customWidth="1"/>
  </cols>
  <sheetData>
    <row r="1" spans="1:24" s="4" customFormat="1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7"/>
      <c r="M1" s="166"/>
      <c r="N1" s="167"/>
      <c r="O1" s="17"/>
      <c r="P1" s="17"/>
      <c r="Q1" s="17"/>
    </row>
    <row r="2" spans="1:24" s="4" customFormat="1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60"/>
      <c r="M2" s="168"/>
      <c r="N2" s="169"/>
    </row>
    <row r="3" spans="1:24" s="4" customFormat="1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60"/>
      <c r="J3" s="3" t="s">
        <v>1510</v>
      </c>
      <c r="K3" s="164" t="str">
        <f>_FormulaHelpers_!B48</f>
        <v>Base</v>
      </c>
      <c r="L3" s="164"/>
      <c r="M3" s="168"/>
      <c r="N3" s="169"/>
    </row>
    <row r="4" spans="1:24" s="4" customFormat="1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3"/>
      <c r="J4" s="3" t="s">
        <v>1795</v>
      </c>
      <c r="K4" s="164" t="str">
        <f>_FormulaHelpers_!B52</f>
        <v>Normal</v>
      </c>
      <c r="L4" s="164"/>
      <c r="M4" s="170"/>
      <c r="N4" s="171"/>
    </row>
    <row r="5" spans="1:24" s="4" customFormat="1" ht="18.75" customHeight="1">
      <c r="A5" s="154" t="s">
        <v>4530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7"/>
      <c r="P5" s="17"/>
      <c r="Q5" s="17"/>
    </row>
    <row r="6" spans="1:24" s="4" customFormat="1"/>
    <row r="7" spans="1:24" s="15" customFormat="1" ht="15" customHeight="1">
      <c r="A7" s="149" t="s">
        <v>1576</v>
      </c>
      <c r="B7" s="150" t="s">
        <v>2240</v>
      </c>
      <c r="C7" s="150" t="s">
        <v>1852</v>
      </c>
      <c r="D7" s="150" t="s">
        <v>1734</v>
      </c>
      <c r="E7" s="150" t="s">
        <v>367</v>
      </c>
      <c r="F7" s="150" t="s">
        <v>2230</v>
      </c>
      <c r="G7" s="150" t="s">
        <v>2152</v>
      </c>
      <c r="H7" s="150" t="s">
        <v>1512</v>
      </c>
      <c r="I7" s="150" t="s">
        <v>1602</v>
      </c>
      <c r="J7" s="150" t="s">
        <v>1883</v>
      </c>
      <c r="K7" s="95"/>
      <c r="L7" s="186" t="s">
        <v>2264</v>
      </c>
      <c r="M7" s="187"/>
      <c r="N7" s="187"/>
      <c r="O7" s="188"/>
      <c r="P7" s="150" t="s">
        <v>2192</v>
      </c>
      <c r="Q7" s="150" t="s">
        <v>4538</v>
      </c>
      <c r="R7" s="150" t="s">
        <v>12</v>
      </c>
      <c r="S7" s="146" t="s">
        <v>2223</v>
      </c>
      <c r="T7" s="61"/>
      <c r="U7" s="61"/>
      <c r="V7" s="61"/>
      <c r="W7" s="61"/>
      <c r="X7" s="61"/>
    </row>
    <row r="8" spans="1:24" s="15" customFormat="1" ht="15" customHeight="1">
      <c r="A8" s="149"/>
      <c r="B8" s="151"/>
      <c r="C8" s="151"/>
      <c r="D8" s="151"/>
      <c r="E8" s="151"/>
      <c r="F8" s="151"/>
      <c r="G8" s="151"/>
      <c r="H8" s="151"/>
      <c r="I8" s="151"/>
      <c r="J8" s="151"/>
      <c r="K8" s="97" t="s">
        <v>4531</v>
      </c>
      <c r="L8" s="151" t="s">
        <v>4536</v>
      </c>
      <c r="M8" s="151" t="s">
        <v>2166</v>
      </c>
      <c r="N8" s="151" t="s">
        <v>4532</v>
      </c>
      <c r="O8" s="151" t="s">
        <v>4537</v>
      </c>
      <c r="P8" s="151"/>
      <c r="Q8" s="151"/>
      <c r="R8" s="151"/>
      <c r="S8" s="147"/>
      <c r="T8" s="62" t="s">
        <v>2857</v>
      </c>
      <c r="U8" s="63" t="s">
        <v>2285</v>
      </c>
      <c r="V8" s="62" t="s">
        <v>2295</v>
      </c>
      <c r="W8" s="63" t="s">
        <v>2296</v>
      </c>
      <c r="X8" s="62" t="s">
        <v>2297</v>
      </c>
    </row>
    <row r="9" spans="1:24" s="15" customFormat="1" ht="15" customHeight="1">
      <c r="A9" s="149"/>
      <c r="B9" s="152"/>
      <c r="C9" s="152"/>
      <c r="D9" s="152"/>
      <c r="E9" s="152"/>
      <c r="F9" s="152"/>
      <c r="G9" s="152"/>
      <c r="H9" s="152"/>
      <c r="I9" s="152"/>
      <c r="J9" s="152"/>
      <c r="K9" s="96"/>
      <c r="L9" s="152"/>
      <c r="M9" s="152"/>
      <c r="N9" s="152"/>
      <c r="O9" s="152"/>
      <c r="P9" s="152"/>
      <c r="Q9" s="152"/>
      <c r="R9" s="152"/>
      <c r="S9" s="148"/>
      <c r="T9" s="59"/>
      <c r="U9" s="59"/>
      <c r="V9" s="59"/>
      <c r="W9" s="59"/>
      <c r="X9" s="59"/>
    </row>
    <row r="10" spans="1:24" s="4" customFormat="1" ht="15" customHeight="1">
      <c r="A10" s="13" t="s">
        <v>1853</v>
      </c>
      <c r="B10" s="13" t="s">
        <v>2269</v>
      </c>
      <c r="C10" s="13" t="s">
        <v>1859</v>
      </c>
      <c r="D10" s="13" t="s">
        <v>1860</v>
      </c>
      <c r="E10" s="13" t="s">
        <v>1861</v>
      </c>
      <c r="F10" s="13" t="s">
        <v>2231</v>
      </c>
      <c r="G10" s="13" t="s">
        <v>2153</v>
      </c>
      <c r="H10" s="13" t="s">
        <v>1854</v>
      </c>
      <c r="I10" s="13" t="s">
        <v>4693</v>
      </c>
      <c r="J10" s="16" t="s">
        <v>1915</v>
      </c>
      <c r="K10" s="16" t="s">
        <v>1354</v>
      </c>
      <c r="L10" s="16" t="s">
        <v>4535</v>
      </c>
      <c r="M10" s="16" t="s">
        <v>4533</v>
      </c>
      <c r="N10" s="13" t="s">
        <v>4534</v>
      </c>
      <c r="O10" s="13" t="s">
        <v>4579</v>
      </c>
      <c r="P10" s="13" t="s">
        <v>5105</v>
      </c>
      <c r="Q10" s="13" t="s">
        <v>4578</v>
      </c>
      <c r="R10" s="29" t="s">
        <v>571</v>
      </c>
      <c r="S10" s="53" t="s">
        <v>2224</v>
      </c>
      <c r="T10" s="58"/>
      <c r="U10" s="58"/>
      <c r="V10" s="58"/>
      <c r="W10" s="58"/>
      <c r="X10" s="58"/>
    </row>
    <row r="25" spans="12:12">
      <c r="L25" s="18"/>
    </row>
  </sheetData>
  <protectedRanges>
    <protectedRange sqref="S7:S10" name="Range1_1"/>
  </protectedRanges>
  <mergeCells count="27">
    <mergeCell ref="C4:I4"/>
    <mergeCell ref="K4:L4"/>
    <mergeCell ref="I7:I9"/>
    <mergeCell ref="J7:J9"/>
    <mergeCell ref="L7:O7"/>
    <mergeCell ref="H7:H9"/>
    <mergeCell ref="A5:N5"/>
    <mergeCell ref="A7:A9"/>
    <mergeCell ref="G7:G9"/>
    <mergeCell ref="C1:L1"/>
    <mergeCell ref="M1:N4"/>
    <mergeCell ref="C2:L2"/>
    <mergeCell ref="C3:I3"/>
    <mergeCell ref="K3:L3"/>
    <mergeCell ref="B7:B9"/>
    <mergeCell ref="C7:C9"/>
    <mergeCell ref="D7:D9"/>
    <mergeCell ref="E7:E9"/>
    <mergeCell ref="F7:F9"/>
    <mergeCell ref="R7:R9"/>
    <mergeCell ref="S7:S9"/>
    <mergeCell ref="Q7:Q9"/>
    <mergeCell ref="P7:P9"/>
    <mergeCell ref="L8:L9"/>
    <mergeCell ref="M8:M9"/>
    <mergeCell ref="N8:N9"/>
    <mergeCell ref="O8:O9"/>
  </mergeCells>
  <phoneticPr fontId="21" type="noConversion"/>
  <dataValidations count="3">
    <dataValidation type="list" allowBlank="1" showInputMessage="1" showErrorMessage="1" sqref="HW10:IM10">
      <formula1>A13:ID325</formula1>
    </dataValidation>
    <dataValidation type="list" allowBlank="1" showInputMessage="1" showErrorMessage="1" sqref="IN10:IV10">
      <formula1>R13:IV325</formula1>
    </dataValidation>
    <dataValidation type="list" allowBlank="1" showInputMessage="1" showErrorMessage="1" sqref="AA10:HV10">
      <formula1>AH13:AH325</formula1>
    </dataValidation>
  </dataValidations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9"/>
  <sheetViews>
    <sheetView zoomScaleNormal="100" workbookViewId="0">
      <pane xSplit="1" topLeftCell="B1" activePane="topRight" state="frozen"/>
      <selection pane="topRight" activeCell="P10" sqref="P10"/>
    </sheetView>
  </sheetViews>
  <sheetFormatPr defaultRowHeight="12.5"/>
  <cols>
    <col min="1" max="1" width="17.7265625" customWidth="1"/>
    <col min="2" max="2" width="14.1796875" customWidth="1"/>
    <col min="3" max="3" width="12.81640625" customWidth="1"/>
    <col min="4" max="4" width="12.453125" customWidth="1"/>
    <col min="5" max="5" width="12" customWidth="1"/>
    <col min="6" max="7" width="11.81640625" customWidth="1"/>
    <col min="8" max="8" width="7.453125" customWidth="1"/>
    <col min="9" max="9" width="11.26953125" customWidth="1"/>
    <col min="10" max="10" width="8.1796875" customWidth="1"/>
    <col min="11" max="11" width="12.1796875" bestFit="1" customWidth="1"/>
    <col min="12" max="12" width="12" bestFit="1" customWidth="1"/>
    <col min="13" max="13" width="10.54296875" customWidth="1"/>
    <col min="14" max="14" width="16.26953125" customWidth="1"/>
    <col min="15" max="15" width="9.81640625" bestFit="1" customWidth="1"/>
    <col min="16" max="16" width="10.54296875" customWidth="1"/>
    <col min="17" max="17" width="20" customWidth="1"/>
    <col min="18" max="18" width="11.1796875" customWidth="1"/>
    <col min="19" max="19" width="12.26953125" customWidth="1"/>
    <col min="20" max="20" width="15.54296875" customWidth="1"/>
    <col min="21" max="21" width="10.453125" customWidth="1"/>
    <col min="22" max="22" width="10.26953125" customWidth="1"/>
    <col min="23" max="23" width="17.26953125" customWidth="1"/>
    <col min="24" max="24" width="11.81640625" customWidth="1"/>
    <col min="25" max="25" width="12.1796875" bestFit="1" customWidth="1"/>
    <col min="26" max="26" width="26" customWidth="1"/>
    <col min="27" max="28" width="13.1796875" bestFit="1" customWidth="1"/>
    <col min="29" max="29" width="13.453125" bestFit="1" customWidth="1"/>
    <col min="30" max="30" width="9.81640625" bestFit="1" customWidth="1"/>
    <col min="31" max="31" width="13.1796875" bestFit="1" customWidth="1"/>
  </cols>
  <sheetData>
    <row r="1" spans="1:49" s="4" customFormat="1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  <c r="Q1" s="153"/>
      <c r="R1"/>
      <c r="S1" s="55"/>
      <c r="T1" s="55"/>
      <c r="U1"/>
      <c r="V1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49" s="4" customFormat="1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60"/>
      <c r="Q2" s="153"/>
      <c r="R2"/>
      <c r="S2" s="55"/>
      <c r="T2" s="55"/>
      <c r="U2"/>
      <c r="V2"/>
    </row>
    <row r="3" spans="1:49" s="4" customFormat="1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59"/>
      <c r="L3" s="160"/>
      <c r="M3" s="3" t="s">
        <v>1510</v>
      </c>
      <c r="N3" s="165" t="str">
        <f>_FormulaHelpers_!B48</f>
        <v>Base</v>
      </c>
      <c r="O3" s="233"/>
      <c r="P3" s="236"/>
      <c r="Q3" s="153"/>
      <c r="R3"/>
      <c r="S3" s="55"/>
      <c r="T3" s="55"/>
      <c r="U3"/>
      <c r="V3"/>
    </row>
    <row r="4" spans="1:49" s="4" customFormat="1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2"/>
      <c r="L4" s="163"/>
      <c r="M4" s="3" t="s">
        <v>1795</v>
      </c>
      <c r="N4" s="165" t="str">
        <f>_FormulaHelpers_!B52</f>
        <v>Normal</v>
      </c>
      <c r="O4" s="233"/>
      <c r="P4" s="236"/>
      <c r="Q4" s="153"/>
      <c r="R4"/>
      <c r="S4" s="55"/>
      <c r="T4" s="55"/>
      <c r="U4"/>
      <c r="V4"/>
    </row>
    <row r="5" spans="1:49" s="25" customFormat="1" ht="18.75" customHeight="1">
      <c r="A5" s="154" t="s">
        <v>4672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R5" s="56"/>
      <c r="S5" s="56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</row>
    <row r="6" spans="1:49" s="4" customFormat="1">
      <c r="R6" s="57"/>
      <c r="S6" s="57"/>
    </row>
    <row r="7" spans="1:49" s="15" customFormat="1" ht="15" customHeight="1">
      <c r="A7" s="149" t="s">
        <v>1576</v>
      </c>
      <c r="B7" s="149" t="s">
        <v>2832</v>
      </c>
      <c r="C7" s="149" t="s">
        <v>4687</v>
      </c>
      <c r="D7" s="149" t="s">
        <v>4688</v>
      </c>
      <c r="E7" s="149" t="s">
        <v>4698</v>
      </c>
      <c r="F7" s="149" t="s">
        <v>4699</v>
      </c>
      <c r="G7" s="149" t="s">
        <v>2230</v>
      </c>
      <c r="H7" s="150" t="s">
        <v>2152</v>
      </c>
      <c r="I7" s="149" t="s">
        <v>1512</v>
      </c>
      <c r="J7" s="150" t="s">
        <v>1602</v>
      </c>
      <c r="K7" s="150" t="s">
        <v>4697</v>
      </c>
      <c r="L7" s="150" t="s">
        <v>1883</v>
      </c>
      <c r="M7" s="150" t="s">
        <v>4685</v>
      </c>
      <c r="N7" s="150" t="s">
        <v>4401</v>
      </c>
      <c r="O7" s="186" t="s">
        <v>2264</v>
      </c>
      <c r="P7" s="187"/>
      <c r="Q7" s="187"/>
      <c r="R7" s="188"/>
      <c r="S7" s="186" t="s">
        <v>4641</v>
      </c>
      <c r="T7" s="187"/>
      <c r="U7" s="188"/>
      <c r="V7" s="186" t="s">
        <v>4681</v>
      </c>
      <c r="W7" s="187"/>
      <c r="X7" s="188"/>
      <c r="Y7" s="149" t="s">
        <v>12</v>
      </c>
      <c r="Z7" s="146" t="s">
        <v>2223</v>
      </c>
      <c r="AA7" s="61"/>
      <c r="AB7" s="61"/>
      <c r="AC7" s="61"/>
      <c r="AD7" s="61"/>
      <c r="AE7" s="61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pans="1:49" s="15" customFormat="1" ht="15" customHeight="1">
      <c r="A8" s="149"/>
      <c r="B8" s="149"/>
      <c r="C8" s="149"/>
      <c r="D8" s="149"/>
      <c r="E8" s="149"/>
      <c r="F8" s="149"/>
      <c r="G8" s="149"/>
      <c r="H8" s="151"/>
      <c r="I8" s="149"/>
      <c r="J8" s="151"/>
      <c r="K8" s="151"/>
      <c r="L8" s="151"/>
      <c r="M8" s="151"/>
      <c r="N8" s="151"/>
      <c r="O8" s="150" t="s">
        <v>1955</v>
      </c>
      <c r="P8" s="150" t="s">
        <v>1353</v>
      </c>
      <c r="Q8" s="150" t="s">
        <v>377</v>
      </c>
      <c r="R8" s="150" t="s">
        <v>4673</v>
      </c>
      <c r="S8" s="150" t="s">
        <v>4653</v>
      </c>
      <c r="T8" s="150" t="s">
        <v>4637</v>
      </c>
      <c r="U8" s="150" t="s">
        <v>4624</v>
      </c>
      <c r="V8" s="150" t="s">
        <v>3317</v>
      </c>
      <c r="W8" s="150" t="s">
        <v>3318</v>
      </c>
      <c r="X8" s="150" t="s">
        <v>372</v>
      </c>
      <c r="Y8" s="149"/>
      <c r="Z8" s="147"/>
      <c r="AA8" s="62" t="s">
        <v>2857</v>
      </c>
      <c r="AB8" s="63" t="s">
        <v>2285</v>
      </c>
      <c r="AC8" s="62" t="s">
        <v>2295</v>
      </c>
      <c r="AD8" s="63" t="s">
        <v>2296</v>
      </c>
      <c r="AE8" s="62" t="s">
        <v>2297</v>
      </c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pans="1:49" s="15" customFormat="1" ht="15" customHeight="1">
      <c r="A9" s="149"/>
      <c r="B9" s="149"/>
      <c r="C9" s="149"/>
      <c r="D9" s="149"/>
      <c r="E9" s="149"/>
      <c r="F9" s="149"/>
      <c r="G9" s="149"/>
      <c r="H9" s="152"/>
      <c r="I9" s="149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49"/>
      <c r="Z9" s="148"/>
      <c r="AA9" s="59"/>
      <c r="AB9" s="59"/>
      <c r="AC9" s="59"/>
      <c r="AD9" s="59"/>
      <c r="AE9" s="59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pans="1:49" s="25" customFormat="1" ht="15" customHeight="1">
      <c r="A10" s="13" t="s">
        <v>1853</v>
      </c>
      <c r="B10" s="13" t="s">
        <v>4675</v>
      </c>
      <c r="C10" s="30" t="s">
        <v>4692</v>
      </c>
      <c r="D10" s="30" t="s">
        <v>4555</v>
      </c>
      <c r="E10" s="30" t="s">
        <v>4557</v>
      </c>
      <c r="F10" s="30" t="s">
        <v>4700</v>
      </c>
      <c r="G10" s="13" t="s">
        <v>2231</v>
      </c>
      <c r="H10" s="13" t="s">
        <v>2153</v>
      </c>
      <c r="I10" s="13" t="s">
        <v>1854</v>
      </c>
      <c r="J10" s="13" t="s">
        <v>4693</v>
      </c>
      <c r="K10" s="13" t="s">
        <v>4694</v>
      </c>
      <c r="L10" s="13" t="s">
        <v>4703</v>
      </c>
      <c r="M10" s="13" t="s">
        <v>4704</v>
      </c>
      <c r="N10" s="13" t="s">
        <v>4402</v>
      </c>
      <c r="O10" s="13" t="s">
        <v>4674</v>
      </c>
      <c r="P10" s="13" t="s">
        <v>5181</v>
      </c>
      <c r="Q10" s="13" t="s">
        <v>4676</v>
      </c>
      <c r="R10" s="13" t="s">
        <v>4677</v>
      </c>
      <c r="S10" s="13" t="s">
        <v>4679</v>
      </c>
      <c r="T10" s="13" t="s">
        <v>4680</v>
      </c>
      <c r="U10" s="13" t="s">
        <v>4678</v>
      </c>
      <c r="V10" s="13" t="s">
        <v>4682</v>
      </c>
      <c r="W10" s="13" t="s">
        <v>4683</v>
      </c>
      <c r="X10" s="13" t="s">
        <v>4684</v>
      </c>
      <c r="Y10" s="13" t="s">
        <v>571</v>
      </c>
      <c r="Z10" s="53" t="s">
        <v>2224</v>
      </c>
      <c r="AA10" s="105"/>
      <c r="AB10" s="105"/>
      <c r="AC10" s="105"/>
      <c r="AD10" s="105"/>
      <c r="AE10" s="105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2"/>
      <c r="AR10" s="20"/>
      <c r="AS10" s="20"/>
      <c r="AT10" s="20"/>
    </row>
    <row r="19" spans="15:15">
      <c r="O19" t="s">
        <v>4686</v>
      </c>
    </row>
  </sheetData>
  <protectedRanges>
    <protectedRange sqref="X10 Z7:Z10" name="Range1"/>
  </protectedRanges>
  <mergeCells count="37">
    <mergeCell ref="E7:E9"/>
    <mergeCell ref="F7:F9"/>
    <mergeCell ref="N3:P3"/>
    <mergeCell ref="N4:P4"/>
    <mergeCell ref="C1:P1"/>
    <mergeCell ref="C2:P2"/>
    <mergeCell ref="C3:L3"/>
    <mergeCell ref="C4:L4"/>
    <mergeCell ref="J7:J9"/>
    <mergeCell ref="N7:N9"/>
    <mergeCell ref="Q1:Q4"/>
    <mergeCell ref="A5:O5"/>
    <mergeCell ref="A7:A9"/>
    <mergeCell ref="B7:B9"/>
    <mergeCell ref="G7:G9"/>
    <mergeCell ref="H7:H9"/>
    <mergeCell ref="I7:I9"/>
    <mergeCell ref="M7:M9"/>
    <mergeCell ref="D7:D9"/>
    <mergeCell ref="C7:C9"/>
    <mergeCell ref="O7:R7"/>
    <mergeCell ref="V8:V9"/>
    <mergeCell ref="K7:K9"/>
    <mergeCell ref="S8:S9"/>
    <mergeCell ref="T8:T9"/>
    <mergeCell ref="U8:U9"/>
    <mergeCell ref="R8:R9"/>
    <mergeCell ref="Y7:Y9"/>
    <mergeCell ref="Z7:Z9"/>
    <mergeCell ref="W8:W9"/>
    <mergeCell ref="X8:X9"/>
    <mergeCell ref="V7:X7"/>
    <mergeCell ref="L7:L9"/>
    <mergeCell ref="S7:U7"/>
    <mergeCell ref="O8:O9"/>
    <mergeCell ref="P8:P9"/>
    <mergeCell ref="Q8:Q9"/>
  </mergeCells>
  <phoneticPr fontId="21" type="noConversion"/>
  <dataValidations count="1">
    <dataValidation type="list" allowBlank="1" showInputMessage="1" showErrorMessage="1" sqref="AU10:IV10">
      <formula1>AO11:AO300</formula1>
    </dataValidation>
  </dataValidations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6"/>
  <sheetViews>
    <sheetView zoomScale="115" zoomScaleNormal="115" workbookViewId="0">
      <pane xSplit="1" topLeftCell="L1" activePane="topRight" state="frozen"/>
      <selection pane="topRight" activeCell="O19" sqref="O19"/>
    </sheetView>
  </sheetViews>
  <sheetFormatPr defaultRowHeight="12.5"/>
  <cols>
    <col min="1" max="1" width="16.453125" customWidth="1"/>
    <col min="2" max="2" width="13.7265625" customWidth="1"/>
    <col min="4" max="5" width="17.26953125" customWidth="1"/>
    <col min="6" max="6" width="11.453125" customWidth="1"/>
    <col min="7" max="7" width="16.1796875" customWidth="1"/>
    <col min="9" max="9" width="11.1796875" customWidth="1"/>
    <col min="12" max="12" width="14.7265625" customWidth="1"/>
    <col min="14" max="14" width="13.81640625" customWidth="1"/>
    <col min="18" max="18" width="16.7265625" customWidth="1"/>
    <col min="19" max="19" width="14.7265625" customWidth="1"/>
    <col min="20" max="20" width="13.26953125" customWidth="1"/>
    <col min="21" max="21" width="16.1796875" customWidth="1"/>
    <col min="22" max="22" width="33.1796875" customWidth="1"/>
    <col min="23" max="23" width="14" customWidth="1"/>
    <col min="24" max="24" width="15" customWidth="1"/>
    <col min="26" max="26" width="15.1796875" customWidth="1"/>
    <col min="27" max="27" width="21.54296875" customWidth="1"/>
  </cols>
  <sheetData>
    <row r="1" spans="1:34" s="4" customFormat="1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7"/>
      <c r="S1" s="166"/>
      <c r="T1" s="167"/>
      <c r="U1" s="108"/>
      <c r="V1" s="17"/>
      <c r="W1" s="17"/>
      <c r="X1" s="17"/>
      <c r="Y1" s="17"/>
      <c r="Z1" s="17"/>
    </row>
    <row r="2" spans="1:34" s="4" customFormat="1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60"/>
      <c r="S2" s="168"/>
      <c r="T2" s="169"/>
      <c r="U2" s="108"/>
      <c r="V2" s="17"/>
      <c r="W2" s="17"/>
      <c r="X2" s="17"/>
    </row>
    <row r="3" spans="1:34" s="4" customFormat="1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60"/>
      <c r="O3" s="3" t="s">
        <v>1510</v>
      </c>
      <c r="P3" s="165" t="str">
        <f>_FormulaHelpers_!B48</f>
        <v>Base</v>
      </c>
      <c r="Q3" s="233"/>
      <c r="R3" s="236"/>
      <c r="S3" s="168"/>
      <c r="T3" s="169"/>
      <c r="U3" s="108"/>
      <c r="V3" s="17"/>
      <c r="W3" s="17"/>
      <c r="X3" s="17"/>
    </row>
    <row r="4" spans="1:34" s="4" customFormat="1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3"/>
      <c r="O4" s="3" t="s">
        <v>1795</v>
      </c>
      <c r="P4" s="165" t="str">
        <f>_FormulaHelpers_!B52</f>
        <v>Normal</v>
      </c>
      <c r="Q4" s="233"/>
      <c r="R4" s="236"/>
      <c r="S4" s="170"/>
      <c r="T4" s="171"/>
      <c r="U4" s="108"/>
      <c r="V4" s="17"/>
      <c r="W4" s="17"/>
      <c r="X4" s="17"/>
    </row>
    <row r="5" spans="1:34" s="4" customFormat="1" ht="18.75" customHeight="1">
      <c r="A5" s="154" t="s">
        <v>4857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200"/>
      <c r="V5" s="200"/>
      <c r="W5" s="200"/>
      <c r="X5" s="200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 s="4" customFormat="1"/>
    <row r="7" spans="1:34" s="114" customFormat="1" ht="15" customHeight="1">
      <c r="A7" s="176" t="s">
        <v>1922</v>
      </c>
      <c r="B7" s="176" t="s">
        <v>2230</v>
      </c>
      <c r="C7" s="146" t="s">
        <v>2152</v>
      </c>
      <c r="D7" s="176" t="s">
        <v>1512</v>
      </c>
      <c r="E7" s="149" t="s">
        <v>4401</v>
      </c>
      <c r="F7" s="176" t="s">
        <v>2243</v>
      </c>
      <c r="G7" s="176" t="s">
        <v>4966</v>
      </c>
      <c r="H7" s="176" t="s">
        <v>1955</v>
      </c>
      <c r="I7" s="176" t="s">
        <v>370</v>
      </c>
      <c r="J7" s="177" t="s">
        <v>2264</v>
      </c>
      <c r="K7" s="178"/>
      <c r="L7" s="178"/>
      <c r="M7" s="179"/>
      <c r="N7" s="237" t="s">
        <v>1355</v>
      </c>
      <c r="O7" s="238"/>
      <c r="P7" s="238"/>
      <c r="Q7" s="239"/>
      <c r="R7" s="177" t="s">
        <v>5028</v>
      </c>
      <c r="S7" s="178"/>
      <c r="T7" s="178"/>
      <c r="U7" s="179"/>
      <c r="V7" s="146" t="s">
        <v>2223</v>
      </c>
      <c r="W7" s="61"/>
      <c r="X7" s="61"/>
      <c r="Y7" s="61"/>
      <c r="Z7" s="61"/>
      <c r="AA7" s="61"/>
    </row>
    <row r="8" spans="1:34" s="114" customFormat="1" ht="15" customHeight="1">
      <c r="A8" s="176"/>
      <c r="B8" s="176"/>
      <c r="C8" s="147"/>
      <c r="D8" s="176"/>
      <c r="E8" s="149"/>
      <c r="F8" s="176"/>
      <c r="G8" s="176"/>
      <c r="H8" s="176"/>
      <c r="I8" s="176"/>
      <c r="J8" s="146" t="s">
        <v>847</v>
      </c>
      <c r="K8" s="146" t="s">
        <v>4972</v>
      </c>
      <c r="L8" s="146" t="s">
        <v>4973</v>
      </c>
      <c r="M8" s="146" t="s">
        <v>4971</v>
      </c>
      <c r="N8" s="146" t="s">
        <v>4974</v>
      </c>
      <c r="O8" s="146" t="s">
        <v>4975</v>
      </c>
      <c r="P8" s="146" t="s">
        <v>2211</v>
      </c>
      <c r="Q8" s="146" t="s">
        <v>5026</v>
      </c>
      <c r="R8" s="177" t="s">
        <v>4517</v>
      </c>
      <c r="S8" s="179"/>
      <c r="T8" s="177" t="s">
        <v>5029</v>
      </c>
      <c r="U8" s="179"/>
      <c r="V8" s="147"/>
      <c r="W8" s="62" t="s">
        <v>2857</v>
      </c>
      <c r="X8" s="63" t="s">
        <v>2285</v>
      </c>
      <c r="Y8" s="62" t="s">
        <v>2295</v>
      </c>
      <c r="Z8" s="63" t="s">
        <v>2296</v>
      </c>
      <c r="AA8" s="62" t="s">
        <v>2297</v>
      </c>
    </row>
    <row r="9" spans="1:34" s="114" customFormat="1" ht="15" customHeight="1">
      <c r="A9" s="176"/>
      <c r="B9" s="176"/>
      <c r="C9" s="148"/>
      <c r="D9" s="176"/>
      <c r="E9" s="149"/>
      <c r="F9" s="176"/>
      <c r="G9" s="176"/>
      <c r="H9" s="176"/>
      <c r="I9" s="176"/>
      <c r="J9" s="148"/>
      <c r="K9" s="148"/>
      <c r="L9" s="148"/>
      <c r="M9" s="148"/>
      <c r="N9" s="148"/>
      <c r="O9" s="148"/>
      <c r="P9" s="148"/>
      <c r="Q9" s="148"/>
      <c r="R9" s="115" t="s">
        <v>5031</v>
      </c>
      <c r="S9" s="115" t="s">
        <v>5030</v>
      </c>
      <c r="T9" s="115" t="s">
        <v>5032</v>
      </c>
      <c r="U9" s="115" t="s">
        <v>5033</v>
      </c>
      <c r="V9" s="148"/>
      <c r="W9" s="59"/>
      <c r="X9" s="59"/>
      <c r="Y9" s="59"/>
      <c r="Z9" s="59"/>
      <c r="AA9" s="59"/>
    </row>
    <row r="10" spans="1:34" s="4" customFormat="1" ht="15" customHeight="1">
      <c r="A10" s="13" t="s">
        <v>1853</v>
      </c>
      <c r="B10" s="13" t="s">
        <v>2231</v>
      </c>
      <c r="C10" s="13" t="s">
        <v>2153</v>
      </c>
      <c r="D10" s="13" t="s">
        <v>1854</v>
      </c>
      <c r="E10" s="13" t="s">
        <v>4402</v>
      </c>
      <c r="F10" s="13" t="s">
        <v>4967</v>
      </c>
      <c r="G10" s="13" t="s">
        <v>4968</v>
      </c>
      <c r="H10" s="13" t="s">
        <v>4969</v>
      </c>
      <c r="I10" s="13" t="s">
        <v>4970</v>
      </c>
      <c r="J10" s="13" t="s">
        <v>2302</v>
      </c>
      <c r="K10" s="16" t="s">
        <v>4980</v>
      </c>
      <c r="L10" s="16" t="s">
        <v>4979</v>
      </c>
      <c r="M10" s="36" t="s">
        <v>860</v>
      </c>
      <c r="N10" s="13" t="s">
        <v>4978</v>
      </c>
      <c r="O10" s="13" t="s">
        <v>4976</v>
      </c>
      <c r="P10" s="13" t="s">
        <v>4977</v>
      </c>
      <c r="Q10" s="13" t="s">
        <v>5027</v>
      </c>
      <c r="R10" s="13" t="s">
        <v>5034</v>
      </c>
      <c r="S10" s="13" t="s">
        <v>5035</v>
      </c>
      <c r="T10" s="13" t="s">
        <v>5036</v>
      </c>
      <c r="U10" s="13" t="s">
        <v>5037</v>
      </c>
      <c r="V10" s="53" t="s">
        <v>2224</v>
      </c>
      <c r="W10" s="58"/>
      <c r="X10" s="58"/>
      <c r="Y10" s="58"/>
      <c r="Z10" s="58"/>
      <c r="AA10" s="58"/>
    </row>
    <row r="13" spans="1:34">
      <c r="I13" s="18"/>
    </row>
    <row r="16" spans="1:34">
      <c r="L16" s="18"/>
    </row>
  </sheetData>
  <protectedRanges>
    <protectedRange sqref="V7:V9" name="Range1_1_1_1"/>
    <protectedRange sqref="V10" name="Range1"/>
  </protectedRanges>
  <mergeCells count="31">
    <mergeCell ref="R8:S8"/>
    <mergeCell ref="K8:K9"/>
    <mergeCell ref="V7:V9"/>
    <mergeCell ref="J7:M7"/>
    <mergeCell ref="N8:N9"/>
    <mergeCell ref="P3:R3"/>
    <mergeCell ref="T8:U8"/>
    <mergeCell ref="P4:R4"/>
    <mergeCell ref="O8:O9"/>
    <mergeCell ref="P8:P9"/>
    <mergeCell ref="C4:N4"/>
    <mergeCell ref="C2:R2"/>
    <mergeCell ref="A7:A9"/>
    <mergeCell ref="B7:B9"/>
    <mergeCell ref="C7:C9"/>
    <mergeCell ref="D7:D9"/>
    <mergeCell ref="F7:F9"/>
    <mergeCell ref="N7:Q7"/>
    <mergeCell ref="J8:J9"/>
    <mergeCell ref="G7:G9"/>
    <mergeCell ref="I7:I9"/>
    <mergeCell ref="R7:U7"/>
    <mergeCell ref="Q8:Q9"/>
    <mergeCell ref="S1:T4"/>
    <mergeCell ref="C3:N3"/>
    <mergeCell ref="A5:X5"/>
    <mergeCell ref="C1:R1"/>
    <mergeCell ref="H7:H9"/>
    <mergeCell ref="M8:M9"/>
    <mergeCell ref="E7:E9"/>
    <mergeCell ref="L8:L9"/>
  </mergeCells>
  <phoneticPr fontId="21" type="noConversion"/>
  <pageMargins left="0.7" right="0.7" top="0.75" bottom="0.75" header="0.3" footer="0.3"/>
  <pageSetup paperSize="161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1"/>
  <sheetViews>
    <sheetView topLeftCell="T1" workbookViewId="0">
      <selection activeCell="Y10" sqref="Y10"/>
    </sheetView>
  </sheetViews>
  <sheetFormatPr defaultColWidth="9.1796875" defaultRowHeight="12.5"/>
  <cols>
    <col min="1" max="1" width="13.81640625" style="85" customWidth="1"/>
    <col min="2" max="3" width="15.7265625" style="85" customWidth="1"/>
    <col min="4" max="7" width="9.1796875" style="85"/>
    <col min="8" max="9" width="15.1796875" style="85" customWidth="1"/>
    <col min="10" max="10" width="15.81640625" style="85" customWidth="1"/>
    <col min="11" max="11" width="17.54296875" style="85" bestFit="1" customWidth="1"/>
    <col min="12" max="12" width="16.1796875" style="85" customWidth="1"/>
    <col min="13" max="13" width="13.1796875" style="85" customWidth="1"/>
    <col min="14" max="14" width="8" style="85" customWidth="1"/>
    <col min="15" max="17" width="9.1796875" style="85"/>
    <col min="18" max="18" width="13" style="85" customWidth="1"/>
    <col min="19" max="19" width="7.54296875" style="85" customWidth="1"/>
    <col min="20" max="21" width="14.1796875" style="85" customWidth="1"/>
    <col min="22" max="22" width="16.7265625" style="85" customWidth="1"/>
    <col min="23" max="24" width="9.1796875" style="85"/>
    <col min="25" max="25" width="29.1796875" style="85" customWidth="1"/>
    <col min="26" max="26" width="12.453125" style="85" customWidth="1"/>
    <col min="27" max="32" width="10.54296875" style="121" customWidth="1"/>
    <col min="33" max="33" width="12.1796875" style="121" customWidth="1"/>
    <col min="34" max="34" width="11.1796875" style="121" customWidth="1"/>
    <col min="35" max="35" width="27" style="85" customWidth="1"/>
    <col min="36" max="36" width="32.26953125" style="85" customWidth="1"/>
    <col min="37" max="37" width="12.26953125" style="85" bestFit="1" customWidth="1"/>
    <col min="38" max="38" width="12.1796875" style="85" bestFit="1" customWidth="1"/>
    <col min="39" max="39" width="9.1796875" style="85"/>
    <col min="40" max="40" width="12.26953125" style="85" bestFit="1" customWidth="1"/>
    <col min="41" max="41" width="13.1796875" style="85" bestFit="1" customWidth="1"/>
    <col min="42" max="42" width="6.1796875" style="85" bestFit="1" customWidth="1"/>
    <col min="43" max="43" width="9.81640625" style="85" bestFit="1" customWidth="1"/>
    <col min="44" max="44" width="13.1796875" style="85" bestFit="1" customWidth="1"/>
    <col min="45" max="16384" width="9.1796875" style="85"/>
  </cols>
  <sheetData>
    <row r="1" spans="1:59" s="57" customFormat="1" ht="14">
      <c r="A1" s="83"/>
      <c r="B1" s="84" t="s">
        <v>1507</v>
      </c>
      <c r="C1" s="137" t="str">
        <f>[1]_FormulaHelpers_!B43</f>
        <v>ETAP Export Test Project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31"/>
      <c r="U1" s="55"/>
      <c r="V1" s="85"/>
      <c r="W1" s="85"/>
      <c r="X1" s="85"/>
      <c r="Y1" s="85"/>
      <c r="Z1" s="85"/>
      <c r="AA1" s="55"/>
      <c r="AB1" s="55"/>
      <c r="AC1" s="55"/>
      <c r="AD1" s="121"/>
      <c r="AE1" s="121"/>
      <c r="AF1" s="121"/>
      <c r="AG1" s="121"/>
      <c r="AH1" s="121"/>
      <c r="AI1" s="85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</row>
    <row r="2" spans="1:59" s="57" customFormat="1" ht="14">
      <c r="A2" s="87"/>
      <c r="B2" s="84" t="s">
        <v>1508</v>
      </c>
      <c r="C2" s="140" t="str">
        <f>[1]_FormulaHelpers_!B44</f>
        <v>Irvine, CA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31"/>
      <c r="U2" s="55"/>
      <c r="V2" s="85"/>
      <c r="W2" s="85"/>
      <c r="X2" s="85"/>
      <c r="Y2" s="85"/>
      <c r="Z2" s="85"/>
      <c r="AA2" s="55"/>
      <c r="AB2" s="55"/>
      <c r="AC2" s="55"/>
      <c r="AD2" s="121"/>
      <c r="AE2" s="121"/>
      <c r="AF2" s="121"/>
      <c r="AG2" s="121"/>
      <c r="AH2" s="121"/>
      <c r="AI2" s="85"/>
    </row>
    <row r="3" spans="1:59" s="57" customFormat="1" ht="14">
      <c r="A3" s="87"/>
      <c r="B3" s="84" t="s">
        <v>1794</v>
      </c>
      <c r="C3" s="140" t="str">
        <f>[1]_FormulaHelpers_!B45</f>
        <v>000-111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2"/>
      <c r="O3" s="84" t="s">
        <v>1510</v>
      </c>
      <c r="P3" s="133" t="str">
        <f>[1]_FormulaHelpers_!B48</f>
        <v>Base</v>
      </c>
      <c r="Q3" s="240"/>
      <c r="R3" s="240"/>
      <c r="S3" s="241"/>
      <c r="T3" s="131"/>
      <c r="U3" s="55"/>
      <c r="V3" s="85"/>
      <c r="W3" s="85"/>
      <c r="X3" s="85"/>
      <c r="Y3" s="85"/>
      <c r="Z3" s="85"/>
      <c r="AA3" s="55"/>
      <c r="AB3" s="55"/>
      <c r="AC3" s="55"/>
      <c r="AD3" s="121"/>
      <c r="AE3" s="121"/>
      <c r="AF3" s="121"/>
      <c r="AG3" s="121"/>
      <c r="AH3" s="121"/>
      <c r="AI3" s="85"/>
    </row>
    <row r="4" spans="1:59" s="57" customFormat="1" ht="14">
      <c r="A4" s="88"/>
      <c r="B4" s="84" t="s">
        <v>1509</v>
      </c>
      <c r="C4" s="143">
        <f>[1]_FormulaHelpers_!B46</f>
        <v>40441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5"/>
      <c r="O4" s="84" t="s">
        <v>1795</v>
      </c>
      <c r="P4" s="133" t="str">
        <f>[1]_FormulaHelpers_!B49</f>
        <v>Normal</v>
      </c>
      <c r="Q4" s="240"/>
      <c r="R4" s="240"/>
      <c r="S4" s="241"/>
      <c r="T4" s="131"/>
      <c r="U4" s="55"/>
      <c r="V4" s="85"/>
      <c r="W4" s="85"/>
      <c r="X4" s="85"/>
      <c r="Y4" s="85"/>
      <c r="Z4" s="85"/>
      <c r="AA4" s="55"/>
      <c r="AB4" s="55"/>
      <c r="AC4" s="55"/>
      <c r="AD4" s="121"/>
      <c r="AE4" s="121"/>
      <c r="AF4" s="121"/>
      <c r="AG4" s="121"/>
      <c r="AH4" s="121"/>
      <c r="AI4" s="85"/>
    </row>
    <row r="5" spans="1:59" s="56" customFormat="1" ht="18.75" customHeight="1">
      <c r="A5" s="134" t="s">
        <v>5122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</row>
    <row r="6" spans="1:59" s="57" customFormat="1">
      <c r="AA6" s="56"/>
      <c r="AB6" s="56"/>
      <c r="AC6" s="56"/>
      <c r="AD6" s="56"/>
      <c r="AE6" s="56"/>
      <c r="AF6" s="56"/>
      <c r="AG6" s="56"/>
      <c r="AH6" s="56"/>
    </row>
    <row r="7" spans="1:59" s="114" customFormat="1" ht="15" customHeight="1">
      <c r="A7" s="177" t="s">
        <v>368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9"/>
      <c r="M7" s="177" t="s">
        <v>2264</v>
      </c>
      <c r="N7" s="178"/>
      <c r="O7" s="178"/>
      <c r="P7" s="178"/>
      <c r="Q7" s="178"/>
      <c r="R7" s="178"/>
      <c r="S7" s="178"/>
      <c r="T7" s="178"/>
      <c r="U7" s="178"/>
      <c r="V7" s="179"/>
      <c r="W7" s="177" t="s">
        <v>5123</v>
      </c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9"/>
      <c r="AI7" s="176" t="s">
        <v>12</v>
      </c>
      <c r="AJ7" s="146" t="s">
        <v>2223</v>
      </c>
      <c r="AK7" s="61"/>
      <c r="AL7" s="61"/>
      <c r="AM7" s="61"/>
      <c r="AN7" s="61"/>
      <c r="AO7" s="61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</row>
    <row r="8" spans="1:59" s="114" customFormat="1" ht="15" customHeight="1">
      <c r="A8" s="146" t="s">
        <v>1576</v>
      </c>
      <c r="B8" s="146" t="s">
        <v>5167</v>
      </c>
      <c r="C8" s="146" t="s">
        <v>5168</v>
      </c>
      <c r="D8" s="146" t="s">
        <v>5124</v>
      </c>
      <c r="E8" s="146" t="s">
        <v>5125</v>
      </c>
      <c r="F8" s="146" t="s">
        <v>2230</v>
      </c>
      <c r="G8" s="146" t="s">
        <v>2152</v>
      </c>
      <c r="H8" s="146" t="s">
        <v>4401</v>
      </c>
      <c r="I8" s="146" t="s">
        <v>5126</v>
      </c>
      <c r="J8" s="146" t="s">
        <v>1512</v>
      </c>
      <c r="K8" s="146" t="s">
        <v>5127</v>
      </c>
      <c r="L8" s="146" t="s">
        <v>5128</v>
      </c>
      <c r="M8" s="177" t="s">
        <v>5129</v>
      </c>
      <c r="N8" s="178"/>
      <c r="O8" s="178"/>
      <c r="P8" s="178"/>
      <c r="Q8" s="179"/>
      <c r="R8" s="177" t="s">
        <v>5130</v>
      </c>
      <c r="S8" s="178"/>
      <c r="T8" s="178"/>
      <c r="U8" s="178"/>
      <c r="V8" s="179"/>
      <c r="W8" s="177" t="s">
        <v>376</v>
      </c>
      <c r="X8" s="178"/>
      <c r="Y8" s="178"/>
      <c r="Z8" s="179"/>
      <c r="AA8" s="177" t="s">
        <v>2018</v>
      </c>
      <c r="AB8" s="178"/>
      <c r="AC8" s="178"/>
      <c r="AD8" s="179"/>
      <c r="AE8" s="146" t="s">
        <v>5131</v>
      </c>
      <c r="AF8" s="146" t="s">
        <v>5132</v>
      </c>
      <c r="AG8" s="146" t="s">
        <v>5133</v>
      </c>
      <c r="AH8" s="146" t="s">
        <v>5134</v>
      </c>
      <c r="AI8" s="176"/>
      <c r="AJ8" s="147"/>
      <c r="AK8" s="62" t="s">
        <v>2857</v>
      </c>
      <c r="AL8" s="63" t="s">
        <v>2285</v>
      </c>
      <c r="AM8" s="62" t="s">
        <v>2295</v>
      </c>
      <c r="AN8" s="63" t="s">
        <v>2296</v>
      </c>
      <c r="AO8" s="62" t="s">
        <v>2297</v>
      </c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</row>
    <row r="9" spans="1:59" s="114" customFormat="1" ht="15" customHeight="1">
      <c r="A9" s="148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15" t="s">
        <v>5162</v>
      </c>
      <c r="N9" s="115" t="s">
        <v>2166</v>
      </c>
      <c r="O9" s="115" t="s">
        <v>4385</v>
      </c>
      <c r="P9" s="115" t="s">
        <v>5135</v>
      </c>
      <c r="Q9" s="115" t="s">
        <v>5136</v>
      </c>
      <c r="R9" s="115" t="s">
        <v>5162</v>
      </c>
      <c r="S9" s="115" t="s">
        <v>2166</v>
      </c>
      <c r="T9" s="115" t="s">
        <v>847</v>
      </c>
      <c r="U9" s="115" t="s">
        <v>999</v>
      </c>
      <c r="V9" s="115" t="s">
        <v>2192</v>
      </c>
      <c r="W9" s="115" t="s">
        <v>5137</v>
      </c>
      <c r="X9" s="115" t="s">
        <v>5138</v>
      </c>
      <c r="Y9" s="115" t="s">
        <v>5139</v>
      </c>
      <c r="Z9" s="115" t="s">
        <v>5140</v>
      </c>
      <c r="AA9" s="115" t="s">
        <v>5141</v>
      </c>
      <c r="AB9" s="115" t="s">
        <v>5142</v>
      </c>
      <c r="AC9" s="115" t="s">
        <v>5143</v>
      </c>
      <c r="AD9" s="115" t="s">
        <v>5144</v>
      </c>
      <c r="AE9" s="148"/>
      <c r="AF9" s="148"/>
      <c r="AG9" s="148"/>
      <c r="AH9" s="148"/>
      <c r="AI9" s="176"/>
      <c r="AJ9" s="148"/>
      <c r="AK9" s="59"/>
      <c r="AL9" s="59"/>
      <c r="AM9" s="59"/>
      <c r="AN9" s="59"/>
      <c r="AO9" s="59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</row>
    <row r="10" spans="1:59" s="56" customFormat="1" ht="15" customHeight="1">
      <c r="A10" s="105" t="s">
        <v>1853</v>
      </c>
      <c r="B10" s="105" t="s">
        <v>5157</v>
      </c>
      <c r="C10" s="105" t="s">
        <v>5169</v>
      </c>
      <c r="D10" s="105" t="s">
        <v>5158</v>
      </c>
      <c r="E10" s="105" t="s">
        <v>5159</v>
      </c>
      <c r="F10" s="105" t="s">
        <v>2231</v>
      </c>
      <c r="G10" s="105" t="s">
        <v>2153</v>
      </c>
      <c r="H10" s="105" t="s">
        <v>4402</v>
      </c>
      <c r="I10" s="105" t="s">
        <v>5145</v>
      </c>
      <c r="J10" s="105" t="s">
        <v>1854</v>
      </c>
      <c r="K10" s="105" t="s">
        <v>5146</v>
      </c>
      <c r="L10" s="105" t="s">
        <v>5160</v>
      </c>
      <c r="M10" s="125" t="s">
        <v>5164</v>
      </c>
      <c r="N10" s="105" t="s">
        <v>5163</v>
      </c>
      <c r="O10" s="105" t="s">
        <v>5147</v>
      </c>
      <c r="P10" s="105" t="s">
        <v>5148</v>
      </c>
      <c r="Q10" s="105" t="s">
        <v>5149</v>
      </c>
      <c r="R10" s="105" t="s">
        <v>5165</v>
      </c>
      <c r="S10" s="105" t="s">
        <v>5166</v>
      </c>
      <c r="T10" s="105" t="s">
        <v>2302</v>
      </c>
      <c r="U10" s="105" t="s">
        <v>5150</v>
      </c>
      <c r="V10" s="105" t="s">
        <v>5161</v>
      </c>
      <c r="W10" s="105" t="s">
        <v>5151</v>
      </c>
      <c r="X10" s="105" t="s">
        <v>5170</v>
      </c>
      <c r="Y10" s="105" t="s">
        <v>5180</v>
      </c>
      <c r="Z10" s="105" t="s">
        <v>5171</v>
      </c>
      <c r="AA10" s="105" t="s">
        <v>5172</v>
      </c>
      <c r="AB10" s="105" t="s">
        <v>5173</v>
      </c>
      <c r="AC10" s="105" t="s">
        <v>5174</v>
      </c>
      <c r="AD10" s="105" t="s">
        <v>5175</v>
      </c>
      <c r="AE10" s="105" t="s">
        <v>5176</v>
      </c>
      <c r="AF10" s="105" t="s">
        <v>5177</v>
      </c>
      <c r="AG10" s="105" t="s">
        <v>5178</v>
      </c>
      <c r="AH10" s="105" t="s">
        <v>5179</v>
      </c>
      <c r="AI10" s="105" t="s">
        <v>571</v>
      </c>
      <c r="AJ10" s="53" t="s">
        <v>2224</v>
      </c>
      <c r="AK10" s="105"/>
      <c r="AL10" s="105"/>
      <c r="AM10" s="105"/>
      <c r="AN10" s="105"/>
      <c r="AO10" s="10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123"/>
      <c r="BB10" s="55"/>
      <c r="BC10" s="55"/>
      <c r="BD10" s="55"/>
    </row>
    <row r="11" spans="1:59">
      <c r="AJ11" s="124"/>
    </row>
  </sheetData>
  <protectedRanges>
    <protectedRange sqref="AJ7:AJ10 AD10:AH10" name="Range1"/>
  </protectedRanges>
  <mergeCells count="33">
    <mergeCell ref="C8:C9"/>
    <mergeCell ref="AF8:AF9"/>
    <mergeCell ref="AG8:AG9"/>
    <mergeCell ref="AH8:AH9"/>
    <mergeCell ref="L8:L9"/>
    <mergeCell ref="M8:Q8"/>
    <mergeCell ref="R8:V8"/>
    <mergeCell ref="W8:Z8"/>
    <mergeCell ref="AA8:AD8"/>
    <mergeCell ref="AE8:AE9"/>
    <mergeCell ref="F8:F9"/>
    <mergeCell ref="G8:G9"/>
    <mergeCell ref="H8:H9"/>
    <mergeCell ref="I8:I9"/>
    <mergeCell ref="J8:J9"/>
    <mergeCell ref="K8:K9"/>
    <mergeCell ref="A5:Q5"/>
    <mergeCell ref="A7:L7"/>
    <mergeCell ref="M7:V7"/>
    <mergeCell ref="W7:AH7"/>
    <mergeCell ref="AI7:AI9"/>
    <mergeCell ref="AJ7:AJ9"/>
    <mergeCell ref="A8:A9"/>
    <mergeCell ref="B8:B9"/>
    <mergeCell ref="D8:D9"/>
    <mergeCell ref="E8:E9"/>
    <mergeCell ref="P4:S4"/>
    <mergeCell ref="T1:T4"/>
    <mergeCell ref="P3:S3"/>
    <mergeCell ref="C1:S1"/>
    <mergeCell ref="C2:S2"/>
    <mergeCell ref="C3:N3"/>
    <mergeCell ref="C4:N4"/>
  </mergeCells>
  <phoneticPr fontId="21" type="noConversion"/>
  <dataValidations count="1">
    <dataValidation type="list" allowBlank="1" showInputMessage="1" showErrorMessage="1" sqref="BE10:IV10">
      <formula1>BB11:BB300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304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1" sqref="A11:R294"/>
    </sheetView>
  </sheetViews>
  <sheetFormatPr defaultColWidth="9.1796875" defaultRowHeight="12.5"/>
  <cols>
    <col min="1" max="1" width="20" style="57" customWidth="1"/>
    <col min="2" max="2" width="12.54296875" style="57" customWidth="1"/>
    <col min="3" max="3" width="11.81640625" style="57" customWidth="1"/>
    <col min="4" max="5" width="13.54296875" style="57" customWidth="1"/>
    <col min="6" max="6" width="28.26953125" style="57" customWidth="1"/>
    <col min="7" max="7" width="6.26953125" style="57" customWidth="1"/>
    <col min="8" max="8" width="11.7265625" style="57" customWidth="1"/>
    <col min="9" max="14" width="9.54296875" style="57" customWidth="1"/>
    <col min="15" max="15" width="11.54296875" style="57" customWidth="1"/>
    <col min="16" max="16" width="10.81640625" style="57" customWidth="1"/>
    <col min="17" max="17" width="24.7265625" style="57" customWidth="1"/>
    <col min="18" max="18" width="30.54296875" style="57" customWidth="1"/>
    <col min="19" max="19" width="12" style="57" bestFit="1" customWidth="1"/>
    <col min="20" max="20" width="12.1796875" style="57" bestFit="1" customWidth="1"/>
    <col min="21" max="21" width="6.1796875" style="57" bestFit="1" customWidth="1"/>
    <col min="22" max="22" width="9.81640625" style="57" bestFit="1" customWidth="1"/>
    <col min="23" max="23" width="13.1796875" style="57" bestFit="1" customWidth="1"/>
    <col min="24" max="29" width="7.81640625" style="57" customWidth="1"/>
    <col min="30" max="32" width="9.7265625" style="57" customWidth="1"/>
    <col min="33" max="33" width="12.26953125" style="57" customWidth="1"/>
    <col min="34" max="34" width="10.7265625" style="57" customWidth="1"/>
    <col min="35" max="37" width="9.1796875" style="57"/>
    <col min="38" max="38" width="11.453125" style="57" customWidth="1"/>
    <col min="39" max="39" width="10.453125" style="57" customWidth="1"/>
    <col min="40" max="16384" width="9.1796875" style="57"/>
  </cols>
  <sheetData>
    <row r="1" spans="1:41" ht="14">
      <c r="A1" s="83"/>
      <c r="B1" s="84" t="s">
        <v>1507</v>
      </c>
      <c r="C1" s="137">
        <f>_FormulaHelpers_!B43</f>
        <v>0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9"/>
      <c r="Q1" s="131"/>
      <c r="R1" s="85"/>
      <c r="S1" s="55"/>
      <c r="T1" s="55"/>
      <c r="U1" s="85"/>
      <c r="V1" s="85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</row>
    <row r="2" spans="1:41" ht="14">
      <c r="A2" s="87"/>
      <c r="B2" s="84" t="s">
        <v>1508</v>
      </c>
      <c r="C2" s="140">
        <f>_FormulaHelpers_!B44</f>
        <v>0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31"/>
      <c r="R2" s="85"/>
      <c r="S2" s="55"/>
      <c r="T2" s="55"/>
      <c r="U2" s="85"/>
      <c r="V2" s="85"/>
    </row>
    <row r="3" spans="1:41" ht="14">
      <c r="A3" s="87"/>
      <c r="B3" s="84" t="s">
        <v>1794</v>
      </c>
      <c r="C3" s="140">
        <f>_FormulaHelpers_!B45</f>
        <v>0</v>
      </c>
      <c r="D3" s="141"/>
      <c r="E3" s="141"/>
      <c r="F3" s="141"/>
      <c r="G3" s="141"/>
      <c r="H3" s="141"/>
      <c r="I3" s="141"/>
      <c r="J3" s="141"/>
      <c r="K3" s="141"/>
      <c r="L3" s="141"/>
      <c r="M3" s="142"/>
      <c r="N3" s="84" t="s">
        <v>1510</v>
      </c>
      <c r="O3" s="132" t="str">
        <f>_FormulaHelpers_!B48</f>
        <v>Base</v>
      </c>
      <c r="P3" s="133"/>
      <c r="Q3" s="131"/>
      <c r="R3" s="85"/>
      <c r="S3" s="55"/>
      <c r="T3" s="55"/>
      <c r="U3" s="85"/>
      <c r="V3" s="85"/>
    </row>
    <row r="4" spans="1:41" ht="14">
      <c r="A4" s="88"/>
      <c r="B4" s="84" t="s">
        <v>1509</v>
      </c>
      <c r="C4" s="143">
        <f>_FormulaHelpers_!B46</f>
        <v>45703</v>
      </c>
      <c r="D4" s="144"/>
      <c r="E4" s="144"/>
      <c r="F4" s="144"/>
      <c r="G4" s="144"/>
      <c r="H4" s="144"/>
      <c r="I4" s="144"/>
      <c r="J4" s="144"/>
      <c r="K4" s="144"/>
      <c r="L4" s="144"/>
      <c r="M4" s="145"/>
      <c r="N4" s="84" t="s">
        <v>1795</v>
      </c>
      <c r="O4" s="132" t="str">
        <f>_FormulaHelpers_!B52</f>
        <v>Normal</v>
      </c>
      <c r="P4" s="133"/>
      <c r="Q4" s="131"/>
      <c r="R4" s="85"/>
      <c r="S4" s="55"/>
      <c r="T4" s="55"/>
      <c r="U4" s="85"/>
      <c r="V4" s="85"/>
    </row>
    <row r="5" spans="1:41" s="56" customFormat="1" ht="18.75" customHeight="1">
      <c r="A5" s="134" t="s">
        <v>13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</row>
    <row r="7" spans="1:41" s="114" customFormat="1" ht="15" customHeight="1">
      <c r="A7" s="176" t="s">
        <v>1922</v>
      </c>
      <c r="B7" s="176" t="s">
        <v>2247</v>
      </c>
      <c r="C7" s="176" t="s">
        <v>2017</v>
      </c>
      <c r="D7" s="176" t="s">
        <v>2230</v>
      </c>
      <c r="E7" s="146" t="s">
        <v>2152</v>
      </c>
      <c r="F7" s="176" t="s">
        <v>1512</v>
      </c>
      <c r="G7" s="176" t="s">
        <v>1602</v>
      </c>
      <c r="H7" s="146" t="s">
        <v>4697</v>
      </c>
      <c r="I7" s="176" t="s">
        <v>0</v>
      </c>
      <c r="J7" s="176" t="s">
        <v>2</v>
      </c>
      <c r="K7" s="176" t="s">
        <v>6</v>
      </c>
      <c r="L7" s="176" t="s">
        <v>4</v>
      </c>
      <c r="M7" s="176" t="s">
        <v>8</v>
      </c>
      <c r="N7" s="176" t="s">
        <v>9</v>
      </c>
      <c r="O7" s="176" t="s">
        <v>10</v>
      </c>
      <c r="P7" s="176" t="s">
        <v>11</v>
      </c>
      <c r="Q7" s="176" t="s">
        <v>12</v>
      </c>
      <c r="R7" s="146" t="s">
        <v>2223</v>
      </c>
      <c r="S7" s="61"/>
      <c r="T7" s="61"/>
      <c r="U7" s="61"/>
      <c r="V7" s="61"/>
      <c r="W7" s="61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</row>
    <row r="8" spans="1:41" s="114" customFormat="1" ht="15" customHeight="1">
      <c r="A8" s="176"/>
      <c r="B8" s="176"/>
      <c r="C8" s="176"/>
      <c r="D8" s="176"/>
      <c r="E8" s="147"/>
      <c r="F8" s="176"/>
      <c r="G8" s="176"/>
      <c r="H8" s="147"/>
      <c r="I8" s="176"/>
      <c r="J8" s="176"/>
      <c r="K8" s="176"/>
      <c r="L8" s="176"/>
      <c r="M8" s="176"/>
      <c r="N8" s="176"/>
      <c r="O8" s="176"/>
      <c r="P8" s="176"/>
      <c r="Q8" s="176"/>
      <c r="R8" s="147"/>
      <c r="S8" s="62" t="s">
        <v>2857</v>
      </c>
      <c r="T8" s="63" t="s">
        <v>2285</v>
      </c>
      <c r="U8" s="62" t="s">
        <v>2295</v>
      </c>
      <c r="V8" s="63" t="s">
        <v>2296</v>
      </c>
      <c r="W8" s="62" t="s">
        <v>2297</v>
      </c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</row>
    <row r="9" spans="1:41" s="114" customFormat="1" ht="15" customHeight="1">
      <c r="A9" s="176"/>
      <c r="B9" s="176"/>
      <c r="C9" s="176"/>
      <c r="D9" s="176"/>
      <c r="E9" s="148"/>
      <c r="F9" s="176"/>
      <c r="G9" s="176"/>
      <c r="H9" s="148"/>
      <c r="I9" s="176"/>
      <c r="J9" s="176"/>
      <c r="K9" s="176"/>
      <c r="L9" s="176"/>
      <c r="M9" s="176"/>
      <c r="N9" s="176"/>
      <c r="O9" s="176"/>
      <c r="P9" s="176"/>
      <c r="Q9" s="176"/>
      <c r="R9" s="148"/>
      <c r="S9" s="59"/>
      <c r="T9" s="59"/>
      <c r="U9" s="59"/>
      <c r="V9" s="59"/>
      <c r="W9" s="59"/>
      <c r="X9" s="122" t="s">
        <v>5186</v>
      </c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</row>
    <row r="10" spans="1:41" s="56" customFormat="1" ht="15" hidden="1" customHeight="1">
      <c r="A10" s="105" t="s">
        <v>1853</v>
      </c>
      <c r="B10" s="127" t="s">
        <v>2246</v>
      </c>
      <c r="C10" s="105" t="s">
        <v>2237</v>
      </c>
      <c r="D10" s="105" t="s">
        <v>2231</v>
      </c>
      <c r="E10" s="105" t="s">
        <v>2153</v>
      </c>
      <c r="F10" s="105" t="s">
        <v>1854</v>
      </c>
      <c r="G10" s="105" t="s">
        <v>4695</v>
      </c>
      <c r="H10" s="242" t="s">
        <v>4701</v>
      </c>
      <c r="I10" s="105" t="s">
        <v>1</v>
      </c>
      <c r="J10" s="105" t="s">
        <v>3</v>
      </c>
      <c r="K10" s="105" t="s">
        <v>7</v>
      </c>
      <c r="L10" s="105" t="s">
        <v>5</v>
      </c>
      <c r="M10" s="243" t="s">
        <v>2233</v>
      </c>
      <c r="N10" s="242" t="s">
        <v>2234</v>
      </c>
      <c r="O10" s="242" t="s">
        <v>2235</v>
      </c>
      <c r="P10" s="242" t="s">
        <v>2236</v>
      </c>
      <c r="Q10" s="105" t="s">
        <v>571</v>
      </c>
      <c r="R10" s="244" t="s">
        <v>2224</v>
      </c>
      <c r="S10" s="105"/>
      <c r="T10" s="105"/>
      <c r="U10" s="105"/>
      <c r="V10" s="105"/>
      <c r="W10" s="105"/>
      <c r="X10" s="245" t="s">
        <v>5187</v>
      </c>
      <c r="Y10" s="24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246"/>
      <c r="AM10" s="55"/>
      <c r="AN10" s="55"/>
      <c r="AO10" s="55"/>
    </row>
    <row r="11" spans="1:41">
      <c r="A11" s="105" t="s">
        <v>5201</v>
      </c>
      <c r="B11" s="127">
        <f>ROUND(0.400000006, 3)</f>
        <v>0.4</v>
      </c>
      <c r="C11" s="105" t="str">
        <f>FIXED(100, 1)</f>
        <v>100.0</v>
      </c>
      <c r="D11" s="105" t="str">
        <f>IF(TRUE = TRUE, "Yes", "No")</f>
        <v>Yes</v>
      </c>
      <c r="E11" s="105" t="s">
        <v>5202</v>
      </c>
      <c r="F11" s="105"/>
      <c r="G11" s="105" t="str">
        <f>CHOOSE((0+1), "3", "1", "1")</f>
        <v>3</v>
      </c>
      <c r="H11" s="242" t="str">
        <f>CHOOSE((0+1), "--", "2", "3")</f>
        <v>--</v>
      </c>
      <c r="I11" s="105">
        <v>80</v>
      </c>
      <c r="J11" s="105">
        <v>125</v>
      </c>
      <c r="K11" s="105">
        <v>0</v>
      </c>
      <c r="L11" s="105">
        <v>0</v>
      </c>
      <c r="M11" s="243">
        <f>ROUND(0, 1)</f>
        <v>0</v>
      </c>
      <c r="N11" s="242">
        <f>ROUND(0, 1)</f>
        <v>0</v>
      </c>
      <c r="O11" s="242">
        <f>ROUND(0, 1)</f>
        <v>0</v>
      </c>
      <c r="P11" s="242">
        <f>ROUND(0, 1)</f>
        <v>0</v>
      </c>
      <c r="Q11" s="105"/>
      <c r="R11" s="53" t="s">
        <v>5203</v>
      </c>
    </row>
    <row r="12" spans="1:41">
      <c r="A12" s="105" t="s">
        <v>5204</v>
      </c>
      <c r="B12" s="127">
        <f>ROUND(0.400000006, 3)</f>
        <v>0.4</v>
      </c>
      <c r="C12" s="105" t="str">
        <f>FIXED(100, 1)</f>
        <v>100.0</v>
      </c>
      <c r="D12" s="105" t="str">
        <f>IF(TRUE = TRUE, "Yes", "No")</f>
        <v>Yes</v>
      </c>
      <c r="E12" s="105" t="s">
        <v>5202</v>
      </c>
      <c r="F12" s="105"/>
      <c r="G12" s="105" t="str">
        <f>CHOOSE((0+1), "3", "1", "1")</f>
        <v>3</v>
      </c>
      <c r="H12" s="242" t="str">
        <f>CHOOSE((0+1), "--", "2", "3")</f>
        <v>--</v>
      </c>
      <c r="I12" s="105">
        <v>80</v>
      </c>
      <c r="J12" s="105">
        <v>125</v>
      </c>
      <c r="K12" s="105">
        <v>0</v>
      </c>
      <c r="L12" s="105">
        <v>0</v>
      </c>
      <c r="M12" s="243">
        <f>ROUND(0, 1)</f>
        <v>0</v>
      </c>
      <c r="N12" s="242">
        <f>ROUND(0, 1)</f>
        <v>0</v>
      </c>
      <c r="O12" s="242">
        <f>ROUND(0, 1)</f>
        <v>0</v>
      </c>
      <c r="P12" s="242">
        <f>ROUND(0, 1)</f>
        <v>0</v>
      </c>
      <c r="Q12" s="105"/>
      <c r="R12" s="53" t="s">
        <v>5205</v>
      </c>
    </row>
    <row r="13" spans="1:41">
      <c r="A13" s="105" t="s">
        <v>5206</v>
      </c>
      <c r="B13" s="127">
        <f>ROUND(0.400000006, 3)</f>
        <v>0.4</v>
      </c>
      <c r="C13" s="105" t="str">
        <f>FIXED(100, 1)</f>
        <v>100.0</v>
      </c>
      <c r="D13" s="105" t="str">
        <f>IF(TRUE = TRUE, "Yes", "No")</f>
        <v>Yes</v>
      </c>
      <c r="E13" s="105" t="s">
        <v>5202</v>
      </c>
      <c r="F13" s="105"/>
      <c r="G13" s="105" t="str">
        <f>CHOOSE((0+1), "3", "1", "1")</f>
        <v>3</v>
      </c>
      <c r="H13" s="242" t="str">
        <f>CHOOSE((0+1), "--", "2", "3")</f>
        <v>--</v>
      </c>
      <c r="I13" s="105">
        <v>80</v>
      </c>
      <c r="J13" s="105">
        <v>125</v>
      </c>
      <c r="K13" s="105">
        <v>0</v>
      </c>
      <c r="L13" s="105">
        <v>0</v>
      </c>
      <c r="M13" s="243">
        <f>ROUND(0, 1)</f>
        <v>0</v>
      </c>
      <c r="N13" s="242">
        <f>ROUND(0, 1)</f>
        <v>0</v>
      </c>
      <c r="O13" s="242">
        <f>ROUND(0, 1)</f>
        <v>0</v>
      </c>
      <c r="P13" s="242">
        <f>ROUND(0, 1)</f>
        <v>0</v>
      </c>
      <c r="Q13" s="105"/>
      <c r="R13" s="53" t="s">
        <v>5207</v>
      </c>
    </row>
    <row r="14" spans="1:41">
      <c r="A14" s="105" t="s">
        <v>5208</v>
      </c>
      <c r="B14" s="127">
        <f>ROUND(0.400000006, 3)</f>
        <v>0.4</v>
      </c>
      <c r="C14" s="105" t="str">
        <f>FIXED(100, 1)</f>
        <v>100.0</v>
      </c>
      <c r="D14" s="105" t="str">
        <f>IF(TRUE = TRUE, "Yes", "No")</f>
        <v>Yes</v>
      </c>
      <c r="E14" s="105" t="s">
        <v>5202</v>
      </c>
      <c r="F14" s="105"/>
      <c r="G14" s="105" t="str">
        <f>CHOOSE((0+1), "3", "1", "1")</f>
        <v>3</v>
      </c>
      <c r="H14" s="242" t="str">
        <f>CHOOSE((0+1), "--", "2", "3")</f>
        <v>--</v>
      </c>
      <c r="I14" s="105">
        <v>80</v>
      </c>
      <c r="J14" s="105">
        <v>125</v>
      </c>
      <c r="K14" s="105">
        <v>0</v>
      </c>
      <c r="L14" s="105">
        <v>0</v>
      </c>
      <c r="M14" s="243">
        <f>ROUND(0, 1)</f>
        <v>0</v>
      </c>
      <c r="N14" s="242">
        <f>ROUND(0, 1)</f>
        <v>0</v>
      </c>
      <c r="O14" s="242">
        <f>ROUND(0, 1)</f>
        <v>0</v>
      </c>
      <c r="P14" s="242">
        <f>ROUND(0, 1)</f>
        <v>0</v>
      </c>
      <c r="Q14" s="105"/>
      <c r="R14" s="53" t="s">
        <v>5209</v>
      </c>
    </row>
    <row r="15" spans="1:41">
      <c r="A15" s="105" t="s">
        <v>5210</v>
      </c>
      <c r="B15" s="127">
        <f>ROUND(0.400000006, 3)</f>
        <v>0.4</v>
      </c>
      <c r="C15" s="105" t="str">
        <f>FIXED(100, 1)</f>
        <v>100.0</v>
      </c>
      <c r="D15" s="105" t="str">
        <f>IF(TRUE = TRUE, "Yes", "No")</f>
        <v>Yes</v>
      </c>
      <c r="E15" s="105" t="s">
        <v>5202</v>
      </c>
      <c r="F15" s="105"/>
      <c r="G15" s="105" t="str">
        <f>CHOOSE((0+1), "3", "1", "1")</f>
        <v>3</v>
      </c>
      <c r="H15" s="242" t="str">
        <f>CHOOSE((0+1), "--", "2", "3")</f>
        <v>--</v>
      </c>
      <c r="I15" s="105">
        <v>80</v>
      </c>
      <c r="J15" s="105">
        <v>125</v>
      </c>
      <c r="K15" s="105">
        <v>0</v>
      </c>
      <c r="L15" s="105">
        <v>0</v>
      </c>
      <c r="M15" s="243">
        <f>ROUND(0, 1)</f>
        <v>0</v>
      </c>
      <c r="N15" s="242">
        <f>ROUND(0, 1)</f>
        <v>0</v>
      </c>
      <c r="O15" s="242">
        <f>ROUND(0, 1)</f>
        <v>0</v>
      </c>
      <c r="P15" s="242">
        <f>ROUND(0, 1)</f>
        <v>0</v>
      </c>
      <c r="Q15" s="105"/>
      <c r="R15" s="53" t="s">
        <v>5211</v>
      </c>
    </row>
    <row r="16" spans="1:41">
      <c r="A16" s="105" t="s">
        <v>5212</v>
      </c>
      <c r="B16" s="127">
        <f>ROUND(0.400000006, 3)</f>
        <v>0.4</v>
      </c>
      <c r="C16" s="105" t="str">
        <f>FIXED(100, 1)</f>
        <v>100.0</v>
      </c>
      <c r="D16" s="105" t="str">
        <f>IF(TRUE = TRUE, "Yes", "No")</f>
        <v>Yes</v>
      </c>
      <c r="E16" s="105" t="s">
        <v>5202</v>
      </c>
      <c r="F16" s="105"/>
      <c r="G16" s="105" t="str">
        <f>CHOOSE((0+1), "3", "1", "1")</f>
        <v>3</v>
      </c>
      <c r="H16" s="242" t="str">
        <f>CHOOSE((0+1), "--", "2", "3")</f>
        <v>--</v>
      </c>
      <c r="I16" s="105">
        <v>80</v>
      </c>
      <c r="J16" s="105">
        <v>125</v>
      </c>
      <c r="K16" s="105">
        <v>0</v>
      </c>
      <c r="L16" s="105">
        <v>0</v>
      </c>
      <c r="M16" s="243">
        <f>ROUND(0, 1)</f>
        <v>0</v>
      </c>
      <c r="N16" s="242">
        <f>ROUND(0, 1)</f>
        <v>0</v>
      </c>
      <c r="O16" s="242">
        <f>ROUND(0, 1)</f>
        <v>0</v>
      </c>
      <c r="P16" s="242">
        <f>ROUND(0, 1)</f>
        <v>0</v>
      </c>
      <c r="Q16" s="105"/>
      <c r="R16" s="53" t="s">
        <v>5213</v>
      </c>
    </row>
    <row r="17" spans="1:18">
      <c r="A17" s="105" t="s">
        <v>5214</v>
      </c>
      <c r="B17" s="127">
        <f>ROUND(0.400000006, 3)</f>
        <v>0.4</v>
      </c>
      <c r="C17" s="105" t="str">
        <f>FIXED(100, 1)</f>
        <v>100.0</v>
      </c>
      <c r="D17" s="105" t="str">
        <f>IF(TRUE = TRUE, "Yes", "No")</f>
        <v>Yes</v>
      </c>
      <c r="E17" s="105" t="s">
        <v>5202</v>
      </c>
      <c r="F17" s="105"/>
      <c r="G17" s="105" t="str">
        <f>CHOOSE((0+1), "3", "1", "1")</f>
        <v>3</v>
      </c>
      <c r="H17" s="242" t="str">
        <f>CHOOSE((0+1), "--", "2", "3")</f>
        <v>--</v>
      </c>
      <c r="I17" s="105">
        <v>80</v>
      </c>
      <c r="J17" s="105">
        <v>125</v>
      </c>
      <c r="K17" s="105">
        <v>0</v>
      </c>
      <c r="L17" s="105">
        <v>0</v>
      </c>
      <c r="M17" s="243">
        <f>ROUND(0, 1)</f>
        <v>0</v>
      </c>
      <c r="N17" s="242">
        <f>ROUND(0, 1)</f>
        <v>0</v>
      </c>
      <c r="O17" s="242">
        <f>ROUND(0, 1)</f>
        <v>0</v>
      </c>
      <c r="P17" s="242">
        <f>ROUND(0, 1)</f>
        <v>0</v>
      </c>
      <c r="Q17" s="105"/>
      <c r="R17" s="53" t="s">
        <v>5215</v>
      </c>
    </row>
    <row r="18" spans="1:18">
      <c r="A18" s="105" t="s">
        <v>5216</v>
      </c>
      <c r="B18" s="127">
        <f>ROUND(10, 3)</f>
        <v>10</v>
      </c>
      <c r="C18" s="105" t="str">
        <f>FIXED(100, 1)</f>
        <v>100.0</v>
      </c>
      <c r="D18" s="105" t="str">
        <f>IF(TRUE = TRUE, "Yes", "No")</f>
        <v>Yes</v>
      </c>
      <c r="E18" s="105" t="s">
        <v>5202</v>
      </c>
      <c r="F18" s="105"/>
      <c r="G18" s="105" t="str">
        <f>CHOOSE((0+1), "3", "1", "1")</f>
        <v>3</v>
      </c>
      <c r="H18" s="242" t="str">
        <f>CHOOSE((0+1), "--", "2", "3")</f>
        <v>--</v>
      </c>
      <c r="I18" s="105">
        <v>80</v>
      </c>
      <c r="J18" s="105">
        <v>125</v>
      </c>
      <c r="K18" s="105">
        <v>0</v>
      </c>
      <c r="L18" s="105">
        <v>0</v>
      </c>
      <c r="M18" s="243">
        <f>ROUND(0, 1)</f>
        <v>0</v>
      </c>
      <c r="N18" s="242">
        <f>ROUND(0, 1)</f>
        <v>0</v>
      </c>
      <c r="O18" s="242">
        <f>ROUND(0, 1)</f>
        <v>0</v>
      </c>
      <c r="P18" s="242">
        <f>ROUND(0, 1)</f>
        <v>0</v>
      </c>
      <c r="Q18" s="105"/>
      <c r="R18" s="53" t="s">
        <v>5217</v>
      </c>
    </row>
    <row r="19" spans="1:18">
      <c r="A19" s="105" t="s">
        <v>5218</v>
      </c>
      <c r="B19" s="127">
        <f>ROUND(10, 3)</f>
        <v>10</v>
      </c>
      <c r="C19" s="105" t="str">
        <f>FIXED(100, 1)</f>
        <v>100.0</v>
      </c>
      <c r="D19" s="105" t="str">
        <f>IF(TRUE = TRUE, "Yes", "No")</f>
        <v>Yes</v>
      </c>
      <c r="E19" s="105" t="s">
        <v>5202</v>
      </c>
      <c r="F19" s="105"/>
      <c r="G19" s="105" t="str">
        <f>CHOOSE((0+1), "3", "1", "1")</f>
        <v>3</v>
      </c>
      <c r="H19" s="242" t="str">
        <f>CHOOSE((0+1), "--", "2", "3")</f>
        <v>--</v>
      </c>
      <c r="I19" s="105">
        <v>80</v>
      </c>
      <c r="J19" s="105">
        <v>125</v>
      </c>
      <c r="K19" s="105">
        <v>0</v>
      </c>
      <c r="L19" s="105">
        <v>0</v>
      </c>
      <c r="M19" s="243">
        <f>ROUND(0, 1)</f>
        <v>0</v>
      </c>
      <c r="N19" s="242">
        <f>ROUND(0, 1)</f>
        <v>0</v>
      </c>
      <c r="O19" s="242">
        <f>ROUND(0, 1)</f>
        <v>0</v>
      </c>
      <c r="P19" s="242">
        <f>ROUND(0, 1)</f>
        <v>0</v>
      </c>
      <c r="Q19" s="105"/>
      <c r="R19" s="53" t="s">
        <v>5219</v>
      </c>
    </row>
    <row r="20" spans="1:18">
      <c r="A20" s="105" t="s">
        <v>5220</v>
      </c>
      <c r="B20" s="127">
        <f>ROUND(10, 3)</f>
        <v>10</v>
      </c>
      <c r="C20" s="105" t="str">
        <f>FIXED(100, 1)</f>
        <v>100.0</v>
      </c>
      <c r="D20" s="105" t="str">
        <f>IF(TRUE = TRUE, "Yes", "No")</f>
        <v>Yes</v>
      </c>
      <c r="E20" s="105" t="s">
        <v>5202</v>
      </c>
      <c r="F20" s="105"/>
      <c r="G20" s="105" t="str">
        <f>CHOOSE((0+1), "3", "1", "1")</f>
        <v>3</v>
      </c>
      <c r="H20" s="242" t="str">
        <f>CHOOSE((0+1), "--", "2", "3")</f>
        <v>--</v>
      </c>
      <c r="I20" s="105">
        <v>80</v>
      </c>
      <c r="J20" s="105">
        <v>125</v>
      </c>
      <c r="K20" s="105">
        <v>0</v>
      </c>
      <c r="L20" s="105">
        <v>0</v>
      </c>
      <c r="M20" s="243">
        <f>ROUND(0, 1)</f>
        <v>0</v>
      </c>
      <c r="N20" s="242">
        <f>ROUND(0, 1)</f>
        <v>0</v>
      </c>
      <c r="O20" s="242">
        <f>ROUND(0, 1)</f>
        <v>0</v>
      </c>
      <c r="P20" s="242">
        <f>ROUND(0, 1)</f>
        <v>0</v>
      </c>
      <c r="Q20" s="105"/>
      <c r="R20" s="53" t="s">
        <v>5221</v>
      </c>
    </row>
    <row r="21" spans="1:18">
      <c r="A21" s="105" t="s">
        <v>5222</v>
      </c>
      <c r="B21" s="127">
        <f>ROUND(10, 3)</f>
        <v>10</v>
      </c>
      <c r="C21" s="105" t="str">
        <f>FIXED(100, 1)</f>
        <v>100.0</v>
      </c>
      <c r="D21" s="105" t="str">
        <f>IF(TRUE = TRUE, "Yes", "No")</f>
        <v>Yes</v>
      </c>
      <c r="E21" s="105" t="s">
        <v>5202</v>
      </c>
      <c r="F21" s="105"/>
      <c r="G21" s="105" t="str">
        <f>CHOOSE((0+1), "3", "1", "1")</f>
        <v>3</v>
      </c>
      <c r="H21" s="242" t="str">
        <f>CHOOSE((0+1), "--", "2", "3")</f>
        <v>--</v>
      </c>
      <c r="I21" s="105">
        <v>80</v>
      </c>
      <c r="J21" s="105">
        <v>125</v>
      </c>
      <c r="K21" s="105">
        <v>0</v>
      </c>
      <c r="L21" s="105">
        <v>0</v>
      </c>
      <c r="M21" s="243">
        <f>ROUND(0, 1)</f>
        <v>0</v>
      </c>
      <c r="N21" s="242">
        <f>ROUND(0, 1)</f>
        <v>0</v>
      </c>
      <c r="O21" s="242">
        <f>ROUND(0, 1)</f>
        <v>0</v>
      </c>
      <c r="P21" s="242">
        <f>ROUND(0, 1)</f>
        <v>0</v>
      </c>
      <c r="Q21" s="105"/>
      <c r="R21" s="53" t="s">
        <v>5223</v>
      </c>
    </row>
    <row r="22" spans="1:18">
      <c r="A22" s="105" t="s">
        <v>5224</v>
      </c>
      <c r="B22" s="127">
        <f>ROUND(10, 3)</f>
        <v>10</v>
      </c>
      <c r="C22" s="105" t="str">
        <f>FIXED(100, 1)</f>
        <v>100.0</v>
      </c>
      <c r="D22" s="105" t="str">
        <f>IF(TRUE = TRUE, "Yes", "No")</f>
        <v>Yes</v>
      </c>
      <c r="E22" s="105" t="s">
        <v>5202</v>
      </c>
      <c r="F22" s="105"/>
      <c r="G22" s="105" t="str">
        <f>CHOOSE((0+1), "3", "1", "1")</f>
        <v>3</v>
      </c>
      <c r="H22" s="242" t="str">
        <f>CHOOSE((0+1), "--", "2", "3")</f>
        <v>--</v>
      </c>
      <c r="I22" s="105">
        <v>80</v>
      </c>
      <c r="J22" s="105">
        <v>125</v>
      </c>
      <c r="K22" s="105">
        <v>0</v>
      </c>
      <c r="L22" s="105">
        <v>0</v>
      </c>
      <c r="M22" s="243">
        <f>ROUND(0, 1)</f>
        <v>0</v>
      </c>
      <c r="N22" s="242">
        <f>ROUND(0, 1)</f>
        <v>0</v>
      </c>
      <c r="O22" s="242">
        <f>ROUND(0, 1)</f>
        <v>0</v>
      </c>
      <c r="P22" s="242">
        <f>ROUND(0, 1)</f>
        <v>0</v>
      </c>
      <c r="Q22" s="105"/>
      <c r="R22" s="53" t="s">
        <v>5225</v>
      </c>
    </row>
    <row r="23" spans="1:18">
      <c r="A23" s="105" t="s">
        <v>5226</v>
      </c>
      <c r="B23" s="127">
        <f>ROUND(10, 3)</f>
        <v>10</v>
      </c>
      <c r="C23" s="105" t="str">
        <f>FIXED(100, 1)</f>
        <v>100.0</v>
      </c>
      <c r="D23" s="105" t="str">
        <f>IF(TRUE = TRUE, "Yes", "No")</f>
        <v>Yes</v>
      </c>
      <c r="E23" s="105" t="s">
        <v>5202</v>
      </c>
      <c r="F23" s="105"/>
      <c r="G23" s="105" t="str">
        <f>CHOOSE((0+1), "3", "1", "1")</f>
        <v>3</v>
      </c>
      <c r="H23" s="242" t="str">
        <f>CHOOSE((0+1), "--", "2", "3")</f>
        <v>--</v>
      </c>
      <c r="I23" s="105">
        <v>80</v>
      </c>
      <c r="J23" s="105">
        <v>125</v>
      </c>
      <c r="K23" s="105">
        <v>0</v>
      </c>
      <c r="L23" s="105">
        <v>0</v>
      </c>
      <c r="M23" s="243">
        <f>ROUND(0, 1)</f>
        <v>0</v>
      </c>
      <c r="N23" s="242">
        <f>ROUND(0, 1)</f>
        <v>0</v>
      </c>
      <c r="O23" s="242">
        <f>ROUND(0, 1)</f>
        <v>0</v>
      </c>
      <c r="P23" s="242">
        <f>ROUND(0, 1)</f>
        <v>0</v>
      </c>
      <c r="Q23" s="105"/>
      <c r="R23" s="53" t="s">
        <v>5227</v>
      </c>
    </row>
    <row r="24" spans="1:18">
      <c r="A24" s="105" t="s">
        <v>5228</v>
      </c>
      <c r="B24" s="127">
        <f>ROUND(10, 3)</f>
        <v>10</v>
      </c>
      <c r="C24" s="105" t="str">
        <f>FIXED(100, 1)</f>
        <v>100.0</v>
      </c>
      <c r="D24" s="105" t="str">
        <f>IF(TRUE = TRUE, "Yes", "No")</f>
        <v>Yes</v>
      </c>
      <c r="E24" s="105" t="s">
        <v>5202</v>
      </c>
      <c r="F24" s="105"/>
      <c r="G24" s="105" t="str">
        <f>CHOOSE((0+1), "3", "1", "1")</f>
        <v>3</v>
      </c>
      <c r="H24" s="242" t="str">
        <f>CHOOSE((0+1), "--", "2", "3")</f>
        <v>--</v>
      </c>
      <c r="I24" s="105">
        <v>80</v>
      </c>
      <c r="J24" s="105">
        <v>125</v>
      </c>
      <c r="K24" s="105">
        <v>0</v>
      </c>
      <c r="L24" s="105">
        <v>0</v>
      </c>
      <c r="M24" s="243">
        <f>ROUND(0, 1)</f>
        <v>0</v>
      </c>
      <c r="N24" s="242">
        <f>ROUND(0, 1)</f>
        <v>0</v>
      </c>
      <c r="O24" s="242">
        <f>ROUND(0, 1)</f>
        <v>0</v>
      </c>
      <c r="P24" s="242">
        <f>ROUND(0, 1)</f>
        <v>0</v>
      </c>
      <c r="Q24" s="105"/>
      <c r="R24" s="53" t="s">
        <v>5229</v>
      </c>
    </row>
    <row r="25" spans="1:18">
      <c r="A25" s="105" t="s">
        <v>5230</v>
      </c>
      <c r="B25" s="127">
        <f>ROUND(10, 3)</f>
        <v>10</v>
      </c>
      <c r="C25" s="105" t="str">
        <f>FIXED(100, 1)</f>
        <v>100.0</v>
      </c>
      <c r="D25" s="105" t="str">
        <f>IF(TRUE = TRUE, "Yes", "No")</f>
        <v>Yes</v>
      </c>
      <c r="E25" s="105" t="s">
        <v>5202</v>
      </c>
      <c r="F25" s="105"/>
      <c r="G25" s="105" t="str">
        <f>CHOOSE((0+1), "3", "1", "1")</f>
        <v>3</v>
      </c>
      <c r="H25" s="242" t="str">
        <f>CHOOSE((0+1), "--", "2", "3")</f>
        <v>--</v>
      </c>
      <c r="I25" s="105">
        <v>80</v>
      </c>
      <c r="J25" s="105">
        <v>125</v>
      </c>
      <c r="K25" s="105">
        <v>0</v>
      </c>
      <c r="L25" s="105">
        <v>0</v>
      </c>
      <c r="M25" s="243">
        <f>ROUND(0, 1)</f>
        <v>0</v>
      </c>
      <c r="N25" s="242">
        <f>ROUND(0, 1)</f>
        <v>0</v>
      </c>
      <c r="O25" s="242">
        <f>ROUND(0, 1)</f>
        <v>0</v>
      </c>
      <c r="P25" s="242">
        <f>ROUND(0, 1)</f>
        <v>0</v>
      </c>
      <c r="Q25" s="105"/>
      <c r="R25" s="53" t="s">
        <v>5231</v>
      </c>
    </row>
    <row r="26" spans="1:18">
      <c r="A26" s="105" t="s">
        <v>5232</v>
      </c>
      <c r="B26" s="127">
        <f>ROUND(10, 3)</f>
        <v>10</v>
      </c>
      <c r="C26" s="105" t="str">
        <f>FIXED(100, 1)</f>
        <v>100.0</v>
      </c>
      <c r="D26" s="105" t="str">
        <f>IF(TRUE = TRUE, "Yes", "No")</f>
        <v>Yes</v>
      </c>
      <c r="E26" s="105" t="s">
        <v>5202</v>
      </c>
      <c r="F26" s="105"/>
      <c r="G26" s="105" t="str">
        <f>CHOOSE((0+1), "3", "1", "1")</f>
        <v>3</v>
      </c>
      <c r="H26" s="242" t="str">
        <f>CHOOSE((0+1), "--", "2", "3")</f>
        <v>--</v>
      </c>
      <c r="I26" s="105">
        <v>80</v>
      </c>
      <c r="J26" s="105">
        <v>125</v>
      </c>
      <c r="K26" s="105">
        <v>0</v>
      </c>
      <c r="L26" s="105">
        <v>0</v>
      </c>
      <c r="M26" s="243">
        <f>ROUND(0, 1)</f>
        <v>0</v>
      </c>
      <c r="N26" s="242">
        <f>ROUND(0, 1)</f>
        <v>0</v>
      </c>
      <c r="O26" s="242">
        <f>ROUND(0, 1)</f>
        <v>0</v>
      </c>
      <c r="P26" s="242">
        <f>ROUND(0, 1)</f>
        <v>0</v>
      </c>
      <c r="Q26" s="105"/>
      <c r="R26" s="53" t="s">
        <v>5233</v>
      </c>
    </row>
    <row r="27" spans="1:18">
      <c r="A27" s="105" t="s">
        <v>5234</v>
      </c>
      <c r="B27" s="127">
        <f>ROUND(10, 3)</f>
        <v>10</v>
      </c>
      <c r="C27" s="105" t="str">
        <f>FIXED(100, 1)</f>
        <v>100.0</v>
      </c>
      <c r="D27" s="105" t="str">
        <f>IF(TRUE = TRUE, "Yes", "No")</f>
        <v>Yes</v>
      </c>
      <c r="E27" s="105" t="s">
        <v>5202</v>
      </c>
      <c r="F27" s="105"/>
      <c r="G27" s="105" t="str">
        <f>CHOOSE((0+1), "3", "1", "1")</f>
        <v>3</v>
      </c>
      <c r="H27" s="242" t="str">
        <f>CHOOSE((0+1), "--", "2", "3")</f>
        <v>--</v>
      </c>
      <c r="I27" s="105">
        <v>80</v>
      </c>
      <c r="J27" s="105">
        <v>125</v>
      </c>
      <c r="K27" s="105">
        <v>0</v>
      </c>
      <c r="L27" s="105">
        <v>0</v>
      </c>
      <c r="M27" s="243">
        <f>ROUND(0, 1)</f>
        <v>0</v>
      </c>
      <c r="N27" s="242">
        <f>ROUND(0, 1)</f>
        <v>0</v>
      </c>
      <c r="O27" s="242">
        <f>ROUND(0, 1)</f>
        <v>0</v>
      </c>
      <c r="P27" s="242">
        <f>ROUND(0, 1)</f>
        <v>0</v>
      </c>
      <c r="Q27" s="105"/>
      <c r="R27" s="53" t="s">
        <v>5235</v>
      </c>
    </row>
    <row r="28" spans="1:18">
      <c r="A28" s="105" t="s">
        <v>5236</v>
      </c>
      <c r="B28" s="127">
        <f>ROUND(10, 3)</f>
        <v>10</v>
      </c>
      <c r="C28" s="105" t="str">
        <f>FIXED(100, 1)</f>
        <v>100.0</v>
      </c>
      <c r="D28" s="105" t="str">
        <f>IF(TRUE = TRUE, "Yes", "No")</f>
        <v>Yes</v>
      </c>
      <c r="E28" s="105" t="s">
        <v>5202</v>
      </c>
      <c r="F28" s="105"/>
      <c r="G28" s="105" t="str">
        <f>CHOOSE((0+1), "3", "1", "1")</f>
        <v>3</v>
      </c>
      <c r="H28" s="242" t="str">
        <f>CHOOSE((0+1), "--", "2", "3")</f>
        <v>--</v>
      </c>
      <c r="I28" s="105">
        <v>80</v>
      </c>
      <c r="J28" s="105">
        <v>125</v>
      </c>
      <c r="K28" s="105">
        <v>0</v>
      </c>
      <c r="L28" s="105">
        <v>0</v>
      </c>
      <c r="M28" s="243">
        <f>ROUND(0, 1)</f>
        <v>0</v>
      </c>
      <c r="N28" s="242">
        <f>ROUND(0, 1)</f>
        <v>0</v>
      </c>
      <c r="O28" s="242">
        <f>ROUND(0, 1)</f>
        <v>0</v>
      </c>
      <c r="P28" s="242">
        <f>ROUND(0, 1)</f>
        <v>0</v>
      </c>
      <c r="Q28" s="105"/>
      <c r="R28" s="53" t="s">
        <v>5237</v>
      </c>
    </row>
    <row r="29" spans="1:18">
      <c r="A29" s="105" t="s">
        <v>5238</v>
      </c>
      <c r="B29" s="127">
        <f>ROUND(10, 3)</f>
        <v>10</v>
      </c>
      <c r="C29" s="105" t="str">
        <f>FIXED(100, 1)</f>
        <v>100.0</v>
      </c>
      <c r="D29" s="105" t="str">
        <f>IF(TRUE = TRUE, "Yes", "No")</f>
        <v>Yes</v>
      </c>
      <c r="E29" s="105" t="s">
        <v>5202</v>
      </c>
      <c r="F29" s="105"/>
      <c r="G29" s="105" t="str">
        <f>CHOOSE((0+1), "3", "1", "1")</f>
        <v>3</v>
      </c>
      <c r="H29" s="242" t="str">
        <f>CHOOSE((0+1), "--", "2", "3")</f>
        <v>--</v>
      </c>
      <c r="I29" s="105">
        <v>80</v>
      </c>
      <c r="J29" s="105">
        <v>125</v>
      </c>
      <c r="K29" s="105">
        <v>0</v>
      </c>
      <c r="L29" s="105">
        <v>0</v>
      </c>
      <c r="M29" s="243">
        <f>ROUND(0, 1)</f>
        <v>0</v>
      </c>
      <c r="N29" s="242">
        <f>ROUND(0, 1)</f>
        <v>0</v>
      </c>
      <c r="O29" s="242">
        <f>ROUND(0, 1)</f>
        <v>0</v>
      </c>
      <c r="P29" s="242">
        <f>ROUND(0, 1)</f>
        <v>0</v>
      </c>
      <c r="Q29" s="105"/>
      <c r="R29" s="53" t="s">
        <v>5239</v>
      </c>
    </row>
    <row r="30" spans="1:18">
      <c r="A30" s="105" t="s">
        <v>5240</v>
      </c>
      <c r="B30" s="127">
        <f>ROUND(10, 3)</f>
        <v>10</v>
      </c>
      <c r="C30" s="105" t="str">
        <f>FIXED(100, 1)</f>
        <v>100.0</v>
      </c>
      <c r="D30" s="105" t="str">
        <f>IF(TRUE = TRUE, "Yes", "No")</f>
        <v>Yes</v>
      </c>
      <c r="E30" s="105" t="s">
        <v>5202</v>
      </c>
      <c r="F30" s="105"/>
      <c r="G30" s="105" t="str">
        <f>CHOOSE((0+1), "3", "1", "1")</f>
        <v>3</v>
      </c>
      <c r="H30" s="242" t="str">
        <f>CHOOSE((0+1), "--", "2", "3")</f>
        <v>--</v>
      </c>
      <c r="I30" s="105">
        <v>80</v>
      </c>
      <c r="J30" s="105">
        <v>125</v>
      </c>
      <c r="K30" s="105">
        <v>0</v>
      </c>
      <c r="L30" s="105">
        <v>0</v>
      </c>
      <c r="M30" s="243">
        <f>ROUND(0, 1)</f>
        <v>0</v>
      </c>
      <c r="N30" s="242">
        <f>ROUND(0, 1)</f>
        <v>0</v>
      </c>
      <c r="O30" s="242">
        <f>ROUND(0, 1)</f>
        <v>0</v>
      </c>
      <c r="P30" s="242">
        <f>ROUND(0, 1)</f>
        <v>0</v>
      </c>
      <c r="Q30" s="105"/>
      <c r="R30" s="53" t="s">
        <v>5241</v>
      </c>
    </row>
    <row r="31" spans="1:18">
      <c r="A31" s="105" t="s">
        <v>5242</v>
      </c>
      <c r="B31" s="127">
        <f>ROUND(10, 3)</f>
        <v>10</v>
      </c>
      <c r="C31" s="105" t="str">
        <f>FIXED(100, 1)</f>
        <v>100.0</v>
      </c>
      <c r="D31" s="105" t="str">
        <f>IF(TRUE = TRUE, "Yes", "No")</f>
        <v>Yes</v>
      </c>
      <c r="E31" s="105" t="s">
        <v>5202</v>
      </c>
      <c r="F31" s="105"/>
      <c r="G31" s="105" t="str">
        <f>CHOOSE((0+1), "3", "1", "1")</f>
        <v>3</v>
      </c>
      <c r="H31" s="242" t="str">
        <f>CHOOSE((0+1), "--", "2", "3")</f>
        <v>--</v>
      </c>
      <c r="I31" s="105">
        <v>80</v>
      </c>
      <c r="J31" s="105">
        <v>125</v>
      </c>
      <c r="K31" s="105">
        <v>0</v>
      </c>
      <c r="L31" s="105">
        <v>0</v>
      </c>
      <c r="M31" s="243">
        <f>ROUND(0, 1)</f>
        <v>0</v>
      </c>
      <c r="N31" s="242">
        <f>ROUND(0, 1)</f>
        <v>0</v>
      </c>
      <c r="O31" s="242">
        <f>ROUND(0, 1)</f>
        <v>0</v>
      </c>
      <c r="P31" s="242">
        <f>ROUND(0, 1)</f>
        <v>0</v>
      </c>
      <c r="Q31" s="105"/>
      <c r="R31" s="53" t="s">
        <v>5243</v>
      </c>
    </row>
    <row r="32" spans="1:18">
      <c r="A32" s="105" t="s">
        <v>5244</v>
      </c>
      <c r="B32" s="127">
        <f>ROUND(10, 3)</f>
        <v>10</v>
      </c>
      <c r="C32" s="105" t="str">
        <f>FIXED(100, 1)</f>
        <v>100.0</v>
      </c>
      <c r="D32" s="105" t="str">
        <f>IF(TRUE = TRUE, "Yes", "No")</f>
        <v>Yes</v>
      </c>
      <c r="E32" s="105" t="s">
        <v>5202</v>
      </c>
      <c r="F32" s="105"/>
      <c r="G32" s="105" t="str">
        <f>CHOOSE((0+1), "3", "1", "1")</f>
        <v>3</v>
      </c>
      <c r="H32" s="242" t="str">
        <f>CHOOSE((0+1), "--", "2", "3")</f>
        <v>--</v>
      </c>
      <c r="I32" s="105">
        <v>80</v>
      </c>
      <c r="J32" s="105">
        <v>125</v>
      </c>
      <c r="K32" s="105">
        <v>0</v>
      </c>
      <c r="L32" s="105">
        <v>0</v>
      </c>
      <c r="M32" s="243">
        <f>ROUND(0, 1)</f>
        <v>0</v>
      </c>
      <c r="N32" s="242">
        <f>ROUND(0, 1)</f>
        <v>0</v>
      </c>
      <c r="O32" s="242">
        <f>ROUND(0, 1)</f>
        <v>0</v>
      </c>
      <c r="P32" s="242">
        <f>ROUND(0, 1)</f>
        <v>0</v>
      </c>
      <c r="Q32" s="105"/>
      <c r="R32" s="53" t="s">
        <v>5245</v>
      </c>
    </row>
    <row r="33" spans="1:18">
      <c r="A33" s="105" t="s">
        <v>5246</v>
      </c>
      <c r="B33" s="127">
        <f>ROUND(10, 3)</f>
        <v>10</v>
      </c>
      <c r="C33" s="105" t="str">
        <f>FIXED(100, 1)</f>
        <v>100.0</v>
      </c>
      <c r="D33" s="105" t="str">
        <f>IF(TRUE = TRUE, "Yes", "No")</f>
        <v>Yes</v>
      </c>
      <c r="E33" s="105" t="s">
        <v>5202</v>
      </c>
      <c r="F33" s="105"/>
      <c r="G33" s="105" t="str">
        <f>CHOOSE((0+1), "3", "1", "1")</f>
        <v>3</v>
      </c>
      <c r="H33" s="242" t="str">
        <f>CHOOSE((0+1), "--", "2", "3")</f>
        <v>--</v>
      </c>
      <c r="I33" s="105">
        <v>80</v>
      </c>
      <c r="J33" s="105">
        <v>125</v>
      </c>
      <c r="K33" s="105">
        <v>0</v>
      </c>
      <c r="L33" s="105">
        <v>0</v>
      </c>
      <c r="M33" s="243">
        <f>ROUND(0, 1)</f>
        <v>0</v>
      </c>
      <c r="N33" s="242">
        <f>ROUND(0, 1)</f>
        <v>0</v>
      </c>
      <c r="O33" s="242">
        <f>ROUND(0, 1)</f>
        <v>0</v>
      </c>
      <c r="P33" s="242">
        <f>ROUND(0, 1)</f>
        <v>0</v>
      </c>
      <c r="Q33" s="105"/>
      <c r="R33" s="53" t="s">
        <v>5247</v>
      </c>
    </row>
    <row r="34" spans="1:18">
      <c r="A34" s="105" t="s">
        <v>5248</v>
      </c>
      <c r="B34" s="127">
        <f>ROUND(10, 3)</f>
        <v>10</v>
      </c>
      <c r="C34" s="105" t="str">
        <f>FIXED(100, 1)</f>
        <v>100.0</v>
      </c>
      <c r="D34" s="105" t="str">
        <f>IF(TRUE = TRUE, "Yes", "No")</f>
        <v>Yes</v>
      </c>
      <c r="E34" s="105" t="s">
        <v>5202</v>
      </c>
      <c r="F34" s="105"/>
      <c r="G34" s="105" t="str">
        <f>CHOOSE((0+1), "3", "1", "1")</f>
        <v>3</v>
      </c>
      <c r="H34" s="242" t="str">
        <f>CHOOSE((0+1), "--", "2", "3")</f>
        <v>--</v>
      </c>
      <c r="I34" s="105">
        <v>80</v>
      </c>
      <c r="J34" s="105">
        <v>125</v>
      </c>
      <c r="K34" s="105">
        <v>0</v>
      </c>
      <c r="L34" s="105">
        <v>0</v>
      </c>
      <c r="M34" s="243">
        <f>ROUND(0, 1)</f>
        <v>0</v>
      </c>
      <c r="N34" s="242">
        <f>ROUND(0, 1)</f>
        <v>0</v>
      </c>
      <c r="O34" s="242">
        <f>ROUND(0, 1)</f>
        <v>0</v>
      </c>
      <c r="P34" s="242">
        <f>ROUND(0, 1)</f>
        <v>0</v>
      </c>
      <c r="Q34" s="105"/>
      <c r="R34" s="53" t="s">
        <v>5249</v>
      </c>
    </row>
    <row r="35" spans="1:18">
      <c r="A35" s="105" t="s">
        <v>5250</v>
      </c>
      <c r="B35" s="127">
        <f>ROUND(10, 3)</f>
        <v>10</v>
      </c>
      <c r="C35" s="105" t="str">
        <f>FIXED(100, 1)</f>
        <v>100.0</v>
      </c>
      <c r="D35" s="105" t="str">
        <f>IF(TRUE = TRUE, "Yes", "No")</f>
        <v>Yes</v>
      </c>
      <c r="E35" s="105" t="s">
        <v>5202</v>
      </c>
      <c r="F35" s="105"/>
      <c r="G35" s="105" t="str">
        <f>CHOOSE((0+1), "3", "1", "1")</f>
        <v>3</v>
      </c>
      <c r="H35" s="242" t="str">
        <f>CHOOSE((0+1), "--", "2", "3")</f>
        <v>--</v>
      </c>
      <c r="I35" s="105">
        <v>80</v>
      </c>
      <c r="J35" s="105">
        <v>125</v>
      </c>
      <c r="K35" s="105">
        <v>0</v>
      </c>
      <c r="L35" s="105">
        <v>0</v>
      </c>
      <c r="M35" s="243">
        <f>ROUND(0, 1)</f>
        <v>0</v>
      </c>
      <c r="N35" s="242">
        <f>ROUND(0, 1)</f>
        <v>0</v>
      </c>
      <c r="O35" s="242">
        <f>ROUND(0, 1)</f>
        <v>0</v>
      </c>
      <c r="P35" s="242">
        <f>ROUND(0, 1)</f>
        <v>0</v>
      </c>
      <c r="Q35" s="105"/>
      <c r="R35" s="53" t="s">
        <v>5251</v>
      </c>
    </row>
    <row r="36" spans="1:18">
      <c r="A36" s="105" t="s">
        <v>5252</v>
      </c>
      <c r="B36" s="127">
        <f>ROUND(10, 3)</f>
        <v>10</v>
      </c>
      <c r="C36" s="105" t="str">
        <f>FIXED(100, 1)</f>
        <v>100.0</v>
      </c>
      <c r="D36" s="105" t="str">
        <f>IF(TRUE = TRUE, "Yes", "No")</f>
        <v>Yes</v>
      </c>
      <c r="E36" s="105" t="s">
        <v>5202</v>
      </c>
      <c r="F36" s="105"/>
      <c r="G36" s="105" t="str">
        <f>CHOOSE((0+1), "3", "1", "1")</f>
        <v>3</v>
      </c>
      <c r="H36" s="242" t="str">
        <f>CHOOSE((0+1), "--", "2", "3")</f>
        <v>--</v>
      </c>
      <c r="I36" s="105">
        <v>80</v>
      </c>
      <c r="J36" s="105">
        <v>125</v>
      </c>
      <c r="K36" s="105">
        <v>0</v>
      </c>
      <c r="L36" s="105">
        <v>0</v>
      </c>
      <c r="M36" s="243">
        <f>ROUND(0, 1)</f>
        <v>0</v>
      </c>
      <c r="N36" s="242">
        <f>ROUND(0, 1)</f>
        <v>0</v>
      </c>
      <c r="O36" s="242">
        <f>ROUND(0, 1)</f>
        <v>0</v>
      </c>
      <c r="P36" s="242">
        <f>ROUND(0, 1)</f>
        <v>0</v>
      </c>
      <c r="Q36" s="105"/>
      <c r="R36" s="53" t="s">
        <v>5253</v>
      </c>
    </row>
    <row r="37" spans="1:18">
      <c r="A37" s="105" t="s">
        <v>5254</v>
      </c>
      <c r="B37" s="127">
        <f>ROUND(10, 3)</f>
        <v>10</v>
      </c>
      <c r="C37" s="105" t="str">
        <f>FIXED(100, 1)</f>
        <v>100.0</v>
      </c>
      <c r="D37" s="105" t="str">
        <f>IF(TRUE = TRUE, "Yes", "No")</f>
        <v>Yes</v>
      </c>
      <c r="E37" s="105" t="s">
        <v>5202</v>
      </c>
      <c r="F37" s="105"/>
      <c r="G37" s="105" t="str">
        <f>CHOOSE((0+1), "3", "1", "1")</f>
        <v>3</v>
      </c>
      <c r="H37" s="242" t="str">
        <f>CHOOSE((0+1), "--", "2", "3")</f>
        <v>--</v>
      </c>
      <c r="I37" s="105">
        <v>80</v>
      </c>
      <c r="J37" s="105">
        <v>125</v>
      </c>
      <c r="K37" s="105">
        <v>0</v>
      </c>
      <c r="L37" s="105">
        <v>0</v>
      </c>
      <c r="M37" s="243">
        <f>ROUND(0, 1)</f>
        <v>0</v>
      </c>
      <c r="N37" s="242">
        <f>ROUND(0, 1)</f>
        <v>0</v>
      </c>
      <c r="O37" s="242">
        <f>ROUND(0, 1)</f>
        <v>0</v>
      </c>
      <c r="P37" s="242">
        <f>ROUND(0, 1)</f>
        <v>0</v>
      </c>
      <c r="Q37" s="105"/>
      <c r="R37" s="53" t="s">
        <v>5255</v>
      </c>
    </row>
    <row r="38" spans="1:18">
      <c r="A38" s="105" t="s">
        <v>5256</v>
      </c>
      <c r="B38" s="127">
        <f>ROUND(10, 3)</f>
        <v>10</v>
      </c>
      <c r="C38" s="105" t="str">
        <f>FIXED(100, 1)</f>
        <v>100.0</v>
      </c>
      <c r="D38" s="105" t="str">
        <f>IF(TRUE = TRUE, "Yes", "No")</f>
        <v>Yes</v>
      </c>
      <c r="E38" s="105" t="s">
        <v>5202</v>
      </c>
      <c r="F38" s="105"/>
      <c r="G38" s="105" t="str">
        <f>CHOOSE((0+1), "3", "1", "1")</f>
        <v>3</v>
      </c>
      <c r="H38" s="242" t="str">
        <f>CHOOSE((0+1), "--", "2", "3")</f>
        <v>--</v>
      </c>
      <c r="I38" s="105">
        <v>80</v>
      </c>
      <c r="J38" s="105">
        <v>125</v>
      </c>
      <c r="K38" s="105">
        <v>0</v>
      </c>
      <c r="L38" s="105">
        <v>0</v>
      </c>
      <c r="M38" s="243">
        <f>ROUND(0, 1)</f>
        <v>0</v>
      </c>
      <c r="N38" s="242">
        <f>ROUND(0, 1)</f>
        <v>0</v>
      </c>
      <c r="O38" s="242">
        <f>ROUND(0, 1)</f>
        <v>0</v>
      </c>
      <c r="P38" s="242">
        <f>ROUND(0, 1)</f>
        <v>0</v>
      </c>
      <c r="Q38" s="105"/>
      <c r="R38" s="53" t="s">
        <v>5257</v>
      </c>
    </row>
    <row r="39" spans="1:18">
      <c r="A39" s="105" t="s">
        <v>5258</v>
      </c>
      <c r="B39" s="127">
        <f>ROUND(10, 3)</f>
        <v>10</v>
      </c>
      <c r="C39" s="105" t="str">
        <f>FIXED(100, 1)</f>
        <v>100.0</v>
      </c>
      <c r="D39" s="105" t="str">
        <f>IF(TRUE = TRUE, "Yes", "No")</f>
        <v>Yes</v>
      </c>
      <c r="E39" s="105" t="s">
        <v>5202</v>
      </c>
      <c r="F39" s="105"/>
      <c r="G39" s="105" t="str">
        <f>CHOOSE((0+1), "3", "1", "1")</f>
        <v>3</v>
      </c>
      <c r="H39" s="242" t="str">
        <f>CHOOSE((0+1), "--", "2", "3")</f>
        <v>--</v>
      </c>
      <c r="I39" s="105">
        <v>80</v>
      </c>
      <c r="J39" s="105">
        <v>125</v>
      </c>
      <c r="K39" s="105">
        <v>0</v>
      </c>
      <c r="L39" s="105">
        <v>0</v>
      </c>
      <c r="M39" s="243">
        <f>ROUND(0, 1)</f>
        <v>0</v>
      </c>
      <c r="N39" s="242">
        <f>ROUND(0, 1)</f>
        <v>0</v>
      </c>
      <c r="O39" s="242">
        <f>ROUND(0, 1)</f>
        <v>0</v>
      </c>
      <c r="P39" s="242">
        <f>ROUND(0, 1)</f>
        <v>0</v>
      </c>
      <c r="Q39" s="105"/>
      <c r="R39" s="53" t="s">
        <v>5259</v>
      </c>
    </row>
    <row r="40" spans="1:18">
      <c r="A40" s="105" t="s">
        <v>5260</v>
      </c>
      <c r="B40" s="127">
        <f>ROUND(10, 3)</f>
        <v>10</v>
      </c>
      <c r="C40" s="105" t="str">
        <f>FIXED(100, 1)</f>
        <v>100.0</v>
      </c>
      <c r="D40" s="105" t="str">
        <f>IF(TRUE = TRUE, "Yes", "No")</f>
        <v>Yes</v>
      </c>
      <c r="E40" s="105" t="s">
        <v>5202</v>
      </c>
      <c r="F40" s="105"/>
      <c r="G40" s="105" t="str">
        <f>CHOOSE((0+1), "3", "1", "1")</f>
        <v>3</v>
      </c>
      <c r="H40" s="242" t="str">
        <f>CHOOSE((0+1), "--", "2", "3")</f>
        <v>--</v>
      </c>
      <c r="I40" s="105">
        <v>80</v>
      </c>
      <c r="J40" s="105">
        <v>125</v>
      </c>
      <c r="K40" s="105">
        <v>0</v>
      </c>
      <c r="L40" s="105">
        <v>0</v>
      </c>
      <c r="M40" s="243">
        <f>ROUND(0, 1)</f>
        <v>0</v>
      </c>
      <c r="N40" s="242">
        <f>ROUND(0, 1)</f>
        <v>0</v>
      </c>
      <c r="O40" s="242">
        <f>ROUND(0, 1)</f>
        <v>0</v>
      </c>
      <c r="P40" s="242">
        <f>ROUND(0, 1)</f>
        <v>0</v>
      </c>
      <c r="Q40" s="105"/>
      <c r="R40" s="53" t="s">
        <v>5261</v>
      </c>
    </row>
    <row r="41" spans="1:18">
      <c r="A41" s="105" t="s">
        <v>5262</v>
      </c>
      <c r="B41" s="127">
        <f>ROUND(10, 3)</f>
        <v>10</v>
      </c>
      <c r="C41" s="105" t="str">
        <f>FIXED(100, 1)</f>
        <v>100.0</v>
      </c>
      <c r="D41" s="105" t="str">
        <f>IF(TRUE = TRUE, "Yes", "No")</f>
        <v>Yes</v>
      </c>
      <c r="E41" s="105" t="s">
        <v>5202</v>
      </c>
      <c r="F41" s="105"/>
      <c r="G41" s="105" t="str">
        <f>CHOOSE((0+1), "3", "1", "1")</f>
        <v>3</v>
      </c>
      <c r="H41" s="242" t="str">
        <f>CHOOSE((0+1), "--", "2", "3")</f>
        <v>--</v>
      </c>
      <c r="I41" s="105">
        <v>80</v>
      </c>
      <c r="J41" s="105">
        <v>125</v>
      </c>
      <c r="K41" s="105">
        <v>0</v>
      </c>
      <c r="L41" s="105">
        <v>0</v>
      </c>
      <c r="M41" s="243">
        <f>ROUND(0, 1)</f>
        <v>0</v>
      </c>
      <c r="N41" s="242">
        <f>ROUND(0, 1)</f>
        <v>0</v>
      </c>
      <c r="O41" s="242">
        <f>ROUND(0, 1)</f>
        <v>0</v>
      </c>
      <c r="P41" s="242">
        <f>ROUND(0, 1)</f>
        <v>0</v>
      </c>
      <c r="Q41" s="105"/>
      <c r="R41" s="53" t="s">
        <v>5263</v>
      </c>
    </row>
    <row r="42" spans="1:18">
      <c r="A42" s="105" t="s">
        <v>5264</v>
      </c>
      <c r="B42" s="127">
        <f>ROUND(10, 3)</f>
        <v>10</v>
      </c>
      <c r="C42" s="105" t="str">
        <f>FIXED(100, 1)</f>
        <v>100.0</v>
      </c>
      <c r="D42" s="105" t="str">
        <f>IF(TRUE = TRUE, "Yes", "No")</f>
        <v>Yes</v>
      </c>
      <c r="E42" s="105" t="s">
        <v>5202</v>
      </c>
      <c r="F42" s="105"/>
      <c r="G42" s="105" t="str">
        <f>CHOOSE((0+1), "3", "1", "1")</f>
        <v>3</v>
      </c>
      <c r="H42" s="242" t="str">
        <f>CHOOSE((0+1), "--", "2", "3")</f>
        <v>--</v>
      </c>
      <c r="I42" s="105">
        <v>80</v>
      </c>
      <c r="J42" s="105">
        <v>125</v>
      </c>
      <c r="K42" s="105">
        <v>0</v>
      </c>
      <c r="L42" s="105">
        <v>0</v>
      </c>
      <c r="M42" s="243">
        <f>ROUND(0, 1)</f>
        <v>0</v>
      </c>
      <c r="N42" s="242">
        <f>ROUND(0, 1)</f>
        <v>0</v>
      </c>
      <c r="O42" s="242">
        <f>ROUND(0, 1)</f>
        <v>0</v>
      </c>
      <c r="P42" s="242">
        <f>ROUND(0, 1)</f>
        <v>0</v>
      </c>
      <c r="Q42" s="105"/>
      <c r="R42" s="53" t="s">
        <v>5265</v>
      </c>
    </row>
    <row r="43" spans="1:18">
      <c r="A43" s="105" t="s">
        <v>5266</v>
      </c>
      <c r="B43" s="127">
        <f>ROUND(10, 3)</f>
        <v>10</v>
      </c>
      <c r="C43" s="105" t="str">
        <f>FIXED(100, 1)</f>
        <v>100.0</v>
      </c>
      <c r="D43" s="105" t="str">
        <f>IF(TRUE = TRUE, "Yes", "No")</f>
        <v>Yes</v>
      </c>
      <c r="E43" s="105" t="s">
        <v>5202</v>
      </c>
      <c r="F43" s="105"/>
      <c r="G43" s="105" t="str">
        <f>CHOOSE((0+1), "3", "1", "1")</f>
        <v>3</v>
      </c>
      <c r="H43" s="242" t="str">
        <f>CHOOSE((0+1), "--", "2", "3")</f>
        <v>--</v>
      </c>
      <c r="I43" s="105">
        <v>80</v>
      </c>
      <c r="J43" s="105">
        <v>125</v>
      </c>
      <c r="K43" s="105">
        <v>0</v>
      </c>
      <c r="L43" s="105">
        <v>0</v>
      </c>
      <c r="M43" s="243">
        <f>ROUND(0, 1)</f>
        <v>0</v>
      </c>
      <c r="N43" s="242">
        <f>ROUND(0, 1)</f>
        <v>0</v>
      </c>
      <c r="O43" s="242">
        <f>ROUND(0, 1)</f>
        <v>0</v>
      </c>
      <c r="P43" s="242">
        <f>ROUND(0, 1)</f>
        <v>0</v>
      </c>
      <c r="Q43" s="105"/>
      <c r="R43" s="53" t="s">
        <v>5267</v>
      </c>
    </row>
    <row r="44" spans="1:18">
      <c r="A44" s="105" t="s">
        <v>5268</v>
      </c>
      <c r="B44" s="127">
        <f>ROUND(10, 3)</f>
        <v>10</v>
      </c>
      <c r="C44" s="105" t="str">
        <f>FIXED(100, 1)</f>
        <v>100.0</v>
      </c>
      <c r="D44" s="105" t="str">
        <f>IF(TRUE = TRUE, "Yes", "No")</f>
        <v>Yes</v>
      </c>
      <c r="E44" s="105" t="s">
        <v>5202</v>
      </c>
      <c r="F44" s="105"/>
      <c r="G44" s="105" t="str">
        <f>CHOOSE((0+1), "3", "1", "1")</f>
        <v>3</v>
      </c>
      <c r="H44" s="242" t="str">
        <f>CHOOSE((0+1), "--", "2", "3")</f>
        <v>--</v>
      </c>
      <c r="I44" s="105">
        <v>80</v>
      </c>
      <c r="J44" s="105">
        <v>125</v>
      </c>
      <c r="K44" s="105">
        <v>0</v>
      </c>
      <c r="L44" s="105">
        <v>0</v>
      </c>
      <c r="M44" s="243">
        <f>ROUND(0, 1)</f>
        <v>0</v>
      </c>
      <c r="N44" s="242">
        <f>ROUND(0, 1)</f>
        <v>0</v>
      </c>
      <c r="O44" s="242">
        <f>ROUND(0, 1)</f>
        <v>0</v>
      </c>
      <c r="P44" s="242">
        <f>ROUND(0, 1)</f>
        <v>0</v>
      </c>
      <c r="Q44" s="105"/>
      <c r="R44" s="53" t="s">
        <v>5269</v>
      </c>
    </row>
    <row r="45" spans="1:18">
      <c r="A45" s="105" t="s">
        <v>5270</v>
      </c>
      <c r="B45" s="127">
        <f>ROUND(10, 3)</f>
        <v>10</v>
      </c>
      <c r="C45" s="105" t="str">
        <f>FIXED(100, 1)</f>
        <v>100.0</v>
      </c>
      <c r="D45" s="105" t="str">
        <f>IF(TRUE = TRUE, "Yes", "No")</f>
        <v>Yes</v>
      </c>
      <c r="E45" s="105" t="s">
        <v>5202</v>
      </c>
      <c r="F45" s="105"/>
      <c r="G45" s="105" t="str">
        <f>CHOOSE((0+1), "3", "1", "1")</f>
        <v>3</v>
      </c>
      <c r="H45" s="242" t="str">
        <f>CHOOSE((0+1), "--", "2", "3")</f>
        <v>--</v>
      </c>
      <c r="I45" s="105">
        <v>80</v>
      </c>
      <c r="J45" s="105">
        <v>125</v>
      </c>
      <c r="K45" s="105">
        <v>0</v>
      </c>
      <c r="L45" s="105">
        <v>0</v>
      </c>
      <c r="M45" s="243">
        <f>ROUND(0, 1)</f>
        <v>0</v>
      </c>
      <c r="N45" s="242">
        <f>ROUND(0, 1)</f>
        <v>0</v>
      </c>
      <c r="O45" s="242">
        <f>ROUND(0, 1)</f>
        <v>0</v>
      </c>
      <c r="P45" s="242">
        <f>ROUND(0, 1)</f>
        <v>0</v>
      </c>
      <c r="Q45" s="105"/>
      <c r="R45" s="53" t="s">
        <v>5271</v>
      </c>
    </row>
    <row r="46" spans="1:18">
      <c r="A46" s="105" t="s">
        <v>5272</v>
      </c>
      <c r="B46" s="127">
        <f>ROUND(10, 3)</f>
        <v>10</v>
      </c>
      <c r="C46" s="105" t="str">
        <f>FIXED(100, 1)</f>
        <v>100.0</v>
      </c>
      <c r="D46" s="105" t="str">
        <f>IF(TRUE = TRUE, "Yes", "No")</f>
        <v>Yes</v>
      </c>
      <c r="E46" s="105" t="s">
        <v>5202</v>
      </c>
      <c r="F46" s="105"/>
      <c r="G46" s="105" t="str">
        <f>CHOOSE((0+1), "3", "1", "1")</f>
        <v>3</v>
      </c>
      <c r="H46" s="242" t="str">
        <f>CHOOSE((0+1), "--", "2", "3")</f>
        <v>--</v>
      </c>
      <c r="I46" s="105">
        <v>80</v>
      </c>
      <c r="J46" s="105">
        <v>125</v>
      </c>
      <c r="K46" s="105">
        <v>0</v>
      </c>
      <c r="L46" s="105">
        <v>0</v>
      </c>
      <c r="M46" s="243">
        <f>ROUND(0, 1)</f>
        <v>0</v>
      </c>
      <c r="N46" s="242">
        <f>ROUND(0, 1)</f>
        <v>0</v>
      </c>
      <c r="O46" s="242">
        <f>ROUND(0, 1)</f>
        <v>0</v>
      </c>
      <c r="P46" s="242">
        <f>ROUND(0, 1)</f>
        <v>0</v>
      </c>
      <c r="Q46" s="105"/>
      <c r="R46" s="53" t="s">
        <v>5273</v>
      </c>
    </row>
    <row r="47" spans="1:18">
      <c r="A47" s="105" t="s">
        <v>5274</v>
      </c>
      <c r="B47" s="127">
        <f>ROUND(10, 3)</f>
        <v>10</v>
      </c>
      <c r="C47" s="105" t="str">
        <f>FIXED(100, 1)</f>
        <v>100.0</v>
      </c>
      <c r="D47" s="105" t="str">
        <f>IF(TRUE = TRUE, "Yes", "No")</f>
        <v>Yes</v>
      </c>
      <c r="E47" s="105" t="s">
        <v>5202</v>
      </c>
      <c r="F47" s="105"/>
      <c r="G47" s="105" t="str">
        <f>CHOOSE((0+1), "3", "1", "1")</f>
        <v>3</v>
      </c>
      <c r="H47" s="242" t="str">
        <f>CHOOSE((0+1), "--", "2", "3")</f>
        <v>--</v>
      </c>
      <c r="I47" s="105">
        <v>80</v>
      </c>
      <c r="J47" s="105">
        <v>125</v>
      </c>
      <c r="K47" s="105">
        <v>0</v>
      </c>
      <c r="L47" s="105">
        <v>0</v>
      </c>
      <c r="M47" s="243">
        <f>ROUND(0, 1)</f>
        <v>0</v>
      </c>
      <c r="N47" s="242">
        <f>ROUND(0, 1)</f>
        <v>0</v>
      </c>
      <c r="O47" s="242">
        <f>ROUND(0, 1)</f>
        <v>0</v>
      </c>
      <c r="P47" s="242">
        <f>ROUND(0, 1)</f>
        <v>0</v>
      </c>
      <c r="Q47" s="105"/>
      <c r="R47" s="53" t="s">
        <v>5275</v>
      </c>
    </row>
    <row r="48" spans="1:18">
      <c r="A48" s="105" t="s">
        <v>5276</v>
      </c>
      <c r="B48" s="127">
        <f>ROUND(10, 3)</f>
        <v>10</v>
      </c>
      <c r="C48" s="105" t="str">
        <f>FIXED(100, 1)</f>
        <v>100.0</v>
      </c>
      <c r="D48" s="105" t="str">
        <f>IF(TRUE = TRUE, "Yes", "No")</f>
        <v>Yes</v>
      </c>
      <c r="E48" s="105" t="s">
        <v>5202</v>
      </c>
      <c r="F48" s="105"/>
      <c r="G48" s="105" t="str">
        <f>CHOOSE((0+1), "3", "1", "1")</f>
        <v>3</v>
      </c>
      <c r="H48" s="242" t="str">
        <f>CHOOSE((0+1), "--", "2", "3")</f>
        <v>--</v>
      </c>
      <c r="I48" s="105">
        <v>80</v>
      </c>
      <c r="J48" s="105">
        <v>125</v>
      </c>
      <c r="K48" s="105">
        <v>0</v>
      </c>
      <c r="L48" s="105">
        <v>0</v>
      </c>
      <c r="M48" s="243">
        <f>ROUND(0, 1)</f>
        <v>0</v>
      </c>
      <c r="N48" s="242">
        <f>ROUND(0, 1)</f>
        <v>0</v>
      </c>
      <c r="O48" s="242">
        <f>ROUND(0, 1)</f>
        <v>0</v>
      </c>
      <c r="P48" s="242">
        <f>ROUND(0, 1)</f>
        <v>0</v>
      </c>
      <c r="Q48" s="105"/>
      <c r="R48" s="53" t="s">
        <v>5277</v>
      </c>
    </row>
    <row r="49" spans="1:18">
      <c r="A49" s="105" t="s">
        <v>5278</v>
      </c>
      <c r="B49" s="127">
        <f>ROUND(10, 3)</f>
        <v>10</v>
      </c>
      <c r="C49" s="105" t="str">
        <f>FIXED(100, 1)</f>
        <v>100.0</v>
      </c>
      <c r="D49" s="105" t="str">
        <f>IF(TRUE = TRUE, "Yes", "No")</f>
        <v>Yes</v>
      </c>
      <c r="E49" s="105" t="s">
        <v>5202</v>
      </c>
      <c r="F49" s="105"/>
      <c r="G49" s="105" t="str">
        <f>CHOOSE((0+1), "3", "1", "1")</f>
        <v>3</v>
      </c>
      <c r="H49" s="242" t="str">
        <f>CHOOSE((0+1), "--", "2", "3")</f>
        <v>--</v>
      </c>
      <c r="I49" s="105">
        <v>80</v>
      </c>
      <c r="J49" s="105">
        <v>125</v>
      </c>
      <c r="K49" s="105">
        <v>0</v>
      </c>
      <c r="L49" s="105">
        <v>0</v>
      </c>
      <c r="M49" s="243">
        <f>ROUND(0, 1)</f>
        <v>0</v>
      </c>
      <c r="N49" s="242">
        <f>ROUND(0, 1)</f>
        <v>0</v>
      </c>
      <c r="O49" s="242">
        <f>ROUND(0, 1)</f>
        <v>0</v>
      </c>
      <c r="P49" s="242">
        <f>ROUND(0, 1)</f>
        <v>0</v>
      </c>
      <c r="Q49" s="105"/>
      <c r="R49" s="53" t="s">
        <v>5279</v>
      </c>
    </row>
    <row r="50" spans="1:18">
      <c r="A50" s="105" t="s">
        <v>5280</v>
      </c>
      <c r="B50" s="127">
        <f>ROUND(10, 3)</f>
        <v>10</v>
      </c>
      <c r="C50" s="105" t="str">
        <f>FIXED(100, 1)</f>
        <v>100.0</v>
      </c>
      <c r="D50" s="105" t="str">
        <f>IF(TRUE = TRUE, "Yes", "No")</f>
        <v>Yes</v>
      </c>
      <c r="E50" s="105" t="s">
        <v>5202</v>
      </c>
      <c r="F50" s="105"/>
      <c r="G50" s="105" t="str">
        <f>CHOOSE((0+1), "3", "1", "1")</f>
        <v>3</v>
      </c>
      <c r="H50" s="242" t="str">
        <f>CHOOSE((0+1), "--", "2", "3")</f>
        <v>--</v>
      </c>
      <c r="I50" s="105">
        <v>80</v>
      </c>
      <c r="J50" s="105">
        <v>125</v>
      </c>
      <c r="K50" s="105">
        <v>0</v>
      </c>
      <c r="L50" s="105">
        <v>0</v>
      </c>
      <c r="M50" s="243">
        <f>ROUND(0, 1)</f>
        <v>0</v>
      </c>
      <c r="N50" s="242">
        <f>ROUND(0, 1)</f>
        <v>0</v>
      </c>
      <c r="O50" s="242">
        <f>ROUND(0, 1)</f>
        <v>0</v>
      </c>
      <c r="P50" s="242">
        <f>ROUND(0, 1)</f>
        <v>0</v>
      </c>
      <c r="Q50" s="105"/>
      <c r="R50" s="53" t="s">
        <v>5281</v>
      </c>
    </row>
    <row r="51" spans="1:18">
      <c r="A51" s="105" t="s">
        <v>5282</v>
      </c>
      <c r="B51" s="127">
        <f>ROUND(10, 3)</f>
        <v>10</v>
      </c>
      <c r="C51" s="105" t="str">
        <f>FIXED(100, 1)</f>
        <v>100.0</v>
      </c>
      <c r="D51" s="105" t="str">
        <f>IF(TRUE = TRUE, "Yes", "No")</f>
        <v>Yes</v>
      </c>
      <c r="E51" s="105" t="s">
        <v>5202</v>
      </c>
      <c r="F51" s="105"/>
      <c r="G51" s="105" t="str">
        <f>CHOOSE((0+1), "3", "1", "1")</f>
        <v>3</v>
      </c>
      <c r="H51" s="242" t="str">
        <f>CHOOSE((0+1), "--", "2", "3")</f>
        <v>--</v>
      </c>
      <c r="I51" s="105">
        <v>80</v>
      </c>
      <c r="J51" s="105">
        <v>125</v>
      </c>
      <c r="K51" s="105">
        <v>0</v>
      </c>
      <c r="L51" s="105">
        <v>0</v>
      </c>
      <c r="M51" s="243">
        <f>ROUND(0, 1)</f>
        <v>0</v>
      </c>
      <c r="N51" s="242">
        <f>ROUND(0, 1)</f>
        <v>0</v>
      </c>
      <c r="O51" s="242">
        <f>ROUND(0, 1)</f>
        <v>0</v>
      </c>
      <c r="P51" s="242">
        <f>ROUND(0, 1)</f>
        <v>0</v>
      </c>
      <c r="Q51" s="105"/>
      <c r="R51" s="53" t="s">
        <v>5283</v>
      </c>
    </row>
    <row r="52" spans="1:18">
      <c r="A52" s="105" t="s">
        <v>5284</v>
      </c>
      <c r="B52" s="127">
        <f>ROUND(10, 3)</f>
        <v>10</v>
      </c>
      <c r="C52" s="105" t="str">
        <f>FIXED(100, 1)</f>
        <v>100.0</v>
      </c>
      <c r="D52" s="105" t="str">
        <f>IF(TRUE = TRUE, "Yes", "No")</f>
        <v>Yes</v>
      </c>
      <c r="E52" s="105" t="s">
        <v>5202</v>
      </c>
      <c r="F52" s="105"/>
      <c r="G52" s="105" t="str">
        <f>CHOOSE((0+1), "3", "1", "1")</f>
        <v>3</v>
      </c>
      <c r="H52" s="242" t="str">
        <f>CHOOSE((0+1), "--", "2", "3")</f>
        <v>--</v>
      </c>
      <c r="I52" s="105">
        <v>80</v>
      </c>
      <c r="J52" s="105">
        <v>125</v>
      </c>
      <c r="K52" s="105">
        <v>0</v>
      </c>
      <c r="L52" s="105">
        <v>0</v>
      </c>
      <c r="M52" s="243">
        <f>ROUND(0, 1)</f>
        <v>0</v>
      </c>
      <c r="N52" s="242">
        <f>ROUND(0, 1)</f>
        <v>0</v>
      </c>
      <c r="O52" s="242">
        <f>ROUND(0, 1)</f>
        <v>0</v>
      </c>
      <c r="P52" s="242">
        <f>ROUND(0, 1)</f>
        <v>0</v>
      </c>
      <c r="Q52" s="105"/>
      <c r="R52" s="53" t="s">
        <v>5285</v>
      </c>
    </row>
    <row r="53" spans="1:18">
      <c r="A53" s="105" t="s">
        <v>5286</v>
      </c>
      <c r="B53" s="127">
        <f>ROUND(10, 3)</f>
        <v>10</v>
      </c>
      <c r="C53" s="105" t="str">
        <f>FIXED(100, 1)</f>
        <v>100.0</v>
      </c>
      <c r="D53" s="105" t="str">
        <f>IF(TRUE = TRUE, "Yes", "No")</f>
        <v>Yes</v>
      </c>
      <c r="E53" s="105" t="s">
        <v>5202</v>
      </c>
      <c r="F53" s="105"/>
      <c r="G53" s="105" t="str">
        <f>CHOOSE((0+1), "3", "1", "1")</f>
        <v>3</v>
      </c>
      <c r="H53" s="242" t="str">
        <f>CHOOSE((0+1), "--", "2", "3")</f>
        <v>--</v>
      </c>
      <c r="I53" s="105">
        <v>80</v>
      </c>
      <c r="J53" s="105">
        <v>125</v>
      </c>
      <c r="K53" s="105">
        <v>0</v>
      </c>
      <c r="L53" s="105">
        <v>0</v>
      </c>
      <c r="M53" s="243">
        <f>ROUND(0, 1)</f>
        <v>0</v>
      </c>
      <c r="N53" s="242">
        <f>ROUND(0, 1)</f>
        <v>0</v>
      </c>
      <c r="O53" s="242">
        <f>ROUND(0, 1)</f>
        <v>0</v>
      </c>
      <c r="P53" s="242">
        <f>ROUND(0, 1)</f>
        <v>0</v>
      </c>
      <c r="Q53" s="105"/>
      <c r="R53" s="53" t="s">
        <v>5287</v>
      </c>
    </row>
    <row r="54" spans="1:18">
      <c r="A54" s="105" t="s">
        <v>5288</v>
      </c>
      <c r="B54" s="127">
        <f>ROUND(10, 3)</f>
        <v>10</v>
      </c>
      <c r="C54" s="105" t="str">
        <f>FIXED(100, 1)</f>
        <v>100.0</v>
      </c>
      <c r="D54" s="105" t="str">
        <f>IF(TRUE = TRUE, "Yes", "No")</f>
        <v>Yes</v>
      </c>
      <c r="E54" s="105" t="s">
        <v>5202</v>
      </c>
      <c r="F54" s="105"/>
      <c r="G54" s="105" t="str">
        <f>CHOOSE((0+1), "3", "1", "1")</f>
        <v>3</v>
      </c>
      <c r="H54" s="242" t="str">
        <f>CHOOSE((0+1), "--", "2", "3")</f>
        <v>--</v>
      </c>
      <c r="I54" s="105">
        <v>80</v>
      </c>
      <c r="J54" s="105">
        <v>125</v>
      </c>
      <c r="K54" s="105">
        <v>0</v>
      </c>
      <c r="L54" s="105">
        <v>0</v>
      </c>
      <c r="M54" s="243">
        <f>ROUND(0, 1)</f>
        <v>0</v>
      </c>
      <c r="N54" s="242">
        <f>ROUND(0, 1)</f>
        <v>0</v>
      </c>
      <c r="O54" s="242">
        <f>ROUND(0, 1)</f>
        <v>0</v>
      </c>
      <c r="P54" s="242">
        <f>ROUND(0, 1)</f>
        <v>0</v>
      </c>
      <c r="Q54" s="105"/>
      <c r="R54" s="53" t="s">
        <v>5289</v>
      </c>
    </row>
    <row r="55" spans="1:18">
      <c r="A55" s="105" t="s">
        <v>5290</v>
      </c>
      <c r="B55" s="127">
        <f>ROUND(10, 3)</f>
        <v>10</v>
      </c>
      <c r="C55" s="105" t="str">
        <f>FIXED(100, 1)</f>
        <v>100.0</v>
      </c>
      <c r="D55" s="105" t="str">
        <f>IF(TRUE = TRUE, "Yes", "No")</f>
        <v>Yes</v>
      </c>
      <c r="E55" s="105" t="s">
        <v>5202</v>
      </c>
      <c r="F55" s="105"/>
      <c r="G55" s="105" t="str">
        <f>CHOOSE((0+1), "3", "1", "1")</f>
        <v>3</v>
      </c>
      <c r="H55" s="242" t="str">
        <f>CHOOSE((0+1), "--", "2", "3")</f>
        <v>--</v>
      </c>
      <c r="I55" s="105">
        <v>80</v>
      </c>
      <c r="J55" s="105">
        <v>125</v>
      </c>
      <c r="K55" s="105">
        <v>0</v>
      </c>
      <c r="L55" s="105">
        <v>0</v>
      </c>
      <c r="M55" s="243">
        <f>ROUND(0, 1)</f>
        <v>0</v>
      </c>
      <c r="N55" s="242">
        <f>ROUND(0, 1)</f>
        <v>0</v>
      </c>
      <c r="O55" s="242">
        <f>ROUND(0, 1)</f>
        <v>0</v>
      </c>
      <c r="P55" s="242">
        <f>ROUND(0, 1)</f>
        <v>0</v>
      </c>
      <c r="Q55" s="105"/>
      <c r="R55" s="53" t="s">
        <v>5291</v>
      </c>
    </row>
    <row r="56" spans="1:18">
      <c r="A56" s="105" t="s">
        <v>5292</v>
      </c>
      <c r="B56" s="127">
        <f>ROUND(10, 3)</f>
        <v>10</v>
      </c>
      <c r="C56" s="105" t="str">
        <f>FIXED(100, 1)</f>
        <v>100.0</v>
      </c>
      <c r="D56" s="105" t="str">
        <f>IF(TRUE = TRUE, "Yes", "No")</f>
        <v>Yes</v>
      </c>
      <c r="E56" s="105" t="s">
        <v>5202</v>
      </c>
      <c r="F56" s="105"/>
      <c r="G56" s="105" t="str">
        <f>CHOOSE((0+1), "3", "1", "1")</f>
        <v>3</v>
      </c>
      <c r="H56" s="242" t="str">
        <f>CHOOSE((0+1), "--", "2", "3")</f>
        <v>--</v>
      </c>
      <c r="I56" s="105">
        <v>80</v>
      </c>
      <c r="J56" s="105">
        <v>125</v>
      </c>
      <c r="K56" s="105">
        <v>0</v>
      </c>
      <c r="L56" s="105">
        <v>0</v>
      </c>
      <c r="M56" s="243">
        <f>ROUND(0, 1)</f>
        <v>0</v>
      </c>
      <c r="N56" s="242">
        <f>ROUND(0, 1)</f>
        <v>0</v>
      </c>
      <c r="O56" s="242">
        <f>ROUND(0, 1)</f>
        <v>0</v>
      </c>
      <c r="P56" s="242">
        <f>ROUND(0, 1)</f>
        <v>0</v>
      </c>
      <c r="Q56" s="105"/>
      <c r="R56" s="53" t="s">
        <v>5293</v>
      </c>
    </row>
    <row r="57" spans="1:18">
      <c r="A57" s="105" t="s">
        <v>5294</v>
      </c>
      <c r="B57" s="127">
        <f>ROUND(10, 3)</f>
        <v>10</v>
      </c>
      <c r="C57" s="105" t="str">
        <f>FIXED(100, 1)</f>
        <v>100.0</v>
      </c>
      <c r="D57" s="105" t="str">
        <f>IF(TRUE = TRUE, "Yes", "No")</f>
        <v>Yes</v>
      </c>
      <c r="E57" s="105" t="s">
        <v>5202</v>
      </c>
      <c r="F57" s="105"/>
      <c r="G57" s="105" t="str">
        <f>CHOOSE((0+1), "3", "1", "1")</f>
        <v>3</v>
      </c>
      <c r="H57" s="242" t="str">
        <f>CHOOSE((0+1), "--", "2", "3")</f>
        <v>--</v>
      </c>
      <c r="I57" s="105">
        <v>80</v>
      </c>
      <c r="J57" s="105">
        <v>125</v>
      </c>
      <c r="K57" s="105">
        <v>0</v>
      </c>
      <c r="L57" s="105">
        <v>0</v>
      </c>
      <c r="M57" s="243">
        <f>ROUND(0, 1)</f>
        <v>0</v>
      </c>
      <c r="N57" s="242">
        <f>ROUND(0, 1)</f>
        <v>0</v>
      </c>
      <c r="O57" s="242">
        <f>ROUND(0, 1)</f>
        <v>0</v>
      </c>
      <c r="P57" s="242">
        <f>ROUND(0, 1)</f>
        <v>0</v>
      </c>
      <c r="Q57" s="105"/>
      <c r="R57" s="53" t="s">
        <v>5295</v>
      </c>
    </row>
    <row r="58" spans="1:18">
      <c r="A58" s="105" t="s">
        <v>5296</v>
      </c>
      <c r="B58" s="127">
        <f>ROUND(10, 3)</f>
        <v>10</v>
      </c>
      <c r="C58" s="105" t="str">
        <f>FIXED(100, 1)</f>
        <v>100.0</v>
      </c>
      <c r="D58" s="105" t="str">
        <f>IF(TRUE = TRUE, "Yes", "No")</f>
        <v>Yes</v>
      </c>
      <c r="E58" s="105" t="s">
        <v>5202</v>
      </c>
      <c r="F58" s="105"/>
      <c r="G58" s="105" t="str">
        <f>CHOOSE((0+1), "3", "1", "1")</f>
        <v>3</v>
      </c>
      <c r="H58" s="242" t="str">
        <f>CHOOSE((0+1), "--", "2", "3")</f>
        <v>--</v>
      </c>
      <c r="I58" s="105">
        <v>80</v>
      </c>
      <c r="J58" s="105">
        <v>125</v>
      </c>
      <c r="K58" s="105">
        <v>0</v>
      </c>
      <c r="L58" s="105">
        <v>0</v>
      </c>
      <c r="M58" s="243">
        <f>ROUND(0, 1)</f>
        <v>0</v>
      </c>
      <c r="N58" s="242">
        <f>ROUND(0, 1)</f>
        <v>0</v>
      </c>
      <c r="O58" s="242">
        <f>ROUND(0, 1)</f>
        <v>0</v>
      </c>
      <c r="P58" s="242">
        <f>ROUND(0, 1)</f>
        <v>0</v>
      </c>
      <c r="Q58" s="105"/>
      <c r="R58" s="53" t="s">
        <v>5297</v>
      </c>
    </row>
    <row r="59" spans="1:18">
      <c r="A59" s="105" t="s">
        <v>5298</v>
      </c>
      <c r="B59" s="127">
        <f>ROUND(10, 3)</f>
        <v>10</v>
      </c>
      <c r="C59" s="105" t="str">
        <f>FIXED(100, 1)</f>
        <v>100.0</v>
      </c>
      <c r="D59" s="105" t="str">
        <f>IF(TRUE = TRUE, "Yes", "No")</f>
        <v>Yes</v>
      </c>
      <c r="E59" s="105" t="s">
        <v>5202</v>
      </c>
      <c r="F59" s="105"/>
      <c r="G59" s="105" t="str">
        <f>CHOOSE((0+1), "3", "1", "1")</f>
        <v>3</v>
      </c>
      <c r="H59" s="242" t="str">
        <f>CHOOSE((0+1), "--", "2", "3")</f>
        <v>--</v>
      </c>
      <c r="I59" s="105">
        <v>80</v>
      </c>
      <c r="J59" s="105">
        <v>125</v>
      </c>
      <c r="K59" s="105">
        <v>0</v>
      </c>
      <c r="L59" s="105">
        <v>0</v>
      </c>
      <c r="M59" s="243">
        <f>ROUND(0, 1)</f>
        <v>0</v>
      </c>
      <c r="N59" s="242">
        <f>ROUND(0, 1)</f>
        <v>0</v>
      </c>
      <c r="O59" s="242">
        <f>ROUND(0, 1)</f>
        <v>0</v>
      </c>
      <c r="P59" s="242">
        <f>ROUND(0, 1)</f>
        <v>0</v>
      </c>
      <c r="Q59" s="105"/>
      <c r="R59" s="53" t="s">
        <v>5299</v>
      </c>
    </row>
    <row r="60" spans="1:18">
      <c r="A60" s="105" t="s">
        <v>5300</v>
      </c>
      <c r="B60" s="127">
        <f>ROUND(10, 3)</f>
        <v>10</v>
      </c>
      <c r="C60" s="105" t="str">
        <f>FIXED(100, 1)</f>
        <v>100.0</v>
      </c>
      <c r="D60" s="105" t="str">
        <f>IF(TRUE = TRUE, "Yes", "No")</f>
        <v>Yes</v>
      </c>
      <c r="E60" s="105" t="s">
        <v>5202</v>
      </c>
      <c r="F60" s="105"/>
      <c r="G60" s="105" t="str">
        <f>CHOOSE((0+1), "3", "1", "1")</f>
        <v>3</v>
      </c>
      <c r="H60" s="242" t="str">
        <f>CHOOSE((0+1), "--", "2", "3")</f>
        <v>--</v>
      </c>
      <c r="I60" s="105">
        <v>80</v>
      </c>
      <c r="J60" s="105">
        <v>125</v>
      </c>
      <c r="K60" s="105">
        <v>0</v>
      </c>
      <c r="L60" s="105">
        <v>0</v>
      </c>
      <c r="M60" s="243">
        <f>ROUND(0, 1)</f>
        <v>0</v>
      </c>
      <c r="N60" s="242">
        <f>ROUND(0, 1)</f>
        <v>0</v>
      </c>
      <c r="O60" s="242">
        <f>ROUND(0, 1)</f>
        <v>0</v>
      </c>
      <c r="P60" s="242">
        <f>ROUND(0, 1)</f>
        <v>0</v>
      </c>
      <c r="Q60" s="105"/>
      <c r="R60" s="53" t="s">
        <v>5301</v>
      </c>
    </row>
    <row r="61" spans="1:18">
      <c r="A61" s="105" t="s">
        <v>5302</v>
      </c>
      <c r="B61" s="127">
        <f>ROUND(10, 3)</f>
        <v>10</v>
      </c>
      <c r="C61" s="105" t="str">
        <f>FIXED(100, 1)</f>
        <v>100.0</v>
      </c>
      <c r="D61" s="105" t="str">
        <f>IF(TRUE = TRUE, "Yes", "No")</f>
        <v>Yes</v>
      </c>
      <c r="E61" s="105" t="s">
        <v>5202</v>
      </c>
      <c r="F61" s="105"/>
      <c r="G61" s="105" t="str">
        <f>CHOOSE((0+1), "3", "1", "1")</f>
        <v>3</v>
      </c>
      <c r="H61" s="242" t="str">
        <f>CHOOSE((0+1), "--", "2", "3")</f>
        <v>--</v>
      </c>
      <c r="I61" s="105">
        <v>80</v>
      </c>
      <c r="J61" s="105">
        <v>125</v>
      </c>
      <c r="K61" s="105">
        <v>0</v>
      </c>
      <c r="L61" s="105">
        <v>0</v>
      </c>
      <c r="M61" s="243">
        <f>ROUND(0, 1)</f>
        <v>0</v>
      </c>
      <c r="N61" s="242">
        <f>ROUND(0, 1)</f>
        <v>0</v>
      </c>
      <c r="O61" s="242">
        <f>ROUND(0, 1)</f>
        <v>0</v>
      </c>
      <c r="P61" s="242">
        <f>ROUND(0, 1)</f>
        <v>0</v>
      </c>
      <c r="Q61" s="105"/>
      <c r="R61" s="53" t="s">
        <v>5303</v>
      </c>
    </row>
    <row r="62" spans="1:18">
      <c r="A62" s="105" t="s">
        <v>5304</v>
      </c>
      <c r="B62" s="127">
        <f>ROUND(10, 3)</f>
        <v>10</v>
      </c>
      <c r="C62" s="105" t="str">
        <f>FIXED(100, 1)</f>
        <v>100.0</v>
      </c>
      <c r="D62" s="105" t="str">
        <f>IF(TRUE = TRUE, "Yes", "No")</f>
        <v>Yes</v>
      </c>
      <c r="E62" s="105" t="s">
        <v>5202</v>
      </c>
      <c r="F62" s="105"/>
      <c r="G62" s="105" t="str">
        <f>CHOOSE((0+1), "3", "1", "1")</f>
        <v>3</v>
      </c>
      <c r="H62" s="242" t="str">
        <f>CHOOSE((0+1), "--", "2", "3")</f>
        <v>--</v>
      </c>
      <c r="I62" s="105">
        <v>80</v>
      </c>
      <c r="J62" s="105">
        <v>125</v>
      </c>
      <c r="K62" s="105">
        <v>0</v>
      </c>
      <c r="L62" s="105">
        <v>0</v>
      </c>
      <c r="M62" s="243">
        <f>ROUND(0, 1)</f>
        <v>0</v>
      </c>
      <c r="N62" s="242">
        <f>ROUND(0, 1)</f>
        <v>0</v>
      </c>
      <c r="O62" s="242">
        <f>ROUND(0, 1)</f>
        <v>0</v>
      </c>
      <c r="P62" s="242">
        <f>ROUND(0, 1)</f>
        <v>0</v>
      </c>
      <c r="Q62" s="105"/>
      <c r="R62" s="53" t="s">
        <v>5305</v>
      </c>
    </row>
    <row r="63" spans="1:18">
      <c r="A63" s="105" t="s">
        <v>5306</v>
      </c>
      <c r="B63" s="127">
        <f>ROUND(10, 3)</f>
        <v>10</v>
      </c>
      <c r="C63" s="105" t="str">
        <f>FIXED(100, 1)</f>
        <v>100.0</v>
      </c>
      <c r="D63" s="105" t="str">
        <f>IF(TRUE = TRUE, "Yes", "No")</f>
        <v>Yes</v>
      </c>
      <c r="E63" s="105" t="s">
        <v>5202</v>
      </c>
      <c r="F63" s="105"/>
      <c r="G63" s="105" t="str">
        <f>CHOOSE((0+1), "3", "1", "1")</f>
        <v>3</v>
      </c>
      <c r="H63" s="242" t="str">
        <f>CHOOSE((0+1), "--", "2", "3")</f>
        <v>--</v>
      </c>
      <c r="I63" s="105">
        <v>80</v>
      </c>
      <c r="J63" s="105">
        <v>125</v>
      </c>
      <c r="K63" s="105">
        <v>0</v>
      </c>
      <c r="L63" s="105">
        <v>0</v>
      </c>
      <c r="M63" s="243">
        <f>ROUND(0, 1)</f>
        <v>0</v>
      </c>
      <c r="N63" s="242">
        <f>ROUND(0, 1)</f>
        <v>0</v>
      </c>
      <c r="O63" s="242">
        <f>ROUND(0, 1)</f>
        <v>0</v>
      </c>
      <c r="P63" s="242">
        <f>ROUND(0, 1)</f>
        <v>0</v>
      </c>
      <c r="Q63" s="105"/>
      <c r="R63" s="53" t="s">
        <v>5307</v>
      </c>
    </row>
    <row r="64" spans="1:18">
      <c r="A64" s="105" t="s">
        <v>5308</v>
      </c>
      <c r="B64" s="127">
        <f>ROUND(10, 3)</f>
        <v>10</v>
      </c>
      <c r="C64" s="105" t="str">
        <f>FIXED(100, 1)</f>
        <v>100.0</v>
      </c>
      <c r="D64" s="105" t="str">
        <f>IF(TRUE = TRUE, "Yes", "No")</f>
        <v>Yes</v>
      </c>
      <c r="E64" s="105" t="s">
        <v>5202</v>
      </c>
      <c r="F64" s="105"/>
      <c r="G64" s="105" t="str">
        <f>CHOOSE((0+1), "3", "1", "1")</f>
        <v>3</v>
      </c>
      <c r="H64" s="242" t="str">
        <f>CHOOSE((0+1), "--", "2", "3")</f>
        <v>--</v>
      </c>
      <c r="I64" s="105">
        <v>80</v>
      </c>
      <c r="J64" s="105">
        <v>125</v>
      </c>
      <c r="K64" s="105">
        <v>0</v>
      </c>
      <c r="L64" s="105">
        <v>0</v>
      </c>
      <c r="M64" s="243">
        <f>ROUND(0, 1)</f>
        <v>0</v>
      </c>
      <c r="N64" s="242">
        <f>ROUND(0, 1)</f>
        <v>0</v>
      </c>
      <c r="O64" s="242">
        <f>ROUND(0, 1)</f>
        <v>0</v>
      </c>
      <c r="P64" s="242">
        <f>ROUND(0, 1)</f>
        <v>0</v>
      </c>
      <c r="Q64" s="105"/>
      <c r="R64" s="53" t="s">
        <v>5309</v>
      </c>
    </row>
    <row r="65" spans="1:18">
      <c r="A65" s="105" t="s">
        <v>5310</v>
      </c>
      <c r="B65" s="127">
        <f>ROUND(10, 3)</f>
        <v>10</v>
      </c>
      <c r="C65" s="105" t="str">
        <f>FIXED(100, 1)</f>
        <v>100.0</v>
      </c>
      <c r="D65" s="105" t="str">
        <f>IF(TRUE = TRUE, "Yes", "No")</f>
        <v>Yes</v>
      </c>
      <c r="E65" s="105" t="s">
        <v>5202</v>
      </c>
      <c r="F65" s="105"/>
      <c r="G65" s="105" t="str">
        <f>CHOOSE((0+1), "3", "1", "1")</f>
        <v>3</v>
      </c>
      <c r="H65" s="242" t="str">
        <f>CHOOSE((0+1), "--", "2", "3")</f>
        <v>--</v>
      </c>
      <c r="I65" s="105">
        <v>80</v>
      </c>
      <c r="J65" s="105">
        <v>125</v>
      </c>
      <c r="K65" s="105">
        <v>0</v>
      </c>
      <c r="L65" s="105">
        <v>0</v>
      </c>
      <c r="M65" s="243">
        <f>ROUND(0, 1)</f>
        <v>0</v>
      </c>
      <c r="N65" s="242">
        <f>ROUND(0, 1)</f>
        <v>0</v>
      </c>
      <c r="O65" s="242">
        <f>ROUND(0, 1)</f>
        <v>0</v>
      </c>
      <c r="P65" s="242">
        <f>ROUND(0, 1)</f>
        <v>0</v>
      </c>
      <c r="Q65" s="105"/>
      <c r="R65" s="53" t="s">
        <v>5311</v>
      </c>
    </row>
    <row r="66" spans="1:18">
      <c r="A66" s="105" t="s">
        <v>5312</v>
      </c>
      <c r="B66" s="127">
        <f>ROUND(10, 3)</f>
        <v>10</v>
      </c>
      <c r="C66" s="105" t="str">
        <f>FIXED(100, 1)</f>
        <v>100.0</v>
      </c>
      <c r="D66" s="105" t="str">
        <f>IF(TRUE = TRUE, "Yes", "No")</f>
        <v>Yes</v>
      </c>
      <c r="E66" s="105" t="s">
        <v>5202</v>
      </c>
      <c r="F66" s="105"/>
      <c r="G66" s="105" t="str">
        <f>CHOOSE((0+1), "3", "1", "1")</f>
        <v>3</v>
      </c>
      <c r="H66" s="242" t="str">
        <f>CHOOSE((0+1), "--", "2", "3")</f>
        <v>--</v>
      </c>
      <c r="I66" s="105">
        <v>80</v>
      </c>
      <c r="J66" s="105">
        <v>125</v>
      </c>
      <c r="K66" s="105">
        <v>0</v>
      </c>
      <c r="L66" s="105">
        <v>0</v>
      </c>
      <c r="M66" s="243">
        <f>ROUND(0, 1)</f>
        <v>0</v>
      </c>
      <c r="N66" s="242">
        <f>ROUND(0, 1)</f>
        <v>0</v>
      </c>
      <c r="O66" s="242">
        <f>ROUND(0, 1)</f>
        <v>0</v>
      </c>
      <c r="P66" s="242">
        <f>ROUND(0, 1)</f>
        <v>0</v>
      </c>
      <c r="Q66" s="105"/>
      <c r="R66" s="53" t="s">
        <v>5313</v>
      </c>
    </row>
    <row r="67" spans="1:18">
      <c r="A67" s="105" t="s">
        <v>5314</v>
      </c>
      <c r="B67" s="127">
        <f>ROUND(10, 3)</f>
        <v>10</v>
      </c>
      <c r="C67" s="105" t="str">
        <f>FIXED(100, 1)</f>
        <v>100.0</v>
      </c>
      <c r="D67" s="105" t="str">
        <f>IF(TRUE = TRUE, "Yes", "No")</f>
        <v>Yes</v>
      </c>
      <c r="E67" s="105" t="s">
        <v>5202</v>
      </c>
      <c r="F67" s="105"/>
      <c r="G67" s="105" t="str">
        <f>CHOOSE((0+1), "3", "1", "1")</f>
        <v>3</v>
      </c>
      <c r="H67" s="242" t="str">
        <f>CHOOSE((0+1), "--", "2", "3")</f>
        <v>--</v>
      </c>
      <c r="I67" s="105">
        <v>80</v>
      </c>
      <c r="J67" s="105">
        <v>125</v>
      </c>
      <c r="K67" s="105">
        <v>0</v>
      </c>
      <c r="L67" s="105">
        <v>0</v>
      </c>
      <c r="M67" s="243">
        <f>ROUND(0, 1)</f>
        <v>0</v>
      </c>
      <c r="N67" s="242">
        <f>ROUND(0, 1)</f>
        <v>0</v>
      </c>
      <c r="O67" s="242">
        <f>ROUND(0, 1)</f>
        <v>0</v>
      </c>
      <c r="P67" s="242">
        <f>ROUND(0, 1)</f>
        <v>0</v>
      </c>
      <c r="Q67" s="105"/>
      <c r="R67" s="53" t="s">
        <v>5315</v>
      </c>
    </row>
    <row r="68" spans="1:18">
      <c r="A68" s="105" t="s">
        <v>5316</v>
      </c>
      <c r="B68" s="127">
        <f>ROUND(10, 3)</f>
        <v>10</v>
      </c>
      <c r="C68" s="105" t="str">
        <f>FIXED(100, 1)</f>
        <v>100.0</v>
      </c>
      <c r="D68" s="105" t="str">
        <f>IF(TRUE = TRUE, "Yes", "No")</f>
        <v>Yes</v>
      </c>
      <c r="E68" s="105" t="s">
        <v>5202</v>
      </c>
      <c r="F68" s="105"/>
      <c r="G68" s="105" t="str">
        <f>CHOOSE((0+1), "3", "1", "1")</f>
        <v>3</v>
      </c>
      <c r="H68" s="242" t="str">
        <f>CHOOSE((0+1), "--", "2", "3")</f>
        <v>--</v>
      </c>
      <c r="I68" s="105">
        <v>80</v>
      </c>
      <c r="J68" s="105">
        <v>125</v>
      </c>
      <c r="K68" s="105">
        <v>0</v>
      </c>
      <c r="L68" s="105">
        <v>0</v>
      </c>
      <c r="M68" s="243">
        <f>ROUND(0, 1)</f>
        <v>0</v>
      </c>
      <c r="N68" s="242">
        <f>ROUND(0, 1)</f>
        <v>0</v>
      </c>
      <c r="O68" s="242">
        <f>ROUND(0, 1)</f>
        <v>0</v>
      </c>
      <c r="P68" s="242">
        <f>ROUND(0, 1)</f>
        <v>0</v>
      </c>
      <c r="Q68" s="105"/>
      <c r="R68" s="53" t="s">
        <v>5317</v>
      </c>
    </row>
    <row r="69" spans="1:18">
      <c r="A69" s="105" t="s">
        <v>5318</v>
      </c>
      <c r="B69" s="127">
        <f>ROUND(10, 3)</f>
        <v>10</v>
      </c>
      <c r="C69" s="105" t="str">
        <f>FIXED(100, 1)</f>
        <v>100.0</v>
      </c>
      <c r="D69" s="105" t="str">
        <f>IF(TRUE = TRUE, "Yes", "No")</f>
        <v>Yes</v>
      </c>
      <c r="E69" s="105" t="s">
        <v>5202</v>
      </c>
      <c r="F69" s="105"/>
      <c r="G69" s="105" t="str">
        <f>CHOOSE((0+1), "3", "1", "1")</f>
        <v>3</v>
      </c>
      <c r="H69" s="242" t="str">
        <f>CHOOSE((0+1), "--", "2", "3")</f>
        <v>--</v>
      </c>
      <c r="I69" s="105">
        <v>80</v>
      </c>
      <c r="J69" s="105">
        <v>125</v>
      </c>
      <c r="K69" s="105">
        <v>0</v>
      </c>
      <c r="L69" s="105">
        <v>0</v>
      </c>
      <c r="M69" s="243">
        <f>ROUND(0, 1)</f>
        <v>0</v>
      </c>
      <c r="N69" s="242">
        <f>ROUND(0, 1)</f>
        <v>0</v>
      </c>
      <c r="O69" s="242">
        <f>ROUND(0, 1)</f>
        <v>0</v>
      </c>
      <c r="P69" s="242">
        <f>ROUND(0, 1)</f>
        <v>0</v>
      </c>
      <c r="Q69" s="105"/>
      <c r="R69" s="53" t="s">
        <v>5319</v>
      </c>
    </row>
    <row r="70" spans="1:18">
      <c r="A70" s="105" t="s">
        <v>5320</v>
      </c>
      <c r="B70" s="127">
        <f>ROUND(10, 3)</f>
        <v>10</v>
      </c>
      <c r="C70" s="105" t="str">
        <f>FIXED(100, 1)</f>
        <v>100.0</v>
      </c>
      <c r="D70" s="105" t="str">
        <f>IF(TRUE = TRUE, "Yes", "No")</f>
        <v>Yes</v>
      </c>
      <c r="E70" s="105" t="s">
        <v>5202</v>
      </c>
      <c r="F70" s="105"/>
      <c r="G70" s="105" t="str">
        <f>CHOOSE((0+1), "3", "1", "1")</f>
        <v>3</v>
      </c>
      <c r="H70" s="242" t="str">
        <f>CHOOSE((0+1), "--", "2", "3")</f>
        <v>--</v>
      </c>
      <c r="I70" s="105">
        <v>80</v>
      </c>
      <c r="J70" s="105">
        <v>125</v>
      </c>
      <c r="K70" s="105">
        <v>0</v>
      </c>
      <c r="L70" s="105">
        <v>0</v>
      </c>
      <c r="M70" s="243">
        <f>ROUND(0, 1)</f>
        <v>0</v>
      </c>
      <c r="N70" s="242">
        <f>ROUND(0, 1)</f>
        <v>0</v>
      </c>
      <c r="O70" s="242">
        <f>ROUND(0, 1)</f>
        <v>0</v>
      </c>
      <c r="P70" s="242">
        <f>ROUND(0, 1)</f>
        <v>0</v>
      </c>
      <c r="Q70" s="105"/>
      <c r="R70" s="53" t="s">
        <v>5321</v>
      </c>
    </row>
    <row r="71" spans="1:18">
      <c r="A71" s="105" t="s">
        <v>5322</v>
      </c>
      <c r="B71" s="127">
        <f>ROUND(10, 3)</f>
        <v>10</v>
      </c>
      <c r="C71" s="105" t="str">
        <f>FIXED(100, 1)</f>
        <v>100.0</v>
      </c>
      <c r="D71" s="105" t="str">
        <f>IF(TRUE = TRUE, "Yes", "No")</f>
        <v>Yes</v>
      </c>
      <c r="E71" s="105" t="s">
        <v>5202</v>
      </c>
      <c r="F71" s="105"/>
      <c r="G71" s="105" t="str">
        <f>CHOOSE((0+1), "3", "1", "1")</f>
        <v>3</v>
      </c>
      <c r="H71" s="242" t="str">
        <f>CHOOSE((0+1), "--", "2", "3")</f>
        <v>--</v>
      </c>
      <c r="I71" s="105">
        <v>80</v>
      </c>
      <c r="J71" s="105">
        <v>125</v>
      </c>
      <c r="K71" s="105">
        <v>0</v>
      </c>
      <c r="L71" s="105">
        <v>0</v>
      </c>
      <c r="M71" s="243">
        <f>ROUND(0, 1)</f>
        <v>0</v>
      </c>
      <c r="N71" s="242">
        <f>ROUND(0, 1)</f>
        <v>0</v>
      </c>
      <c r="O71" s="242">
        <f>ROUND(0, 1)</f>
        <v>0</v>
      </c>
      <c r="P71" s="242">
        <f>ROUND(0, 1)</f>
        <v>0</v>
      </c>
      <c r="Q71" s="105"/>
      <c r="R71" s="53" t="s">
        <v>5323</v>
      </c>
    </row>
    <row r="72" spans="1:18">
      <c r="A72" s="105" t="s">
        <v>5324</v>
      </c>
      <c r="B72" s="127">
        <f>ROUND(10, 3)</f>
        <v>10</v>
      </c>
      <c r="C72" s="105" t="str">
        <f>FIXED(100, 1)</f>
        <v>100.0</v>
      </c>
      <c r="D72" s="105" t="str">
        <f>IF(TRUE = TRUE, "Yes", "No")</f>
        <v>Yes</v>
      </c>
      <c r="E72" s="105" t="s">
        <v>5202</v>
      </c>
      <c r="F72" s="105"/>
      <c r="G72" s="105" t="str">
        <f>CHOOSE((0+1), "3", "1", "1")</f>
        <v>3</v>
      </c>
      <c r="H72" s="242" t="str">
        <f>CHOOSE((0+1), "--", "2", "3")</f>
        <v>--</v>
      </c>
      <c r="I72" s="105">
        <v>80</v>
      </c>
      <c r="J72" s="105">
        <v>125</v>
      </c>
      <c r="K72" s="105">
        <v>0</v>
      </c>
      <c r="L72" s="105">
        <v>0</v>
      </c>
      <c r="M72" s="243">
        <f>ROUND(0, 1)</f>
        <v>0</v>
      </c>
      <c r="N72" s="242">
        <f>ROUND(0, 1)</f>
        <v>0</v>
      </c>
      <c r="O72" s="242">
        <f>ROUND(0, 1)</f>
        <v>0</v>
      </c>
      <c r="P72" s="242">
        <f>ROUND(0, 1)</f>
        <v>0</v>
      </c>
      <c r="Q72" s="105"/>
      <c r="R72" s="53" t="s">
        <v>5325</v>
      </c>
    </row>
    <row r="73" spans="1:18">
      <c r="A73" s="105" t="s">
        <v>5326</v>
      </c>
      <c r="B73" s="127">
        <f>ROUND(10, 3)</f>
        <v>10</v>
      </c>
      <c r="C73" s="105" t="str">
        <f>FIXED(100, 1)</f>
        <v>100.0</v>
      </c>
      <c r="D73" s="105" t="str">
        <f>IF(TRUE = TRUE, "Yes", "No")</f>
        <v>Yes</v>
      </c>
      <c r="E73" s="105" t="s">
        <v>5202</v>
      </c>
      <c r="F73" s="105"/>
      <c r="G73" s="105" t="str">
        <f>CHOOSE((0+1), "3", "1", "1")</f>
        <v>3</v>
      </c>
      <c r="H73" s="242" t="str">
        <f>CHOOSE((0+1), "--", "2", "3")</f>
        <v>--</v>
      </c>
      <c r="I73" s="105">
        <v>80</v>
      </c>
      <c r="J73" s="105">
        <v>125</v>
      </c>
      <c r="K73" s="105">
        <v>0</v>
      </c>
      <c r="L73" s="105">
        <v>0</v>
      </c>
      <c r="M73" s="243">
        <f>ROUND(0, 1)</f>
        <v>0</v>
      </c>
      <c r="N73" s="242">
        <f>ROUND(0, 1)</f>
        <v>0</v>
      </c>
      <c r="O73" s="242">
        <f>ROUND(0, 1)</f>
        <v>0</v>
      </c>
      <c r="P73" s="242">
        <f>ROUND(0, 1)</f>
        <v>0</v>
      </c>
      <c r="Q73" s="105"/>
      <c r="R73" s="53" t="s">
        <v>5327</v>
      </c>
    </row>
    <row r="74" spans="1:18">
      <c r="A74" s="105" t="s">
        <v>5328</v>
      </c>
      <c r="B74" s="127">
        <f>ROUND(10, 3)</f>
        <v>10</v>
      </c>
      <c r="C74" s="105" t="str">
        <f>FIXED(100, 1)</f>
        <v>100.0</v>
      </c>
      <c r="D74" s="105" t="str">
        <f>IF(TRUE = TRUE, "Yes", "No")</f>
        <v>Yes</v>
      </c>
      <c r="E74" s="105" t="s">
        <v>5202</v>
      </c>
      <c r="F74" s="105"/>
      <c r="G74" s="105" t="str">
        <f>CHOOSE((0+1), "3", "1", "1")</f>
        <v>3</v>
      </c>
      <c r="H74" s="242" t="str">
        <f>CHOOSE((0+1), "--", "2", "3")</f>
        <v>--</v>
      </c>
      <c r="I74" s="105">
        <v>80</v>
      </c>
      <c r="J74" s="105">
        <v>125</v>
      </c>
      <c r="K74" s="105">
        <v>0</v>
      </c>
      <c r="L74" s="105">
        <v>0</v>
      </c>
      <c r="M74" s="243">
        <f>ROUND(0, 1)</f>
        <v>0</v>
      </c>
      <c r="N74" s="242">
        <f>ROUND(0, 1)</f>
        <v>0</v>
      </c>
      <c r="O74" s="242">
        <f>ROUND(0, 1)</f>
        <v>0</v>
      </c>
      <c r="P74" s="242">
        <f>ROUND(0, 1)</f>
        <v>0</v>
      </c>
      <c r="Q74" s="105"/>
      <c r="R74" s="53" t="s">
        <v>5329</v>
      </c>
    </row>
    <row r="75" spans="1:18">
      <c r="A75" s="105" t="s">
        <v>5330</v>
      </c>
      <c r="B75" s="127">
        <f>ROUND(10, 3)</f>
        <v>10</v>
      </c>
      <c r="C75" s="105" t="str">
        <f>FIXED(100, 1)</f>
        <v>100.0</v>
      </c>
      <c r="D75" s="105" t="str">
        <f>IF(TRUE = TRUE, "Yes", "No")</f>
        <v>Yes</v>
      </c>
      <c r="E75" s="105" t="s">
        <v>5202</v>
      </c>
      <c r="F75" s="105"/>
      <c r="G75" s="105" t="str">
        <f>CHOOSE((0+1), "3", "1", "1")</f>
        <v>3</v>
      </c>
      <c r="H75" s="242" t="str">
        <f>CHOOSE((0+1), "--", "2", "3")</f>
        <v>--</v>
      </c>
      <c r="I75" s="105">
        <v>80</v>
      </c>
      <c r="J75" s="105">
        <v>125</v>
      </c>
      <c r="K75" s="105">
        <v>0</v>
      </c>
      <c r="L75" s="105">
        <v>0</v>
      </c>
      <c r="M75" s="243">
        <f>ROUND(0, 1)</f>
        <v>0</v>
      </c>
      <c r="N75" s="242">
        <f>ROUND(0, 1)</f>
        <v>0</v>
      </c>
      <c r="O75" s="242">
        <f>ROUND(0, 1)</f>
        <v>0</v>
      </c>
      <c r="P75" s="242">
        <f>ROUND(0, 1)</f>
        <v>0</v>
      </c>
      <c r="Q75" s="105"/>
      <c r="R75" s="53" t="s">
        <v>5331</v>
      </c>
    </row>
    <row r="76" spans="1:18">
      <c r="A76" s="105" t="s">
        <v>5332</v>
      </c>
      <c r="B76" s="127">
        <f>ROUND(10, 3)</f>
        <v>10</v>
      </c>
      <c r="C76" s="105" t="str">
        <f>FIXED(100, 1)</f>
        <v>100.0</v>
      </c>
      <c r="D76" s="105" t="str">
        <f>IF(TRUE = TRUE, "Yes", "No")</f>
        <v>Yes</v>
      </c>
      <c r="E76" s="105" t="s">
        <v>5202</v>
      </c>
      <c r="F76" s="105"/>
      <c r="G76" s="105" t="str">
        <f>CHOOSE((0+1), "3", "1", "1")</f>
        <v>3</v>
      </c>
      <c r="H76" s="242" t="str">
        <f>CHOOSE((0+1), "--", "2", "3")</f>
        <v>--</v>
      </c>
      <c r="I76" s="105">
        <v>80</v>
      </c>
      <c r="J76" s="105">
        <v>125</v>
      </c>
      <c r="K76" s="105">
        <v>0</v>
      </c>
      <c r="L76" s="105">
        <v>0</v>
      </c>
      <c r="M76" s="243">
        <f>ROUND(0, 1)</f>
        <v>0</v>
      </c>
      <c r="N76" s="242">
        <f>ROUND(0, 1)</f>
        <v>0</v>
      </c>
      <c r="O76" s="242">
        <f>ROUND(0, 1)</f>
        <v>0</v>
      </c>
      <c r="P76" s="242">
        <f>ROUND(0, 1)</f>
        <v>0</v>
      </c>
      <c r="Q76" s="105"/>
      <c r="R76" s="53" t="s">
        <v>5333</v>
      </c>
    </row>
    <row r="77" spans="1:18">
      <c r="A77" s="105" t="s">
        <v>5334</v>
      </c>
      <c r="B77" s="127">
        <f>ROUND(10, 3)</f>
        <v>10</v>
      </c>
      <c r="C77" s="105" t="str">
        <f>FIXED(100, 1)</f>
        <v>100.0</v>
      </c>
      <c r="D77" s="105" t="str">
        <f>IF(TRUE = TRUE, "Yes", "No")</f>
        <v>Yes</v>
      </c>
      <c r="E77" s="105" t="s">
        <v>5202</v>
      </c>
      <c r="F77" s="105"/>
      <c r="G77" s="105" t="str">
        <f>CHOOSE((0+1), "3", "1", "1")</f>
        <v>3</v>
      </c>
      <c r="H77" s="242" t="str">
        <f>CHOOSE((0+1), "--", "2", "3")</f>
        <v>--</v>
      </c>
      <c r="I77" s="105">
        <v>80</v>
      </c>
      <c r="J77" s="105">
        <v>125</v>
      </c>
      <c r="K77" s="105">
        <v>0</v>
      </c>
      <c r="L77" s="105">
        <v>0</v>
      </c>
      <c r="M77" s="243">
        <f>ROUND(0, 1)</f>
        <v>0</v>
      </c>
      <c r="N77" s="242">
        <f>ROUND(0, 1)</f>
        <v>0</v>
      </c>
      <c r="O77" s="242">
        <f>ROUND(0, 1)</f>
        <v>0</v>
      </c>
      <c r="P77" s="242">
        <f>ROUND(0, 1)</f>
        <v>0</v>
      </c>
      <c r="Q77" s="105"/>
      <c r="R77" s="53" t="s">
        <v>5335</v>
      </c>
    </row>
    <row r="78" spans="1:18">
      <c r="A78" s="105" t="s">
        <v>5336</v>
      </c>
      <c r="B78" s="127">
        <f>ROUND(10, 3)</f>
        <v>10</v>
      </c>
      <c r="C78" s="105" t="str">
        <f>FIXED(100, 1)</f>
        <v>100.0</v>
      </c>
      <c r="D78" s="105" t="str">
        <f>IF(TRUE = TRUE, "Yes", "No")</f>
        <v>Yes</v>
      </c>
      <c r="E78" s="105" t="s">
        <v>5202</v>
      </c>
      <c r="F78" s="105"/>
      <c r="G78" s="105" t="str">
        <f>CHOOSE((0+1), "3", "1", "1")</f>
        <v>3</v>
      </c>
      <c r="H78" s="242" t="str">
        <f>CHOOSE((0+1), "--", "2", "3")</f>
        <v>--</v>
      </c>
      <c r="I78" s="105">
        <v>80</v>
      </c>
      <c r="J78" s="105">
        <v>125</v>
      </c>
      <c r="K78" s="105">
        <v>0</v>
      </c>
      <c r="L78" s="105">
        <v>0</v>
      </c>
      <c r="M78" s="243">
        <f>ROUND(0, 1)</f>
        <v>0</v>
      </c>
      <c r="N78" s="242">
        <f>ROUND(0, 1)</f>
        <v>0</v>
      </c>
      <c r="O78" s="242">
        <f>ROUND(0, 1)</f>
        <v>0</v>
      </c>
      <c r="P78" s="242">
        <f>ROUND(0, 1)</f>
        <v>0</v>
      </c>
      <c r="Q78" s="105"/>
      <c r="R78" s="53" t="s">
        <v>5337</v>
      </c>
    </row>
    <row r="79" spans="1:18">
      <c r="A79" s="105" t="s">
        <v>5338</v>
      </c>
      <c r="B79" s="127">
        <f>ROUND(10, 3)</f>
        <v>10</v>
      </c>
      <c r="C79" s="105" t="str">
        <f>FIXED(100, 1)</f>
        <v>100.0</v>
      </c>
      <c r="D79" s="105" t="str">
        <f>IF(TRUE = TRUE, "Yes", "No")</f>
        <v>Yes</v>
      </c>
      <c r="E79" s="105" t="s">
        <v>5202</v>
      </c>
      <c r="F79" s="105"/>
      <c r="G79" s="105" t="str">
        <f>CHOOSE((0+1), "3", "1", "1")</f>
        <v>3</v>
      </c>
      <c r="H79" s="242" t="str">
        <f>CHOOSE((0+1), "--", "2", "3")</f>
        <v>--</v>
      </c>
      <c r="I79" s="105">
        <v>80</v>
      </c>
      <c r="J79" s="105">
        <v>125</v>
      </c>
      <c r="K79" s="105">
        <v>0</v>
      </c>
      <c r="L79" s="105">
        <v>0</v>
      </c>
      <c r="M79" s="243">
        <f>ROUND(0, 1)</f>
        <v>0</v>
      </c>
      <c r="N79" s="242">
        <f>ROUND(0, 1)</f>
        <v>0</v>
      </c>
      <c r="O79" s="242">
        <f>ROUND(0, 1)</f>
        <v>0</v>
      </c>
      <c r="P79" s="242">
        <f>ROUND(0, 1)</f>
        <v>0</v>
      </c>
      <c r="Q79" s="105"/>
      <c r="R79" s="53" t="s">
        <v>5339</v>
      </c>
    </row>
    <row r="80" spans="1:18">
      <c r="A80" s="105" t="s">
        <v>5340</v>
      </c>
      <c r="B80" s="127">
        <f>ROUND(10, 3)</f>
        <v>10</v>
      </c>
      <c r="C80" s="105" t="str">
        <f>FIXED(100, 1)</f>
        <v>100.0</v>
      </c>
      <c r="D80" s="105" t="str">
        <f>IF(TRUE = TRUE, "Yes", "No")</f>
        <v>Yes</v>
      </c>
      <c r="E80" s="105" t="s">
        <v>5202</v>
      </c>
      <c r="F80" s="105"/>
      <c r="G80" s="105" t="str">
        <f>CHOOSE((0+1), "3", "1", "1")</f>
        <v>3</v>
      </c>
      <c r="H80" s="242" t="str">
        <f>CHOOSE((0+1), "--", "2", "3")</f>
        <v>--</v>
      </c>
      <c r="I80" s="105">
        <v>80</v>
      </c>
      <c r="J80" s="105">
        <v>125</v>
      </c>
      <c r="K80" s="105">
        <v>0</v>
      </c>
      <c r="L80" s="105">
        <v>0</v>
      </c>
      <c r="M80" s="243">
        <f>ROUND(0, 1)</f>
        <v>0</v>
      </c>
      <c r="N80" s="242">
        <f>ROUND(0, 1)</f>
        <v>0</v>
      </c>
      <c r="O80" s="242">
        <f>ROUND(0, 1)</f>
        <v>0</v>
      </c>
      <c r="P80" s="242">
        <f>ROUND(0, 1)</f>
        <v>0</v>
      </c>
      <c r="Q80" s="105"/>
      <c r="R80" s="53" t="s">
        <v>5341</v>
      </c>
    </row>
    <row r="81" spans="1:18">
      <c r="A81" s="105" t="s">
        <v>5342</v>
      </c>
      <c r="B81" s="127">
        <f>ROUND(10, 3)</f>
        <v>10</v>
      </c>
      <c r="C81" s="105" t="str">
        <f>FIXED(100, 1)</f>
        <v>100.0</v>
      </c>
      <c r="D81" s="105" t="str">
        <f>IF(TRUE = TRUE, "Yes", "No")</f>
        <v>Yes</v>
      </c>
      <c r="E81" s="105" t="s">
        <v>5202</v>
      </c>
      <c r="F81" s="105"/>
      <c r="G81" s="105" t="str">
        <f>CHOOSE((0+1), "3", "1", "1")</f>
        <v>3</v>
      </c>
      <c r="H81" s="242" t="str">
        <f>CHOOSE((0+1), "--", "2", "3")</f>
        <v>--</v>
      </c>
      <c r="I81" s="105">
        <v>80</v>
      </c>
      <c r="J81" s="105">
        <v>125</v>
      </c>
      <c r="K81" s="105">
        <v>0</v>
      </c>
      <c r="L81" s="105">
        <v>0</v>
      </c>
      <c r="M81" s="243">
        <f>ROUND(0, 1)</f>
        <v>0</v>
      </c>
      <c r="N81" s="242">
        <f>ROUND(0, 1)</f>
        <v>0</v>
      </c>
      <c r="O81" s="242">
        <f>ROUND(0, 1)</f>
        <v>0</v>
      </c>
      <c r="P81" s="242">
        <f>ROUND(0, 1)</f>
        <v>0</v>
      </c>
      <c r="Q81" s="105"/>
      <c r="R81" s="53" t="s">
        <v>5343</v>
      </c>
    </row>
    <row r="82" spans="1:18">
      <c r="A82" s="105" t="s">
        <v>5344</v>
      </c>
      <c r="B82" s="127">
        <f>ROUND(10, 3)</f>
        <v>10</v>
      </c>
      <c r="C82" s="105" t="str">
        <f>FIXED(100, 1)</f>
        <v>100.0</v>
      </c>
      <c r="D82" s="105" t="str">
        <f>IF(TRUE = TRUE, "Yes", "No")</f>
        <v>Yes</v>
      </c>
      <c r="E82" s="105" t="s">
        <v>5202</v>
      </c>
      <c r="F82" s="105"/>
      <c r="G82" s="105" t="str">
        <f>CHOOSE((0+1), "3", "1", "1")</f>
        <v>3</v>
      </c>
      <c r="H82" s="242" t="str">
        <f>CHOOSE((0+1), "--", "2", "3")</f>
        <v>--</v>
      </c>
      <c r="I82" s="105">
        <v>80</v>
      </c>
      <c r="J82" s="105">
        <v>125</v>
      </c>
      <c r="K82" s="105">
        <v>0</v>
      </c>
      <c r="L82" s="105">
        <v>0</v>
      </c>
      <c r="M82" s="243">
        <f>ROUND(0, 1)</f>
        <v>0</v>
      </c>
      <c r="N82" s="242">
        <f>ROUND(0, 1)</f>
        <v>0</v>
      </c>
      <c r="O82" s="242">
        <f>ROUND(0, 1)</f>
        <v>0</v>
      </c>
      <c r="P82" s="242">
        <f>ROUND(0, 1)</f>
        <v>0</v>
      </c>
      <c r="Q82" s="105"/>
      <c r="R82" s="53" t="s">
        <v>5345</v>
      </c>
    </row>
    <row r="83" spans="1:18">
      <c r="A83" s="105" t="s">
        <v>5346</v>
      </c>
      <c r="B83" s="127">
        <f>ROUND(10, 3)</f>
        <v>10</v>
      </c>
      <c r="C83" s="105" t="str">
        <f>FIXED(100, 1)</f>
        <v>100.0</v>
      </c>
      <c r="D83" s="105" t="str">
        <f>IF(TRUE = TRUE, "Yes", "No")</f>
        <v>Yes</v>
      </c>
      <c r="E83" s="105" t="s">
        <v>5202</v>
      </c>
      <c r="F83" s="105"/>
      <c r="G83" s="105" t="str">
        <f>CHOOSE((0+1), "3", "1", "1")</f>
        <v>3</v>
      </c>
      <c r="H83" s="242" t="str">
        <f>CHOOSE((0+1), "--", "2", "3")</f>
        <v>--</v>
      </c>
      <c r="I83" s="105">
        <v>80</v>
      </c>
      <c r="J83" s="105">
        <v>125</v>
      </c>
      <c r="K83" s="105">
        <v>0</v>
      </c>
      <c r="L83" s="105">
        <v>0</v>
      </c>
      <c r="M83" s="243">
        <f>ROUND(0, 1)</f>
        <v>0</v>
      </c>
      <c r="N83" s="242">
        <f>ROUND(0, 1)</f>
        <v>0</v>
      </c>
      <c r="O83" s="242">
        <f>ROUND(0, 1)</f>
        <v>0</v>
      </c>
      <c r="P83" s="242">
        <f>ROUND(0, 1)</f>
        <v>0</v>
      </c>
      <c r="Q83" s="105"/>
      <c r="R83" s="53" t="s">
        <v>5347</v>
      </c>
    </row>
    <row r="84" spans="1:18">
      <c r="A84" s="105" t="s">
        <v>5348</v>
      </c>
      <c r="B84" s="127">
        <f>ROUND(10, 3)</f>
        <v>10</v>
      </c>
      <c r="C84" s="105" t="str">
        <f>FIXED(100, 1)</f>
        <v>100.0</v>
      </c>
      <c r="D84" s="105" t="str">
        <f>IF(TRUE = TRUE, "Yes", "No")</f>
        <v>Yes</v>
      </c>
      <c r="E84" s="105" t="s">
        <v>5202</v>
      </c>
      <c r="F84" s="105"/>
      <c r="G84" s="105" t="str">
        <f>CHOOSE((0+1), "3", "1", "1")</f>
        <v>3</v>
      </c>
      <c r="H84" s="242" t="str">
        <f>CHOOSE((0+1), "--", "2", "3")</f>
        <v>--</v>
      </c>
      <c r="I84" s="105">
        <v>80</v>
      </c>
      <c r="J84" s="105">
        <v>125</v>
      </c>
      <c r="K84" s="105">
        <v>0</v>
      </c>
      <c r="L84" s="105">
        <v>0</v>
      </c>
      <c r="M84" s="243">
        <f>ROUND(0, 1)</f>
        <v>0</v>
      </c>
      <c r="N84" s="242">
        <f>ROUND(0, 1)</f>
        <v>0</v>
      </c>
      <c r="O84" s="242">
        <f>ROUND(0, 1)</f>
        <v>0</v>
      </c>
      <c r="P84" s="242">
        <f>ROUND(0, 1)</f>
        <v>0</v>
      </c>
      <c r="Q84" s="105"/>
      <c r="R84" s="53" t="s">
        <v>5349</v>
      </c>
    </row>
    <row r="85" spans="1:18">
      <c r="A85" s="105" t="s">
        <v>5350</v>
      </c>
      <c r="B85" s="127">
        <f>ROUND(10, 3)</f>
        <v>10</v>
      </c>
      <c r="C85" s="105" t="str">
        <f>FIXED(100, 1)</f>
        <v>100.0</v>
      </c>
      <c r="D85" s="105" t="str">
        <f>IF(TRUE = TRUE, "Yes", "No")</f>
        <v>Yes</v>
      </c>
      <c r="E85" s="105" t="s">
        <v>5202</v>
      </c>
      <c r="F85" s="105"/>
      <c r="G85" s="105" t="str">
        <f>CHOOSE((0+1), "3", "1", "1")</f>
        <v>3</v>
      </c>
      <c r="H85" s="242" t="str">
        <f>CHOOSE((0+1), "--", "2", "3")</f>
        <v>--</v>
      </c>
      <c r="I85" s="105">
        <v>80</v>
      </c>
      <c r="J85" s="105">
        <v>125</v>
      </c>
      <c r="K85" s="105">
        <v>0</v>
      </c>
      <c r="L85" s="105">
        <v>0</v>
      </c>
      <c r="M85" s="243">
        <f>ROUND(0, 1)</f>
        <v>0</v>
      </c>
      <c r="N85" s="242">
        <f>ROUND(0, 1)</f>
        <v>0</v>
      </c>
      <c r="O85" s="242">
        <f>ROUND(0, 1)</f>
        <v>0</v>
      </c>
      <c r="P85" s="242">
        <f>ROUND(0, 1)</f>
        <v>0</v>
      </c>
      <c r="Q85" s="105"/>
      <c r="R85" s="53" t="s">
        <v>5351</v>
      </c>
    </row>
    <row r="86" spans="1:18">
      <c r="A86" s="105" t="s">
        <v>5352</v>
      </c>
      <c r="B86" s="127">
        <f>ROUND(10, 3)</f>
        <v>10</v>
      </c>
      <c r="C86" s="105" t="str">
        <f>FIXED(100, 1)</f>
        <v>100.0</v>
      </c>
      <c r="D86" s="105" t="str">
        <f>IF(TRUE = TRUE, "Yes", "No")</f>
        <v>Yes</v>
      </c>
      <c r="E86" s="105" t="s">
        <v>5202</v>
      </c>
      <c r="F86" s="105"/>
      <c r="G86" s="105" t="str">
        <f>CHOOSE((0+1), "3", "1", "1")</f>
        <v>3</v>
      </c>
      <c r="H86" s="242" t="str">
        <f>CHOOSE((0+1), "--", "2", "3")</f>
        <v>--</v>
      </c>
      <c r="I86" s="105">
        <v>80</v>
      </c>
      <c r="J86" s="105">
        <v>125</v>
      </c>
      <c r="K86" s="105">
        <v>0</v>
      </c>
      <c r="L86" s="105">
        <v>0</v>
      </c>
      <c r="M86" s="243">
        <f>ROUND(0, 1)</f>
        <v>0</v>
      </c>
      <c r="N86" s="242">
        <f>ROUND(0, 1)</f>
        <v>0</v>
      </c>
      <c r="O86" s="242">
        <f>ROUND(0, 1)</f>
        <v>0</v>
      </c>
      <c r="P86" s="242">
        <f>ROUND(0, 1)</f>
        <v>0</v>
      </c>
      <c r="Q86" s="105"/>
      <c r="R86" s="53" t="s">
        <v>5353</v>
      </c>
    </row>
    <row r="87" spans="1:18">
      <c r="A87" s="105" t="s">
        <v>5354</v>
      </c>
      <c r="B87" s="127">
        <f>ROUND(10, 3)</f>
        <v>10</v>
      </c>
      <c r="C87" s="105" t="str">
        <f>FIXED(100, 1)</f>
        <v>100.0</v>
      </c>
      <c r="D87" s="105" t="str">
        <f>IF(TRUE = TRUE, "Yes", "No")</f>
        <v>Yes</v>
      </c>
      <c r="E87" s="105" t="s">
        <v>5202</v>
      </c>
      <c r="F87" s="105"/>
      <c r="G87" s="105" t="str">
        <f>CHOOSE((0+1), "3", "1", "1")</f>
        <v>3</v>
      </c>
      <c r="H87" s="242" t="str">
        <f>CHOOSE((0+1), "--", "2", "3")</f>
        <v>--</v>
      </c>
      <c r="I87" s="105">
        <v>80</v>
      </c>
      <c r="J87" s="105">
        <v>125</v>
      </c>
      <c r="K87" s="105">
        <v>0</v>
      </c>
      <c r="L87" s="105">
        <v>0</v>
      </c>
      <c r="M87" s="243">
        <f>ROUND(0, 1)</f>
        <v>0</v>
      </c>
      <c r="N87" s="242">
        <f>ROUND(0, 1)</f>
        <v>0</v>
      </c>
      <c r="O87" s="242">
        <f>ROUND(0, 1)</f>
        <v>0</v>
      </c>
      <c r="P87" s="242">
        <f>ROUND(0, 1)</f>
        <v>0</v>
      </c>
      <c r="Q87" s="105"/>
      <c r="R87" s="53" t="s">
        <v>5355</v>
      </c>
    </row>
    <row r="88" spans="1:18">
      <c r="A88" s="105" t="s">
        <v>5356</v>
      </c>
      <c r="B88" s="127">
        <f>ROUND(10, 3)</f>
        <v>10</v>
      </c>
      <c r="C88" s="105" t="str">
        <f>FIXED(100, 1)</f>
        <v>100.0</v>
      </c>
      <c r="D88" s="105" t="str">
        <f>IF(TRUE = TRUE, "Yes", "No")</f>
        <v>Yes</v>
      </c>
      <c r="E88" s="105" t="s">
        <v>5202</v>
      </c>
      <c r="F88" s="105"/>
      <c r="G88" s="105" t="str">
        <f>CHOOSE((0+1), "3", "1", "1")</f>
        <v>3</v>
      </c>
      <c r="H88" s="242" t="str">
        <f>CHOOSE((0+1), "--", "2", "3")</f>
        <v>--</v>
      </c>
      <c r="I88" s="105">
        <v>80</v>
      </c>
      <c r="J88" s="105">
        <v>125</v>
      </c>
      <c r="K88" s="105">
        <v>0</v>
      </c>
      <c r="L88" s="105">
        <v>0</v>
      </c>
      <c r="M88" s="243">
        <f>ROUND(0, 1)</f>
        <v>0</v>
      </c>
      <c r="N88" s="242">
        <f>ROUND(0, 1)</f>
        <v>0</v>
      </c>
      <c r="O88" s="242">
        <f>ROUND(0, 1)</f>
        <v>0</v>
      </c>
      <c r="P88" s="242">
        <f>ROUND(0, 1)</f>
        <v>0</v>
      </c>
      <c r="Q88" s="105"/>
      <c r="R88" s="53" t="s">
        <v>5357</v>
      </c>
    </row>
    <row r="89" spans="1:18">
      <c r="A89" s="105" t="s">
        <v>5358</v>
      </c>
      <c r="B89" s="127">
        <f>ROUND(10, 3)</f>
        <v>10</v>
      </c>
      <c r="C89" s="105" t="str">
        <f>FIXED(100, 1)</f>
        <v>100.0</v>
      </c>
      <c r="D89" s="105" t="str">
        <f>IF(TRUE = TRUE, "Yes", "No")</f>
        <v>Yes</v>
      </c>
      <c r="E89" s="105" t="s">
        <v>5202</v>
      </c>
      <c r="F89" s="105"/>
      <c r="G89" s="105" t="str">
        <f>CHOOSE((0+1), "3", "1", "1")</f>
        <v>3</v>
      </c>
      <c r="H89" s="242" t="str">
        <f>CHOOSE((0+1), "--", "2", "3")</f>
        <v>--</v>
      </c>
      <c r="I89" s="105">
        <v>80</v>
      </c>
      <c r="J89" s="105">
        <v>125</v>
      </c>
      <c r="K89" s="105">
        <v>0</v>
      </c>
      <c r="L89" s="105">
        <v>0</v>
      </c>
      <c r="M89" s="243">
        <f>ROUND(0, 1)</f>
        <v>0</v>
      </c>
      <c r="N89" s="242">
        <f>ROUND(0, 1)</f>
        <v>0</v>
      </c>
      <c r="O89" s="242">
        <f>ROUND(0, 1)</f>
        <v>0</v>
      </c>
      <c r="P89" s="242">
        <f>ROUND(0, 1)</f>
        <v>0</v>
      </c>
      <c r="Q89" s="105"/>
      <c r="R89" s="53" t="s">
        <v>5359</v>
      </c>
    </row>
    <row r="90" spans="1:18">
      <c r="A90" s="105" t="s">
        <v>5360</v>
      </c>
      <c r="B90" s="127">
        <f>ROUND(10, 3)</f>
        <v>10</v>
      </c>
      <c r="C90" s="105" t="str">
        <f>FIXED(100, 1)</f>
        <v>100.0</v>
      </c>
      <c r="D90" s="105" t="str">
        <f>IF(TRUE = TRUE, "Yes", "No")</f>
        <v>Yes</v>
      </c>
      <c r="E90" s="105" t="s">
        <v>5202</v>
      </c>
      <c r="F90" s="105"/>
      <c r="G90" s="105" t="str">
        <f>CHOOSE((0+1), "3", "1", "1")</f>
        <v>3</v>
      </c>
      <c r="H90" s="242" t="str">
        <f>CHOOSE((0+1), "--", "2", "3")</f>
        <v>--</v>
      </c>
      <c r="I90" s="105">
        <v>80</v>
      </c>
      <c r="J90" s="105">
        <v>125</v>
      </c>
      <c r="K90" s="105">
        <v>0</v>
      </c>
      <c r="L90" s="105">
        <v>0</v>
      </c>
      <c r="M90" s="243">
        <f>ROUND(0, 1)</f>
        <v>0</v>
      </c>
      <c r="N90" s="242">
        <f>ROUND(0, 1)</f>
        <v>0</v>
      </c>
      <c r="O90" s="242">
        <f>ROUND(0, 1)</f>
        <v>0</v>
      </c>
      <c r="P90" s="242">
        <f>ROUND(0, 1)</f>
        <v>0</v>
      </c>
      <c r="Q90" s="105"/>
      <c r="R90" s="53" t="s">
        <v>5361</v>
      </c>
    </row>
    <row r="91" spans="1:18">
      <c r="A91" s="105" t="s">
        <v>5362</v>
      </c>
      <c r="B91" s="127">
        <f>ROUND(10, 3)</f>
        <v>10</v>
      </c>
      <c r="C91" s="105" t="str">
        <f>FIXED(100, 1)</f>
        <v>100.0</v>
      </c>
      <c r="D91" s="105" t="str">
        <f>IF(TRUE = TRUE, "Yes", "No")</f>
        <v>Yes</v>
      </c>
      <c r="E91" s="105" t="s">
        <v>5202</v>
      </c>
      <c r="F91" s="105"/>
      <c r="G91" s="105" t="str">
        <f>CHOOSE((0+1), "3", "1", "1")</f>
        <v>3</v>
      </c>
      <c r="H91" s="242" t="str">
        <f>CHOOSE((0+1), "--", "2", "3")</f>
        <v>--</v>
      </c>
      <c r="I91" s="105">
        <v>80</v>
      </c>
      <c r="J91" s="105">
        <v>125</v>
      </c>
      <c r="K91" s="105">
        <v>0</v>
      </c>
      <c r="L91" s="105">
        <v>0</v>
      </c>
      <c r="M91" s="243">
        <f>ROUND(0, 1)</f>
        <v>0</v>
      </c>
      <c r="N91" s="242">
        <f>ROUND(0, 1)</f>
        <v>0</v>
      </c>
      <c r="O91" s="242">
        <f>ROUND(0, 1)</f>
        <v>0</v>
      </c>
      <c r="P91" s="242">
        <f>ROUND(0, 1)</f>
        <v>0</v>
      </c>
      <c r="Q91" s="105"/>
      <c r="R91" s="53" t="s">
        <v>5363</v>
      </c>
    </row>
    <row r="92" spans="1:18">
      <c r="A92" s="105" t="s">
        <v>5364</v>
      </c>
      <c r="B92" s="127">
        <f>ROUND(10, 3)</f>
        <v>10</v>
      </c>
      <c r="C92" s="105" t="str">
        <f>FIXED(100, 1)</f>
        <v>100.0</v>
      </c>
      <c r="D92" s="105" t="str">
        <f>IF(TRUE = TRUE, "Yes", "No")</f>
        <v>Yes</v>
      </c>
      <c r="E92" s="105" t="s">
        <v>5202</v>
      </c>
      <c r="F92" s="105"/>
      <c r="G92" s="105" t="str">
        <f>CHOOSE((0+1), "3", "1", "1")</f>
        <v>3</v>
      </c>
      <c r="H92" s="242" t="str">
        <f>CHOOSE((0+1), "--", "2", "3")</f>
        <v>--</v>
      </c>
      <c r="I92" s="105">
        <v>80</v>
      </c>
      <c r="J92" s="105">
        <v>125</v>
      </c>
      <c r="K92" s="105">
        <v>0</v>
      </c>
      <c r="L92" s="105">
        <v>0</v>
      </c>
      <c r="M92" s="243">
        <f>ROUND(0, 1)</f>
        <v>0</v>
      </c>
      <c r="N92" s="242">
        <f>ROUND(0, 1)</f>
        <v>0</v>
      </c>
      <c r="O92" s="242">
        <f>ROUND(0, 1)</f>
        <v>0</v>
      </c>
      <c r="P92" s="242">
        <f>ROUND(0, 1)</f>
        <v>0</v>
      </c>
      <c r="Q92" s="105"/>
      <c r="R92" s="53" t="s">
        <v>5365</v>
      </c>
    </row>
    <row r="93" spans="1:18">
      <c r="A93" s="105" t="s">
        <v>5366</v>
      </c>
      <c r="B93" s="127">
        <f>ROUND(10, 3)</f>
        <v>10</v>
      </c>
      <c r="C93" s="105" t="str">
        <f>FIXED(100, 1)</f>
        <v>100.0</v>
      </c>
      <c r="D93" s="105" t="str">
        <f>IF(TRUE = TRUE, "Yes", "No")</f>
        <v>Yes</v>
      </c>
      <c r="E93" s="105" t="s">
        <v>5202</v>
      </c>
      <c r="F93" s="105"/>
      <c r="G93" s="105" t="str">
        <f>CHOOSE((0+1), "3", "1", "1")</f>
        <v>3</v>
      </c>
      <c r="H93" s="242" t="str">
        <f>CHOOSE((0+1), "--", "2", "3")</f>
        <v>--</v>
      </c>
      <c r="I93" s="105">
        <v>80</v>
      </c>
      <c r="J93" s="105">
        <v>125</v>
      </c>
      <c r="K93" s="105">
        <v>0</v>
      </c>
      <c r="L93" s="105">
        <v>0</v>
      </c>
      <c r="M93" s="243">
        <f>ROUND(0, 1)</f>
        <v>0</v>
      </c>
      <c r="N93" s="242">
        <f>ROUND(0, 1)</f>
        <v>0</v>
      </c>
      <c r="O93" s="242">
        <f>ROUND(0, 1)</f>
        <v>0</v>
      </c>
      <c r="P93" s="242">
        <f>ROUND(0, 1)</f>
        <v>0</v>
      </c>
      <c r="Q93" s="105"/>
      <c r="R93" s="53" t="s">
        <v>5367</v>
      </c>
    </row>
    <row r="94" spans="1:18">
      <c r="A94" s="105" t="s">
        <v>5368</v>
      </c>
      <c r="B94" s="127">
        <f>ROUND(10, 3)</f>
        <v>10</v>
      </c>
      <c r="C94" s="105" t="str">
        <f>FIXED(100, 1)</f>
        <v>100.0</v>
      </c>
      <c r="D94" s="105" t="str">
        <f>IF(TRUE = TRUE, "Yes", "No")</f>
        <v>Yes</v>
      </c>
      <c r="E94" s="105" t="s">
        <v>5202</v>
      </c>
      <c r="F94" s="105"/>
      <c r="G94" s="105" t="str">
        <f>CHOOSE((0+1), "3", "1", "1")</f>
        <v>3</v>
      </c>
      <c r="H94" s="242" t="str">
        <f>CHOOSE((0+1), "--", "2", "3")</f>
        <v>--</v>
      </c>
      <c r="I94" s="105">
        <v>80</v>
      </c>
      <c r="J94" s="105">
        <v>125</v>
      </c>
      <c r="K94" s="105">
        <v>0</v>
      </c>
      <c r="L94" s="105">
        <v>0</v>
      </c>
      <c r="M94" s="243">
        <f>ROUND(0, 1)</f>
        <v>0</v>
      </c>
      <c r="N94" s="242">
        <f>ROUND(0, 1)</f>
        <v>0</v>
      </c>
      <c r="O94" s="242">
        <f>ROUND(0, 1)</f>
        <v>0</v>
      </c>
      <c r="P94" s="242">
        <f>ROUND(0, 1)</f>
        <v>0</v>
      </c>
      <c r="Q94" s="105"/>
      <c r="R94" s="53" t="s">
        <v>5369</v>
      </c>
    </row>
    <row r="95" spans="1:18">
      <c r="A95" s="105" t="s">
        <v>5370</v>
      </c>
      <c r="B95" s="127">
        <f>ROUND(10, 3)</f>
        <v>10</v>
      </c>
      <c r="C95" s="105" t="str">
        <f>FIXED(100, 1)</f>
        <v>100.0</v>
      </c>
      <c r="D95" s="105" t="str">
        <f>IF(TRUE = TRUE, "Yes", "No")</f>
        <v>Yes</v>
      </c>
      <c r="E95" s="105" t="s">
        <v>5202</v>
      </c>
      <c r="F95" s="105"/>
      <c r="G95" s="105" t="str">
        <f>CHOOSE((0+1), "3", "1", "1")</f>
        <v>3</v>
      </c>
      <c r="H95" s="242" t="str">
        <f>CHOOSE((0+1), "--", "2", "3")</f>
        <v>--</v>
      </c>
      <c r="I95" s="105">
        <v>80</v>
      </c>
      <c r="J95" s="105">
        <v>125</v>
      </c>
      <c r="K95" s="105">
        <v>0</v>
      </c>
      <c r="L95" s="105">
        <v>0</v>
      </c>
      <c r="M95" s="243">
        <f>ROUND(0, 1)</f>
        <v>0</v>
      </c>
      <c r="N95" s="242">
        <f>ROUND(0, 1)</f>
        <v>0</v>
      </c>
      <c r="O95" s="242">
        <f>ROUND(0, 1)</f>
        <v>0</v>
      </c>
      <c r="P95" s="242">
        <f>ROUND(0, 1)</f>
        <v>0</v>
      </c>
      <c r="Q95" s="105"/>
      <c r="R95" s="53" t="s">
        <v>5371</v>
      </c>
    </row>
    <row r="96" spans="1:18">
      <c r="A96" s="105" t="s">
        <v>5372</v>
      </c>
      <c r="B96" s="127">
        <f>ROUND(10, 3)</f>
        <v>10</v>
      </c>
      <c r="C96" s="105" t="str">
        <f>FIXED(100, 1)</f>
        <v>100.0</v>
      </c>
      <c r="D96" s="105" t="str">
        <f>IF(TRUE = TRUE, "Yes", "No")</f>
        <v>Yes</v>
      </c>
      <c r="E96" s="105" t="s">
        <v>5202</v>
      </c>
      <c r="F96" s="105"/>
      <c r="G96" s="105" t="str">
        <f>CHOOSE((0+1), "3", "1", "1")</f>
        <v>3</v>
      </c>
      <c r="H96" s="242" t="str">
        <f>CHOOSE((0+1), "--", "2", "3")</f>
        <v>--</v>
      </c>
      <c r="I96" s="105">
        <v>80</v>
      </c>
      <c r="J96" s="105">
        <v>125</v>
      </c>
      <c r="K96" s="105">
        <v>0</v>
      </c>
      <c r="L96" s="105">
        <v>0</v>
      </c>
      <c r="M96" s="243">
        <f>ROUND(0, 1)</f>
        <v>0</v>
      </c>
      <c r="N96" s="242">
        <f>ROUND(0, 1)</f>
        <v>0</v>
      </c>
      <c r="O96" s="242">
        <f>ROUND(0, 1)</f>
        <v>0</v>
      </c>
      <c r="P96" s="242">
        <f>ROUND(0, 1)</f>
        <v>0</v>
      </c>
      <c r="Q96" s="105"/>
      <c r="R96" s="53" t="s">
        <v>5373</v>
      </c>
    </row>
    <row r="97" spans="1:18">
      <c r="A97" s="105" t="s">
        <v>5374</v>
      </c>
      <c r="B97" s="127">
        <f>ROUND(10, 3)</f>
        <v>10</v>
      </c>
      <c r="C97" s="105" t="str">
        <f>FIXED(100, 1)</f>
        <v>100.0</v>
      </c>
      <c r="D97" s="105" t="str">
        <f>IF(TRUE = TRUE, "Yes", "No")</f>
        <v>Yes</v>
      </c>
      <c r="E97" s="105" t="s">
        <v>5202</v>
      </c>
      <c r="F97" s="105"/>
      <c r="G97" s="105" t="str">
        <f>CHOOSE((0+1), "3", "1", "1")</f>
        <v>3</v>
      </c>
      <c r="H97" s="242" t="str">
        <f>CHOOSE((0+1), "--", "2", "3")</f>
        <v>--</v>
      </c>
      <c r="I97" s="105">
        <v>80</v>
      </c>
      <c r="J97" s="105">
        <v>125</v>
      </c>
      <c r="K97" s="105">
        <v>0</v>
      </c>
      <c r="L97" s="105">
        <v>0</v>
      </c>
      <c r="M97" s="243">
        <f>ROUND(0, 1)</f>
        <v>0</v>
      </c>
      <c r="N97" s="242">
        <f>ROUND(0, 1)</f>
        <v>0</v>
      </c>
      <c r="O97" s="242">
        <f>ROUND(0, 1)</f>
        <v>0</v>
      </c>
      <c r="P97" s="242">
        <f>ROUND(0, 1)</f>
        <v>0</v>
      </c>
      <c r="Q97" s="105"/>
      <c r="R97" s="53" t="s">
        <v>5375</v>
      </c>
    </row>
    <row r="98" spans="1:18">
      <c r="A98" s="105" t="s">
        <v>5376</v>
      </c>
      <c r="B98" s="127">
        <f>ROUND(10, 3)</f>
        <v>10</v>
      </c>
      <c r="C98" s="105" t="str">
        <f>FIXED(100, 1)</f>
        <v>100.0</v>
      </c>
      <c r="D98" s="105" t="str">
        <f>IF(TRUE = TRUE, "Yes", "No")</f>
        <v>Yes</v>
      </c>
      <c r="E98" s="105" t="s">
        <v>5202</v>
      </c>
      <c r="F98" s="105"/>
      <c r="G98" s="105" t="str">
        <f>CHOOSE((0+1), "3", "1", "1")</f>
        <v>3</v>
      </c>
      <c r="H98" s="242" t="str">
        <f>CHOOSE((0+1), "--", "2", "3")</f>
        <v>--</v>
      </c>
      <c r="I98" s="105">
        <v>80</v>
      </c>
      <c r="J98" s="105">
        <v>125</v>
      </c>
      <c r="K98" s="105">
        <v>0</v>
      </c>
      <c r="L98" s="105">
        <v>0</v>
      </c>
      <c r="M98" s="243">
        <f>ROUND(0, 1)</f>
        <v>0</v>
      </c>
      <c r="N98" s="242">
        <f>ROUND(0, 1)</f>
        <v>0</v>
      </c>
      <c r="O98" s="242">
        <f>ROUND(0, 1)</f>
        <v>0</v>
      </c>
      <c r="P98" s="242">
        <f>ROUND(0, 1)</f>
        <v>0</v>
      </c>
      <c r="Q98" s="105"/>
      <c r="R98" s="53" t="s">
        <v>5377</v>
      </c>
    </row>
    <row r="99" spans="1:18">
      <c r="A99" s="105" t="s">
        <v>5378</v>
      </c>
      <c r="B99" s="127">
        <f>ROUND(10, 3)</f>
        <v>10</v>
      </c>
      <c r="C99" s="105" t="str">
        <f>FIXED(100, 1)</f>
        <v>100.0</v>
      </c>
      <c r="D99" s="105" t="str">
        <f>IF(TRUE = TRUE, "Yes", "No")</f>
        <v>Yes</v>
      </c>
      <c r="E99" s="105" t="s">
        <v>5202</v>
      </c>
      <c r="F99" s="105"/>
      <c r="G99" s="105" t="str">
        <f>CHOOSE((0+1), "3", "1", "1")</f>
        <v>3</v>
      </c>
      <c r="H99" s="242" t="str">
        <f>CHOOSE((0+1), "--", "2", "3")</f>
        <v>--</v>
      </c>
      <c r="I99" s="105">
        <v>80</v>
      </c>
      <c r="J99" s="105">
        <v>125</v>
      </c>
      <c r="K99" s="105">
        <v>0</v>
      </c>
      <c r="L99" s="105">
        <v>0</v>
      </c>
      <c r="M99" s="243">
        <f>ROUND(0, 1)</f>
        <v>0</v>
      </c>
      <c r="N99" s="242">
        <f>ROUND(0, 1)</f>
        <v>0</v>
      </c>
      <c r="O99" s="242">
        <f>ROUND(0, 1)</f>
        <v>0</v>
      </c>
      <c r="P99" s="242">
        <f>ROUND(0, 1)</f>
        <v>0</v>
      </c>
      <c r="Q99" s="105"/>
      <c r="R99" s="53" t="s">
        <v>5379</v>
      </c>
    </row>
    <row r="100" spans="1:18">
      <c r="A100" s="105" t="s">
        <v>5380</v>
      </c>
      <c r="B100" s="127">
        <f>ROUND(10, 3)</f>
        <v>10</v>
      </c>
      <c r="C100" s="105" t="str">
        <f>FIXED(100, 1)</f>
        <v>100.0</v>
      </c>
      <c r="D100" s="105" t="str">
        <f>IF(TRUE = TRUE, "Yes", "No")</f>
        <v>Yes</v>
      </c>
      <c r="E100" s="105" t="s">
        <v>5202</v>
      </c>
      <c r="F100" s="105"/>
      <c r="G100" s="105" t="str">
        <f>CHOOSE((0+1), "3", "1", "1")</f>
        <v>3</v>
      </c>
      <c r="H100" s="242" t="str">
        <f>CHOOSE((0+1), "--", "2", "3")</f>
        <v>--</v>
      </c>
      <c r="I100" s="105">
        <v>80</v>
      </c>
      <c r="J100" s="105">
        <v>125</v>
      </c>
      <c r="K100" s="105">
        <v>0</v>
      </c>
      <c r="L100" s="105">
        <v>0</v>
      </c>
      <c r="M100" s="243">
        <f>ROUND(0, 1)</f>
        <v>0</v>
      </c>
      <c r="N100" s="242">
        <f>ROUND(0, 1)</f>
        <v>0</v>
      </c>
      <c r="O100" s="242">
        <f>ROUND(0, 1)</f>
        <v>0</v>
      </c>
      <c r="P100" s="242">
        <f>ROUND(0, 1)</f>
        <v>0</v>
      </c>
      <c r="Q100" s="105"/>
      <c r="R100" s="53" t="s">
        <v>5381</v>
      </c>
    </row>
    <row r="101" spans="1:18">
      <c r="A101" s="105" t="s">
        <v>5382</v>
      </c>
      <c r="B101" s="127">
        <f>ROUND(10, 3)</f>
        <v>10</v>
      </c>
      <c r="C101" s="105" t="str">
        <f>FIXED(100, 1)</f>
        <v>100.0</v>
      </c>
      <c r="D101" s="105" t="str">
        <f>IF(TRUE = TRUE, "Yes", "No")</f>
        <v>Yes</v>
      </c>
      <c r="E101" s="105" t="s">
        <v>5202</v>
      </c>
      <c r="F101" s="105"/>
      <c r="G101" s="105" t="str">
        <f>CHOOSE((0+1), "3", "1", "1")</f>
        <v>3</v>
      </c>
      <c r="H101" s="242" t="str">
        <f>CHOOSE((0+1), "--", "2", "3")</f>
        <v>--</v>
      </c>
      <c r="I101" s="105">
        <v>80</v>
      </c>
      <c r="J101" s="105">
        <v>125</v>
      </c>
      <c r="K101" s="105">
        <v>0</v>
      </c>
      <c r="L101" s="105">
        <v>0</v>
      </c>
      <c r="M101" s="243">
        <f>ROUND(0, 1)</f>
        <v>0</v>
      </c>
      <c r="N101" s="242">
        <f>ROUND(0, 1)</f>
        <v>0</v>
      </c>
      <c r="O101" s="242">
        <f>ROUND(0, 1)</f>
        <v>0</v>
      </c>
      <c r="P101" s="242">
        <f>ROUND(0, 1)</f>
        <v>0</v>
      </c>
      <c r="Q101" s="105"/>
      <c r="R101" s="53" t="s">
        <v>5383</v>
      </c>
    </row>
    <row r="102" spans="1:18">
      <c r="A102" s="105" t="s">
        <v>5384</v>
      </c>
      <c r="B102" s="127">
        <f>ROUND(10, 3)</f>
        <v>10</v>
      </c>
      <c r="C102" s="105" t="str">
        <f>FIXED(100, 1)</f>
        <v>100.0</v>
      </c>
      <c r="D102" s="105" t="str">
        <f>IF(TRUE = TRUE, "Yes", "No")</f>
        <v>Yes</v>
      </c>
      <c r="E102" s="105" t="s">
        <v>5202</v>
      </c>
      <c r="F102" s="105"/>
      <c r="G102" s="105" t="str">
        <f>CHOOSE((0+1), "3", "1", "1")</f>
        <v>3</v>
      </c>
      <c r="H102" s="242" t="str">
        <f>CHOOSE((0+1), "--", "2", "3")</f>
        <v>--</v>
      </c>
      <c r="I102" s="105">
        <v>80</v>
      </c>
      <c r="J102" s="105">
        <v>125</v>
      </c>
      <c r="K102" s="105">
        <v>0</v>
      </c>
      <c r="L102" s="105">
        <v>0</v>
      </c>
      <c r="M102" s="243">
        <f>ROUND(0, 1)</f>
        <v>0</v>
      </c>
      <c r="N102" s="242">
        <f>ROUND(0, 1)</f>
        <v>0</v>
      </c>
      <c r="O102" s="242">
        <f>ROUND(0, 1)</f>
        <v>0</v>
      </c>
      <c r="P102" s="242">
        <f>ROUND(0, 1)</f>
        <v>0</v>
      </c>
      <c r="Q102" s="105"/>
      <c r="R102" s="53" t="s">
        <v>5385</v>
      </c>
    </row>
    <row r="103" spans="1:18">
      <c r="A103" s="105" t="s">
        <v>5386</v>
      </c>
      <c r="B103" s="127">
        <f>ROUND(10, 3)</f>
        <v>10</v>
      </c>
      <c r="C103" s="105" t="str">
        <f>FIXED(100, 1)</f>
        <v>100.0</v>
      </c>
      <c r="D103" s="105" t="str">
        <f>IF(TRUE = TRUE, "Yes", "No")</f>
        <v>Yes</v>
      </c>
      <c r="E103" s="105" t="s">
        <v>5202</v>
      </c>
      <c r="F103" s="105"/>
      <c r="G103" s="105" t="str">
        <f>CHOOSE((0+1), "3", "1", "1")</f>
        <v>3</v>
      </c>
      <c r="H103" s="242" t="str">
        <f>CHOOSE((0+1), "--", "2", "3")</f>
        <v>--</v>
      </c>
      <c r="I103" s="105">
        <v>80</v>
      </c>
      <c r="J103" s="105">
        <v>125</v>
      </c>
      <c r="K103" s="105">
        <v>0</v>
      </c>
      <c r="L103" s="105">
        <v>0</v>
      </c>
      <c r="M103" s="243">
        <f>ROUND(0, 1)</f>
        <v>0</v>
      </c>
      <c r="N103" s="242">
        <f>ROUND(0, 1)</f>
        <v>0</v>
      </c>
      <c r="O103" s="242">
        <f>ROUND(0, 1)</f>
        <v>0</v>
      </c>
      <c r="P103" s="242">
        <f>ROUND(0, 1)</f>
        <v>0</v>
      </c>
      <c r="Q103" s="105"/>
      <c r="R103" s="53" t="s">
        <v>5387</v>
      </c>
    </row>
    <row r="104" spans="1:18">
      <c r="A104" s="105" t="s">
        <v>5388</v>
      </c>
      <c r="B104" s="127">
        <f>ROUND(10, 3)</f>
        <v>10</v>
      </c>
      <c r="C104" s="105" t="str">
        <f>FIXED(100, 1)</f>
        <v>100.0</v>
      </c>
      <c r="D104" s="105" t="str">
        <f>IF(TRUE = TRUE, "Yes", "No")</f>
        <v>Yes</v>
      </c>
      <c r="E104" s="105" t="s">
        <v>5202</v>
      </c>
      <c r="F104" s="105"/>
      <c r="G104" s="105" t="str">
        <f>CHOOSE((0+1), "3", "1", "1")</f>
        <v>3</v>
      </c>
      <c r="H104" s="242" t="str">
        <f>CHOOSE((0+1), "--", "2", "3")</f>
        <v>--</v>
      </c>
      <c r="I104" s="105">
        <v>80</v>
      </c>
      <c r="J104" s="105">
        <v>125</v>
      </c>
      <c r="K104" s="105">
        <v>0</v>
      </c>
      <c r="L104" s="105">
        <v>0</v>
      </c>
      <c r="M104" s="243">
        <f>ROUND(0, 1)</f>
        <v>0</v>
      </c>
      <c r="N104" s="242">
        <f>ROUND(0, 1)</f>
        <v>0</v>
      </c>
      <c r="O104" s="242">
        <f>ROUND(0, 1)</f>
        <v>0</v>
      </c>
      <c r="P104" s="242">
        <f>ROUND(0, 1)</f>
        <v>0</v>
      </c>
      <c r="Q104" s="105"/>
      <c r="R104" s="53" t="s">
        <v>5389</v>
      </c>
    </row>
    <row r="105" spans="1:18">
      <c r="A105" s="105" t="s">
        <v>5390</v>
      </c>
      <c r="B105" s="127">
        <f>ROUND(10, 3)</f>
        <v>10</v>
      </c>
      <c r="C105" s="105" t="str">
        <f>FIXED(100, 1)</f>
        <v>100.0</v>
      </c>
      <c r="D105" s="105" t="str">
        <f>IF(TRUE = TRUE, "Yes", "No")</f>
        <v>Yes</v>
      </c>
      <c r="E105" s="105" t="s">
        <v>5202</v>
      </c>
      <c r="F105" s="105"/>
      <c r="G105" s="105" t="str">
        <f>CHOOSE((0+1), "3", "1", "1")</f>
        <v>3</v>
      </c>
      <c r="H105" s="242" t="str">
        <f>CHOOSE((0+1), "--", "2", "3")</f>
        <v>--</v>
      </c>
      <c r="I105" s="105">
        <v>80</v>
      </c>
      <c r="J105" s="105">
        <v>125</v>
      </c>
      <c r="K105" s="105">
        <v>0</v>
      </c>
      <c r="L105" s="105">
        <v>0</v>
      </c>
      <c r="M105" s="243">
        <f>ROUND(0, 1)</f>
        <v>0</v>
      </c>
      <c r="N105" s="242">
        <f>ROUND(0, 1)</f>
        <v>0</v>
      </c>
      <c r="O105" s="242">
        <f>ROUND(0, 1)</f>
        <v>0</v>
      </c>
      <c r="P105" s="242">
        <f>ROUND(0, 1)</f>
        <v>0</v>
      </c>
      <c r="Q105" s="105"/>
      <c r="R105" s="53" t="s">
        <v>5391</v>
      </c>
    </row>
    <row r="106" spans="1:18">
      <c r="A106" s="105" t="s">
        <v>5392</v>
      </c>
      <c r="B106" s="127">
        <f>ROUND(10, 3)</f>
        <v>10</v>
      </c>
      <c r="C106" s="105" t="str">
        <f>FIXED(100, 1)</f>
        <v>100.0</v>
      </c>
      <c r="D106" s="105" t="str">
        <f>IF(TRUE = TRUE, "Yes", "No")</f>
        <v>Yes</v>
      </c>
      <c r="E106" s="105" t="s">
        <v>5202</v>
      </c>
      <c r="F106" s="105"/>
      <c r="G106" s="105" t="str">
        <f>CHOOSE((0+1), "3", "1", "1")</f>
        <v>3</v>
      </c>
      <c r="H106" s="242" t="str">
        <f>CHOOSE((0+1), "--", "2", "3")</f>
        <v>--</v>
      </c>
      <c r="I106" s="105">
        <v>80</v>
      </c>
      <c r="J106" s="105">
        <v>125</v>
      </c>
      <c r="K106" s="105">
        <v>0</v>
      </c>
      <c r="L106" s="105">
        <v>0</v>
      </c>
      <c r="M106" s="243">
        <f>ROUND(0, 1)</f>
        <v>0</v>
      </c>
      <c r="N106" s="242">
        <f>ROUND(0, 1)</f>
        <v>0</v>
      </c>
      <c r="O106" s="242">
        <f>ROUND(0, 1)</f>
        <v>0</v>
      </c>
      <c r="P106" s="242">
        <f>ROUND(0, 1)</f>
        <v>0</v>
      </c>
      <c r="Q106" s="105"/>
      <c r="R106" s="53" t="s">
        <v>5393</v>
      </c>
    </row>
    <row r="107" spans="1:18">
      <c r="A107" s="105" t="s">
        <v>5394</v>
      </c>
      <c r="B107" s="127">
        <f>ROUND(10, 3)</f>
        <v>10</v>
      </c>
      <c r="C107" s="105" t="str">
        <f>FIXED(100, 1)</f>
        <v>100.0</v>
      </c>
      <c r="D107" s="105" t="str">
        <f>IF(TRUE = TRUE, "Yes", "No")</f>
        <v>Yes</v>
      </c>
      <c r="E107" s="105" t="s">
        <v>5202</v>
      </c>
      <c r="F107" s="105"/>
      <c r="G107" s="105" t="str">
        <f>CHOOSE((0+1), "3", "1", "1")</f>
        <v>3</v>
      </c>
      <c r="H107" s="242" t="str">
        <f>CHOOSE((0+1), "--", "2", "3")</f>
        <v>--</v>
      </c>
      <c r="I107" s="105">
        <v>80</v>
      </c>
      <c r="J107" s="105">
        <v>125</v>
      </c>
      <c r="K107" s="105">
        <v>0</v>
      </c>
      <c r="L107" s="105">
        <v>0</v>
      </c>
      <c r="M107" s="243">
        <f>ROUND(0, 1)</f>
        <v>0</v>
      </c>
      <c r="N107" s="242">
        <f>ROUND(0, 1)</f>
        <v>0</v>
      </c>
      <c r="O107" s="242">
        <f>ROUND(0, 1)</f>
        <v>0</v>
      </c>
      <c r="P107" s="242">
        <f>ROUND(0, 1)</f>
        <v>0</v>
      </c>
      <c r="Q107" s="105"/>
      <c r="R107" s="53" t="s">
        <v>5395</v>
      </c>
    </row>
    <row r="108" spans="1:18">
      <c r="A108" s="105" t="s">
        <v>5396</v>
      </c>
      <c r="B108" s="127">
        <f>ROUND(10, 3)</f>
        <v>10</v>
      </c>
      <c r="C108" s="105" t="str">
        <f>FIXED(100, 1)</f>
        <v>100.0</v>
      </c>
      <c r="D108" s="105" t="str">
        <f>IF(TRUE = TRUE, "Yes", "No")</f>
        <v>Yes</v>
      </c>
      <c r="E108" s="105" t="s">
        <v>5202</v>
      </c>
      <c r="F108" s="105"/>
      <c r="G108" s="105" t="str">
        <f>CHOOSE((0+1), "3", "1", "1")</f>
        <v>3</v>
      </c>
      <c r="H108" s="242" t="str">
        <f>CHOOSE((0+1), "--", "2", "3")</f>
        <v>--</v>
      </c>
      <c r="I108" s="105">
        <v>80</v>
      </c>
      <c r="J108" s="105">
        <v>125</v>
      </c>
      <c r="K108" s="105">
        <v>0</v>
      </c>
      <c r="L108" s="105">
        <v>0</v>
      </c>
      <c r="M108" s="243">
        <f>ROUND(0, 1)</f>
        <v>0</v>
      </c>
      <c r="N108" s="242">
        <f>ROUND(0, 1)</f>
        <v>0</v>
      </c>
      <c r="O108" s="242">
        <f>ROUND(0, 1)</f>
        <v>0</v>
      </c>
      <c r="P108" s="242">
        <f>ROUND(0, 1)</f>
        <v>0</v>
      </c>
      <c r="Q108" s="105"/>
      <c r="R108" s="53" t="s">
        <v>5397</v>
      </c>
    </row>
    <row r="109" spans="1:18">
      <c r="A109" s="105" t="s">
        <v>5398</v>
      </c>
      <c r="B109" s="127">
        <f>ROUND(10, 3)</f>
        <v>10</v>
      </c>
      <c r="C109" s="105" t="str">
        <f>FIXED(100, 1)</f>
        <v>100.0</v>
      </c>
      <c r="D109" s="105" t="str">
        <f>IF(TRUE = TRUE, "Yes", "No")</f>
        <v>Yes</v>
      </c>
      <c r="E109" s="105" t="s">
        <v>5202</v>
      </c>
      <c r="F109" s="105"/>
      <c r="G109" s="105" t="str">
        <f>CHOOSE((0+1), "3", "1", "1")</f>
        <v>3</v>
      </c>
      <c r="H109" s="242" t="str">
        <f>CHOOSE((0+1), "--", "2", "3")</f>
        <v>--</v>
      </c>
      <c r="I109" s="105">
        <v>80</v>
      </c>
      <c r="J109" s="105">
        <v>125</v>
      </c>
      <c r="K109" s="105">
        <v>0</v>
      </c>
      <c r="L109" s="105">
        <v>0</v>
      </c>
      <c r="M109" s="243">
        <f>ROUND(0, 1)</f>
        <v>0</v>
      </c>
      <c r="N109" s="242">
        <f>ROUND(0, 1)</f>
        <v>0</v>
      </c>
      <c r="O109" s="242">
        <f>ROUND(0, 1)</f>
        <v>0</v>
      </c>
      <c r="P109" s="242">
        <f>ROUND(0, 1)</f>
        <v>0</v>
      </c>
      <c r="Q109" s="105"/>
      <c r="R109" s="53" t="s">
        <v>5399</v>
      </c>
    </row>
    <row r="110" spans="1:18">
      <c r="A110" s="105" t="s">
        <v>5400</v>
      </c>
      <c r="B110" s="127">
        <f>ROUND(10, 3)</f>
        <v>10</v>
      </c>
      <c r="C110" s="105" t="str">
        <f>FIXED(100, 1)</f>
        <v>100.0</v>
      </c>
      <c r="D110" s="105" t="str">
        <f>IF(TRUE = TRUE, "Yes", "No")</f>
        <v>Yes</v>
      </c>
      <c r="E110" s="105" t="s">
        <v>5202</v>
      </c>
      <c r="F110" s="105"/>
      <c r="G110" s="105" t="str">
        <f>CHOOSE((0+1), "3", "1", "1")</f>
        <v>3</v>
      </c>
      <c r="H110" s="242" t="str">
        <f>CHOOSE((0+1), "--", "2", "3")</f>
        <v>--</v>
      </c>
      <c r="I110" s="105">
        <v>80</v>
      </c>
      <c r="J110" s="105">
        <v>125</v>
      </c>
      <c r="K110" s="105">
        <v>0</v>
      </c>
      <c r="L110" s="105">
        <v>0</v>
      </c>
      <c r="M110" s="243">
        <f>ROUND(0, 1)</f>
        <v>0</v>
      </c>
      <c r="N110" s="242">
        <f>ROUND(0, 1)</f>
        <v>0</v>
      </c>
      <c r="O110" s="242">
        <f>ROUND(0, 1)</f>
        <v>0</v>
      </c>
      <c r="P110" s="242">
        <f>ROUND(0, 1)</f>
        <v>0</v>
      </c>
      <c r="Q110" s="105"/>
      <c r="R110" s="53" t="s">
        <v>5401</v>
      </c>
    </row>
    <row r="111" spans="1:18">
      <c r="A111" s="105" t="s">
        <v>5402</v>
      </c>
      <c r="B111" s="127">
        <f>ROUND(10, 3)</f>
        <v>10</v>
      </c>
      <c r="C111" s="105" t="str">
        <f>FIXED(100, 1)</f>
        <v>100.0</v>
      </c>
      <c r="D111" s="105" t="str">
        <f>IF(TRUE = TRUE, "Yes", "No")</f>
        <v>Yes</v>
      </c>
      <c r="E111" s="105" t="s">
        <v>5202</v>
      </c>
      <c r="F111" s="105"/>
      <c r="G111" s="105" t="str">
        <f>CHOOSE((0+1), "3", "1", "1")</f>
        <v>3</v>
      </c>
      <c r="H111" s="242" t="str">
        <f>CHOOSE((0+1), "--", "2", "3")</f>
        <v>--</v>
      </c>
      <c r="I111" s="105">
        <v>80</v>
      </c>
      <c r="J111" s="105">
        <v>125</v>
      </c>
      <c r="K111" s="105">
        <v>0</v>
      </c>
      <c r="L111" s="105">
        <v>0</v>
      </c>
      <c r="M111" s="243">
        <f>ROUND(0, 1)</f>
        <v>0</v>
      </c>
      <c r="N111" s="242">
        <f>ROUND(0, 1)</f>
        <v>0</v>
      </c>
      <c r="O111" s="242">
        <f>ROUND(0, 1)</f>
        <v>0</v>
      </c>
      <c r="P111" s="242">
        <f>ROUND(0, 1)</f>
        <v>0</v>
      </c>
      <c r="Q111" s="105"/>
      <c r="R111" s="53" t="s">
        <v>5403</v>
      </c>
    </row>
    <row r="112" spans="1:18">
      <c r="A112" s="105" t="s">
        <v>5404</v>
      </c>
      <c r="B112" s="127">
        <f>ROUND(10, 3)</f>
        <v>10</v>
      </c>
      <c r="C112" s="105" t="str">
        <f>FIXED(100, 1)</f>
        <v>100.0</v>
      </c>
      <c r="D112" s="105" t="str">
        <f>IF(TRUE = TRUE, "Yes", "No")</f>
        <v>Yes</v>
      </c>
      <c r="E112" s="105" t="s">
        <v>5202</v>
      </c>
      <c r="F112" s="105"/>
      <c r="G112" s="105" t="str">
        <f>CHOOSE((0+1), "3", "1", "1")</f>
        <v>3</v>
      </c>
      <c r="H112" s="242" t="str">
        <f>CHOOSE((0+1), "--", "2", "3")</f>
        <v>--</v>
      </c>
      <c r="I112" s="105">
        <v>80</v>
      </c>
      <c r="J112" s="105">
        <v>125</v>
      </c>
      <c r="K112" s="105">
        <v>0</v>
      </c>
      <c r="L112" s="105">
        <v>0</v>
      </c>
      <c r="M112" s="243">
        <f>ROUND(0, 1)</f>
        <v>0</v>
      </c>
      <c r="N112" s="242">
        <f>ROUND(0, 1)</f>
        <v>0</v>
      </c>
      <c r="O112" s="242">
        <f>ROUND(0, 1)</f>
        <v>0</v>
      </c>
      <c r="P112" s="242">
        <f>ROUND(0, 1)</f>
        <v>0</v>
      </c>
      <c r="Q112" s="105"/>
      <c r="R112" s="53" t="s">
        <v>5405</v>
      </c>
    </row>
    <row r="113" spans="1:18">
      <c r="A113" s="105" t="s">
        <v>5406</v>
      </c>
      <c r="B113" s="127">
        <f>ROUND(10, 3)</f>
        <v>10</v>
      </c>
      <c r="C113" s="105" t="str">
        <f>FIXED(100, 1)</f>
        <v>100.0</v>
      </c>
      <c r="D113" s="105" t="str">
        <f>IF(TRUE = TRUE, "Yes", "No")</f>
        <v>Yes</v>
      </c>
      <c r="E113" s="105" t="s">
        <v>5202</v>
      </c>
      <c r="F113" s="105"/>
      <c r="G113" s="105" t="str">
        <f>CHOOSE((0+1), "3", "1", "1")</f>
        <v>3</v>
      </c>
      <c r="H113" s="242" t="str">
        <f>CHOOSE((0+1), "--", "2", "3")</f>
        <v>--</v>
      </c>
      <c r="I113" s="105">
        <v>80</v>
      </c>
      <c r="J113" s="105">
        <v>125</v>
      </c>
      <c r="K113" s="105">
        <v>0</v>
      </c>
      <c r="L113" s="105">
        <v>0</v>
      </c>
      <c r="M113" s="243">
        <f>ROUND(0, 1)</f>
        <v>0</v>
      </c>
      <c r="N113" s="242">
        <f>ROUND(0, 1)</f>
        <v>0</v>
      </c>
      <c r="O113" s="242">
        <f>ROUND(0, 1)</f>
        <v>0</v>
      </c>
      <c r="P113" s="242">
        <f>ROUND(0, 1)</f>
        <v>0</v>
      </c>
      <c r="Q113" s="105"/>
      <c r="R113" s="53" t="s">
        <v>5407</v>
      </c>
    </row>
    <row r="114" spans="1:18">
      <c r="A114" s="105" t="s">
        <v>5408</v>
      </c>
      <c r="B114" s="127">
        <f>ROUND(10, 3)</f>
        <v>10</v>
      </c>
      <c r="C114" s="105" t="str">
        <f>FIXED(100, 1)</f>
        <v>100.0</v>
      </c>
      <c r="D114" s="105" t="str">
        <f>IF(TRUE = TRUE, "Yes", "No")</f>
        <v>Yes</v>
      </c>
      <c r="E114" s="105" t="s">
        <v>5202</v>
      </c>
      <c r="F114" s="105"/>
      <c r="G114" s="105" t="str">
        <f>CHOOSE((0+1), "3", "1", "1")</f>
        <v>3</v>
      </c>
      <c r="H114" s="242" t="str">
        <f>CHOOSE((0+1), "--", "2", "3")</f>
        <v>--</v>
      </c>
      <c r="I114" s="105">
        <v>80</v>
      </c>
      <c r="J114" s="105">
        <v>125</v>
      </c>
      <c r="K114" s="105">
        <v>0</v>
      </c>
      <c r="L114" s="105">
        <v>0</v>
      </c>
      <c r="M114" s="243">
        <f>ROUND(0, 1)</f>
        <v>0</v>
      </c>
      <c r="N114" s="242">
        <f>ROUND(0, 1)</f>
        <v>0</v>
      </c>
      <c r="O114" s="242">
        <f>ROUND(0, 1)</f>
        <v>0</v>
      </c>
      <c r="P114" s="242">
        <f>ROUND(0, 1)</f>
        <v>0</v>
      </c>
      <c r="Q114" s="105"/>
      <c r="R114" s="53" t="s">
        <v>5409</v>
      </c>
    </row>
    <row r="115" spans="1:18">
      <c r="A115" s="105" t="s">
        <v>5410</v>
      </c>
      <c r="B115" s="127">
        <f>ROUND(10, 3)</f>
        <v>10</v>
      </c>
      <c r="C115" s="105" t="str">
        <f>FIXED(100, 1)</f>
        <v>100.0</v>
      </c>
      <c r="D115" s="105" t="str">
        <f>IF(TRUE = TRUE, "Yes", "No")</f>
        <v>Yes</v>
      </c>
      <c r="E115" s="105" t="s">
        <v>5202</v>
      </c>
      <c r="F115" s="105"/>
      <c r="G115" s="105" t="str">
        <f>CHOOSE((0+1), "3", "1", "1")</f>
        <v>3</v>
      </c>
      <c r="H115" s="242" t="str">
        <f>CHOOSE((0+1), "--", "2", "3")</f>
        <v>--</v>
      </c>
      <c r="I115" s="105">
        <v>80</v>
      </c>
      <c r="J115" s="105">
        <v>125</v>
      </c>
      <c r="K115" s="105">
        <v>0</v>
      </c>
      <c r="L115" s="105">
        <v>0</v>
      </c>
      <c r="M115" s="243">
        <f>ROUND(0, 1)</f>
        <v>0</v>
      </c>
      <c r="N115" s="242">
        <f>ROUND(0, 1)</f>
        <v>0</v>
      </c>
      <c r="O115" s="242">
        <f>ROUND(0, 1)</f>
        <v>0</v>
      </c>
      <c r="P115" s="242">
        <f>ROUND(0, 1)</f>
        <v>0</v>
      </c>
      <c r="Q115" s="105"/>
      <c r="R115" s="53" t="s">
        <v>5411</v>
      </c>
    </row>
    <row r="116" spans="1:18">
      <c r="A116" s="105" t="s">
        <v>5412</v>
      </c>
      <c r="B116" s="127">
        <f>ROUND(10, 3)</f>
        <v>10</v>
      </c>
      <c r="C116" s="105" t="str">
        <f>FIXED(100, 1)</f>
        <v>100.0</v>
      </c>
      <c r="D116" s="105" t="str">
        <f>IF(TRUE = TRUE, "Yes", "No")</f>
        <v>Yes</v>
      </c>
      <c r="E116" s="105" t="s">
        <v>5202</v>
      </c>
      <c r="F116" s="105"/>
      <c r="G116" s="105" t="str">
        <f>CHOOSE((0+1), "3", "1", "1")</f>
        <v>3</v>
      </c>
      <c r="H116" s="242" t="str">
        <f>CHOOSE((0+1), "--", "2", "3")</f>
        <v>--</v>
      </c>
      <c r="I116" s="105">
        <v>80</v>
      </c>
      <c r="J116" s="105">
        <v>125</v>
      </c>
      <c r="K116" s="105">
        <v>0</v>
      </c>
      <c r="L116" s="105">
        <v>0</v>
      </c>
      <c r="M116" s="243">
        <f>ROUND(0, 1)</f>
        <v>0</v>
      </c>
      <c r="N116" s="242">
        <f>ROUND(0, 1)</f>
        <v>0</v>
      </c>
      <c r="O116" s="242">
        <f>ROUND(0, 1)</f>
        <v>0</v>
      </c>
      <c r="P116" s="242">
        <f>ROUND(0, 1)</f>
        <v>0</v>
      </c>
      <c r="Q116" s="105"/>
      <c r="R116" s="53" t="s">
        <v>5413</v>
      </c>
    </row>
    <row r="117" spans="1:18">
      <c r="A117" s="105" t="s">
        <v>5414</v>
      </c>
      <c r="B117" s="127">
        <f>ROUND(10, 3)</f>
        <v>10</v>
      </c>
      <c r="C117" s="105" t="str">
        <f>FIXED(100, 1)</f>
        <v>100.0</v>
      </c>
      <c r="D117" s="105" t="str">
        <f>IF(TRUE = TRUE, "Yes", "No")</f>
        <v>Yes</v>
      </c>
      <c r="E117" s="105" t="s">
        <v>5202</v>
      </c>
      <c r="F117" s="105"/>
      <c r="G117" s="105" t="str">
        <f>CHOOSE((0+1), "3", "1", "1")</f>
        <v>3</v>
      </c>
      <c r="H117" s="242" t="str">
        <f>CHOOSE((0+1), "--", "2", "3")</f>
        <v>--</v>
      </c>
      <c r="I117" s="105">
        <v>80</v>
      </c>
      <c r="J117" s="105">
        <v>125</v>
      </c>
      <c r="K117" s="105">
        <v>0</v>
      </c>
      <c r="L117" s="105">
        <v>0</v>
      </c>
      <c r="M117" s="243">
        <f>ROUND(0, 1)</f>
        <v>0</v>
      </c>
      <c r="N117" s="242">
        <f>ROUND(0, 1)</f>
        <v>0</v>
      </c>
      <c r="O117" s="242">
        <f>ROUND(0, 1)</f>
        <v>0</v>
      </c>
      <c r="P117" s="242">
        <f>ROUND(0, 1)</f>
        <v>0</v>
      </c>
      <c r="Q117" s="105"/>
      <c r="R117" s="53" t="s">
        <v>5415</v>
      </c>
    </row>
    <row r="118" spans="1:18">
      <c r="A118" s="105" t="s">
        <v>5416</v>
      </c>
      <c r="B118" s="127">
        <f>ROUND(10, 3)</f>
        <v>10</v>
      </c>
      <c r="C118" s="105" t="str">
        <f>FIXED(100, 1)</f>
        <v>100.0</v>
      </c>
      <c r="D118" s="105" t="str">
        <f>IF(TRUE = TRUE, "Yes", "No")</f>
        <v>Yes</v>
      </c>
      <c r="E118" s="105" t="s">
        <v>5202</v>
      </c>
      <c r="F118" s="105"/>
      <c r="G118" s="105" t="str">
        <f>CHOOSE((0+1), "3", "1", "1")</f>
        <v>3</v>
      </c>
      <c r="H118" s="242" t="str">
        <f>CHOOSE((0+1), "--", "2", "3")</f>
        <v>--</v>
      </c>
      <c r="I118" s="105">
        <v>80</v>
      </c>
      <c r="J118" s="105">
        <v>125</v>
      </c>
      <c r="K118" s="105">
        <v>0</v>
      </c>
      <c r="L118" s="105">
        <v>0</v>
      </c>
      <c r="M118" s="243">
        <f>ROUND(0, 1)</f>
        <v>0</v>
      </c>
      <c r="N118" s="242">
        <f>ROUND(0, 1)</f>
        <v>0</v>
      </c>
      <c r="O118" s="242">
        <f>ROUND(0, 1)</f>
        <v>0</v>
      </c>
      <c r="P118" s="242">
        <f>ROUND(0, 1)</f>
        <v>0</v>
      </c>
      <c r="Q118" s="105"/>
      <c r="R118" s="53" t="s">
        <v>5417</v>
      </c>
    </row>
    <row r="119" spans="1:18">
      <c r="A119" s="105" t="s">
        <v>5418</v>
      </c>
      <c r="B119" s="127">
        <f>ROUND(10, 3)</f>
        <v>10</v>
      </c>
      <c r="C119" s="105" t="str">
        <f>FIXED(100, 1)</f>
        <v>100.0</v>
      </c>
      <c r="D119" s="105" t="str">
        <f>IF(TRUE = TRUE, "Yes", "No")</f>
        <v>Yes</v>
      </c>
      <c r="E119" s="105" t="s">
        <v>5202</v>
      </c>
      <c r="F119" s="105"/>
      <c r="G119" s="105" t="str">
        <f>CHOOSE((0+1), "3", "1", "1")</f>
        <v>3</v>
      </c>
      <c r="H119" s="242" t="str">
        <f>CHOOSE((0+1), "--", "2", "3")</f>
        <v>--</v>
      </c>
      <c r="I119" s="105">
        <v>80</v>
      </c>
      <c r="J119" s="105">
        <v>125</v>
      </c>
      <c r="K119" s="105">
        <v>0</v>
      </c>
      <c r="L119" s="105">
        <v>0</v>
      </c>
      <c r="M119" s="243">
        <f>ROUND(0, 1)</f>
        <v>0</v>
      </c>
      <c r="N119" s="242">
        <f>ROUND(0, 1)</f>
        <v>0</v>
      </c>
      <c r="O119" s="242">
        <f>ROUND(0, 1)</f>
        <v>0</v>
      </c>
      <c r="P119" s="242">
        <f>ROUND(0, 1)</f>
        <v>0</v>
      </c>
      <c r="Q119" s="105"/>
      <c r="R119" s="53" t="s">
        <v>5419</v>
      </c>
    </row>
    <row r="120" spans="1:18">
      <c r="A120" s="105" t="s">
        <v>5420</v>
      </c>
      <c r="B120" s="127">
        <f>ROUND(10, 3)</f>
        <v>10</v>
      </c>
      <c r="C120" s="105" t="str">
        <f>FIXED(100, 1)</f>
        <v>100.0</v>
      </c>
      <c r="D120" s="105" t="str">
        <f>IF(TRUE = TRUE, "Yes", "No")</f>
        <v>Yes</v>
      </c>
      <c r="E120" s="105" t="s">
        <v>5202</v>
      </c>
      <c r="F120" s="105"/>
      <c r="G120" s="105" t="str">
        <f>CHOOSE((0+1), "3", "1", "1")</f>
        <v>3</v>
      </c>
      <c r="H120" s="242" t="str">
        <f>CHOOSE((0+1), "--", "2", "3")</f>
        <v>--</v>
      </c>
      <c r="I120" s="105">
        <v>80</v>
      </c>
      <c r="J120" s="105">
        <v>125</v>
      </c>
      <c r="K120" s="105">
        <v>0</v>
      </c>
      <c r="L120" s="105">
        <v>0</v>
      </c>
      <c r="M120" s="243">
        <f>ROUND(0, 1)</f>
        <v>0</v>
      </c>
      <c r="N120" s="242">
        <f>ROUND(0, 1)</f>
        <v>0</v>
      </c>
      <c r="O120" s="242">
        <f>ROUND(0, 1)</f>
        <v>0</v>
      </c>
      <c r="P120" s="242">
        <f>ROUND(0, 1)</f>
        <v>0</v>
      </c>
      <c r="Q120" s="105"/>
      <c r="R120" s="53" t="s">
        <v>5421</v>
      </c>
    </row>
    <row r="121" spans="1:18">
      <c r="A121" s="105" t="s">
        <v>5422</v>
      </c>
      <c r="B121" s="127">
        <f>ROUND(10, 3)</f>
        <v>10</v>
      </c>
      <c r="C121" s="105" t="str">
        <f>FIXED(100, 1)</f>
        <v>100.0</v>
      </c>
      <c r="D121" s="105" t="str">
        <f>IF(TRUE = TRUE, "Yes", "No")</f>
        <v>Yes</v>
      </c>
      <c r="E121" s="105" t="s">
        <v>5202</v>
      </c>
      <c r="F121" s="105"/>
      <c r="G121" s="105" t="str">
        <f>CHOOSE((0+1), "3", "1", "1")</f>
        <v>3</v>
      </c>
      <c r="H121" s="242" t="str">
        <f>CHOOSE((0+1), "--", "2", "3")</f>
        <v>--</v>
      </c>
      <c r="I121" s="105">
        <v>80</v>
      </c>
      <c r="J121" s="105">
        <v>125</v>
      </c>
      <c r="K121" s="105">
        <v>0</v>
      </c>
      <c r="L121" s="105">
        <v>0</v>
      </c>
      <c r="M121" s="243">
        <f>ROUND(0, 1)</f>
        <v>0</v>
      </c>
      <c r="N121" s="242">
        <f>ROUND(0, 1)</f>
        <v>0</v>
      </c>
      <c r="O121" s="242">
        <f>ROUND(0, 1)</f>
        <v>0</v>
      </c>
      <c r="P121" s="242">
        <f>ROUND(0, 1)</f>
        <v>0</v>
      </c>
      <c r="Q121" s="105"/>
      <c r="R121" s="53" t="s">
        <v>5423</v>
      </c>
    </row>
    <row r="122" spans="1:18">
      <c r="A122" s="105" t="s">
        <v>5424</v>
      </c>
      <c r="B122" s="127">
        <f>ROUND(10, 3)</f>
        <v>10</v>
      </c>
      <c r="C122" s="105" t="str">
        <f>FIXED(100, 1)</f>
        <v>100.0</v>
      </c>
      <c r="D122" s="105" t="str">
        <f>IF(TRUE = TRUE, "Yes", "No")</f>
        <v>Yes</v>
      </c>
      <c r="E122" s="105" t="s">
        <v>5202</v>
      </c>
      <c r="F122" s="105"/>
      <c r="G122" s="105" t="str">
        <f>CHOOSE((0+1), "3", "1", "1")</f>
        <v>3</v>
      </c>
      <c r="H122" s="242" t="str">
        <f>CHOOSE((0+1), "--", "2", "3")</f>
        <v>--</v>
      </c>
      <c r="I122" s="105">
        <v>80</v>
      </c>
      <c r="J122" s="105">
        <v>125</v>
      </c>
      <c r="K122" s="105">
        <v>0</v>
      </c>
      <c r="L122" s="105">
        <v>0</v>
      </c>
      <c r="M122" s="243">
        <f>ROUND(0, 1)</f>
        <v>0</v>
      </c>
      <c r="N122" s="242">
        <f>ROUND(0, 1)</f>
        <v>0</v>
      </c>
      <c r="O122" s="242">
        <f>ROUND(0, 1)</f>
        <v>0</v>
      </c>
      <c r="P122" s="242">
        <f>ROUND(0, 1)</f>
        <v>0</v>
      </c>
      <c r="Q122" s="105"/>
      <c r="R122" s="53" t="s">
        <v>5425</v>
      </c>
    </row>
    <row r="123" spans="1:18">
      <c r="A123" s="105" t="s">
        <v>5426</v>
      </c>
      <c r="B123" s="127">
        <f>ROUND(10, 3)</f>
        <v>10</v>
      </c>
      <c r="C123" s="105" t="str">
        <f>FIXED(100, 1)</f>
        <v>100.0</v>
      </c>
      <c r="D123" s="105" t="str">
        <f>IF(TRUE = TRUE, "Yes", "No")</f>
        <v>Yes</v>
      </c>
      <c r="E123" s="105" t="s">
        <v>5202</v>
      </c>
      <c r="F123" s="105"/>
      <c r="G123" s="105" t="str">
        <f>CHOOSE((0+1), "3", "1", "1")</f>
        <v>3</v>
      </c>
      <c r="H123" s="242" t="str">
        <f>CHOOSE((0+1), "--", "2", "3")</f>
        <v>--</v>
      </c>
      <c r="I123" s="105">
        <v>80</v>
      </c>
      <c r="J123" s="105">
        <v>125</v>
      </c>
      <c r="K123" s="105">
        <v>0</v>
      </c>
      <c r="L123" s="105">
        <v>0</v>
      </c>
      <c r="M123" s="243">
        <f>ROUND(0, 1)</f>
        <v>0</v>
      </c>
      <c r="N123" s="242">
        <f>ROUND(0, 1)</f>
        <v>0</v>
      </c>
      <c r="O123" s="242">
        <f>ROUND(0, 1)</f>
        <v>0</v>
      </c>
      <c r="P123" s="242">
        <f>ROUND(0, 1)</f>
        <v>0</v>
      </c>
      <c r="Q123" s="105"/>
      <c r="R123" s="53" t="s">
        <v>5427</v>
      </c>
    </row>
    <row r="124" spans="1:18">
      <c r="A124" s="105" t="s">
        <v>5428</v>
      </c>
      <c r="B124" s="127">
        <f>ROUND(10, 3)</f>
        <v>10</v>
      </c>
      <c r="C124" s="105" t="str">
        <f>FIXED(100, 1)</f>
        <v>100.0</v>
      </c>
      <c r="D124" s="105" t="str">
        <f>IF(TRUE = TRUE, "Yes", "No")</f>
        <v>Yes</v>
      </c>
      <c r="E124" s="105" t="s">
        <v>5202</v>
      </c>
      <c r="F124" s="105"/>
      <c r="G124" s="105" t="str">
        <f>CHOOSE((0+1), "3", "1", "1")</f>
        <v>3</v>
      </c>
      <c r="H124" s="242" t="str">
        <f>CHOOSE((0+1), "--", "2", "3")</f>
        <v>--</v>
      </c>
      <c r="I124" s="105">
        <v>80</v>
      </c>
      <c r="J124" s="105">
        <v>125</v>
      </c>
      <c r="K124" s="105">
        <v>0</v>
      </c>
      <c r="L124" s="105">
        <v>0</v>
      </c>
      <c r="M124" s="243">
        <f>ROUND(0, 1)</f>
        <v>0</v>
      </c>
      <c r="N124" s="242">
        <f>ROUND(0, 1)</f>
        <v>0</v>
      </c>
      <c r="O124" s="242">
        <f>ROUND(0, 1)</f>
        <v>0</v>
      </c>
      <c r="P124" s="242">
        <f>ROUND(0, 1)</f>
        <v>0</v>
      </c>
      <c r="Q124" s="105"/>
      <c r="R124" s="53" t="s">
        <v>5429</v>
      </c>
    </row>
    <row r="125" spans="1:18">
      <c r="A125" s="105" t="s">
        <v>5430</v>
      </c>
      <c r="B125" s="127">
        <f>ROUND(10, 3)</f>
        <v>10</v>
      </c>
      <c r="C125" s="105" t="str">
        <f>FIXED(100, 1)</f>
        <v>100.0</v>
      </c>
      <c r="D125" s="105" t="str">
        <f>IF(TRUE = TRUE, "Yes", "No")</f>
        <v>Yes</v>
      </c>
      <c r="E125" s="105" t="s">
        <v>5202</v>
      </c>
      <c r="F125" s="105"/>
      <c r="G125" s="105" t="str">
        <f>CHOOSE((0+1), "3", "1", "1")</f>
        <v>3</v>
      </c>
      <c r="H125" s="242" t="str">
        <f>CHOOSE((0+1), "--", "2", "3")</f>
        <v>--</v>
      </c>
      <c r="I125" s="105">
        <v>80</v>
      </c>
      <c r="J125" s="105">
        <v>125</v>
      </c>
      <c r="K125" s="105">
        <v>0</v>
      </c>
      <c r="L125" s="105">
        <v>0</v>
      </c>
      <c r="M125" s="243">
        <f>ROUND(0, 1)</f>
        <v>0</v>
      </c>
      <c r="N125" s="242">
        <f>ROUND(0, 1)</f>
        <v>0</v>
      </c>
      <c r="O125" s="242">
        <f>ROUND(0, 1)</f>
        <v>0</v>
      </c>
      <c r="P125" s="242">
        <f>ROUND(0, 1)</f>
        <v>0</v>
      </c>
      <c r="Q125" s="105"/>
      <c r="R125" s="53" t="s">
        <v>5431</v>
      </c>
    </row>
    <row r="126" spans="1:18">
      <c r="A126" s="105" t="s">
        <v>5432</v>
      </c>
      <c r="B126" s="127">
        <f>ROUND(10, 3)</f>
        <v>10</v>
      </c>
      <c r="C126" s="105" t="str">
        <f>FIXED(100, 1)</f>
        <v>100.0</v>
      </c>
      <c r="D126" s="105" t="str">
        <f>IF(TRUE = TRUE, "Yes", "No")</f>
        <v>Yes</v>
      </c>
      <c r="E126" s="105" t="s">
        <v>5202</v>
      </c>
      <c r="F126" s="105"/>
      <c r="G126" s="105" t="str">
        <f>CHOOSE((0+1), "3", "1", "1")</f>
        <v>3</v>
      </c>
      <c r="H126" s="242" t="str">
        <f>CHOOSE((0+1), "--", "2", "3")</f>
        <v>--</v>
      </c>
      <c r="I126" s="105">
        <v>80</v>
      </c>
      <c r="J126" s="105">
        <v>125</v>
      </c>
      <c r="K126" s="105">
        <v>0</v>
      </c>
      <c r="L126" s="105">
        <v>0</v>
      </c>
      <c r="M126" s="243">
        <f>ROUND(0, 1)</f>
        <v>0</v>
      </c>
      <c r="N126" s="242">
        <f>ROUND(0, 1)</f>
        <v>0</v>
      </c>
      <c r="O126" s="242">
        <f>ROUND(0, 1)</f>
        <v>0</v>
      </c>
      <c r="P126" s="242">
        <f>ROUND(0, 1)</f>
        <v>0</v>
      </c>
      <c r="Q126" s="105"/>
      <c r="R126" s="53" t="s">
        <v>5433</v>
      </c>
    </row>
    <row r="127" spans="1:18">
      <c r="A127" s="105" t="s">
        <v>5434</v>
      </c>
      <c r="B127" s="127">
        <f>ROUND(10, 3)</f>
        <v>10</v>
      </c>
      <c r="C127" s="105" t="str">
        <f>FIXED(100, 1)</f>
        <v>100.0</v>
      </c>
      <c r="D127" s="105" t="str">
        <f>IF(TRUE = TRUE, "Yes", "No")</f>
        <v>Yes</v>
      </c>
      <c r="E127" s="105" t="s">
        <v>5202</v>
      </c>
      <c r="F127" s="105"/>
      <c r="G127" s="105" t="str">
        <f>CHOOSE((0+1), "3", "1", "1")</f>
        <v>3</v>
      </c>
      <c r="H127" s="242" t="str">
        <f>CHOOSE((0+1), "--", "2", "3")</f>
        <v>--</v>
      </c>
      <c r="I127" s="105">
        <v>80</v>
      </c>
      <c r="J127" s="105">
        <v>125</v>
      </c>
      <c r="K127" s="105">
        <v>0</v>
      </c>
      <c r="L127" s="105">
        <v>0</v>
      </c>
      <c r="M127" s="243">
        <f>ROUND(0, 1)</f>
        <v>0</v>
      </c>
      <c r="N127" s="242">
        <f>ROUND(0, 1)</f>
        <v>0</v>
      </c>
      <c r="O127" s="242">
        <f>ROUND(0, 1)</f>
        <v>0</v>
      </c>
      <c r="P127" s="242">
        <f>ROUND(0, 1)</f>
        <v>0</v>
      </c>
      <c r="Q127" s="105"/>
      <c r="R127" s="53" t="s">
        <v>5435</v>
      </c>
    </row>
    <row r="128" spans="1:18">
      <c r="A128" s="105" t="s">
        <v>5436</v>
      </c>
      <c r="B128" s="127">
        <f>ROUND(10, 3)</f>
        <v>10</v>
      </c>
      <c r="C128" s="105" t="str">
        <f>FIXED(100, 1)</f>
        <v>100.0</v>
      </c>
      <c r="D128" s="105" t="str">
        <f>IF(TRUE = TRUE, "Yes", "No")</f>
        <v>Yes</v>
      </c>
      <c r="E128" s="105" t="s">
        <v>5202</v>
      </c>
      <c r="F128" s="105"/>
      <c r="G128" s="105" t="str">
        <f>CHOOSE((0+1), "3", "1", "1")</f>
        <v>3</v>
      </c>
      <c r="H128" s="242" t="str">
        <f>CHOOSE((0+1), "--", "2", "3")</f>
        <v>--</v>
      </c>
      <c r="I128" s="105">
        <v>80</v>
      </c>
      <c r="J128" s="105">
        <v>125</v>
      </c>
      <c r="K128" s="105">
        <v>0</v>
      </c>
      <c r="L128" s="105">
        <v>0</v>
      </c>
      <c r="M128" s="243">
        <f>ROUND(0, 1)</f>
        <v>0</v>
      </c>
      <c r="N128" s="242">
        <f>ROUND(0, 1)</f>
        <v>0</v>
      </c>
      <c r="O128" s="242">
        <f>ROUND(0, 1)</f>
        <v>0</v>
      </c>
      <c r="P128" s="242">
        <f>ROUND(0, 1)</f>
        <v>0</v>
      </c>
      <c r="Q128" s="105"/>
      <c r="R128" s="53" t="s">
        <v>5437</v>
      </c>
    </row>
    <row r="129" spans="1:18">
      <c r="A129" s="105" t="s">
        <v>5438</v>
      </c>
      <c r="B129" s="127">
        <f>ROUND(10, 3)</f>
        <v>10</v>
      </c>
      <c r="C129" s="105" t="str">
        <f>FIXED(100, 1)</f>
        <v>100.0</v>
      </c>
      <c r="D129" s="105" t="str">
        <f>IF(TRUE = TRUE, "Yes", "No")</f>
        <v>Yes</v>
      </c>
      <c r="E129" s="105" t="s">
        <v>5202</v>
      </c>
      <c r="F129" s="105"/>
      <c r="G129" s="105" t="str">
        <f>CHOOSE((0+1), "3", "1", "1")</f>
        <v>3</v>
      </c>
      <c r="H129" s="242" t="str">
        <f>CHOOSE((0+1), "--", "2", "3")</f>
        <v>--</v>
      </c>
      <c r="I129" s="105">
        <v>80</v>
      </c>
      <c r="J129" s="105">
        <v>125</v>
      </c>
      <c r="K129" s="105">
        <v>0</v>
      </c>
      <c r="L129" s="105">
        <v>0</v>
      </c>
      <c r="M129" s="243">
        <f>ROUND(0, 1)</f>
        <v>0</v>
      </c>
      <c r="N129" s="242">
        <f>ROUND(0, 1)</f>
        <v>0</v>
      </c>
      <c r="O129" s="242">
        <f>ROUND(0, 1)</f>
        <v>0</v>
      </c>
      <c r="P129" s="242">
        <f>ROUND(0, 1)</f>
        <v>0</v>
      </c>
      <c r="Q129" s="105"/>
      <c r="R129" s="53" t="s">
        <v>5439</v>
      </c>
    </row>
    <row r="130" spans="1:18">
      <c r="A130" s="105" t="s">
        <v>5440</v>
      </c>
      <c r="B130" s="127">
        <f>ROUND(10, 3)</f>
        <v>10</v>
      </c>
      <c r="C130" s="105" t="str">
        <f>FIXED(100, 1)</f>
        <v>100.0</v>
      </c>
      <c r="D130" s="105" t="str">
        <f>IF(TRUE = TRUE, "Yes", "No")</f>
        <v>Yes</v>
      </c>
      <c r="E130" s="105" t="s">
        <v>5202</v>
      </c>
      <c r="F130" s="105"/>
      <c r="G130" s="105" t="str">
        <f>CHOOSE((0+1), "3", "1", "1")</f>
        <v>3</v>
      </c>
      <c r="H130" s="242" t="str">
        <f>CHOOSE((0+1), "--", "2", "3")</f>
        <v>--</v>
      </c>
      <c r="I130" s="105">
        <v>80</v>
      </c>
      <c r="J130" s="105">
        <v>125</v>
      </c>
      <c r="K130" s="105">
        <v>0</v>
      </c>
      <c r="L130" s="105">
        <v>0</v>
      </c>
      <c r="M130" s="243">
        <f>ROUND(0, 1)</f>
        <v>0</v>
      </c>
      <c r="N130" s="242">
        <f>ROUND(0, 1)</f>
        <v>0</v>
      </c>
      <c r="O130" s="242">
        <f>ROUND(0, 1)</f>
        <v>0</v>
      </c>
      <c r="P130" s="242">
        <f>ROUND(0, 1)</f>
        <v>0</v>
      </c>
      <c r="Q130" s="105"/>
      <c r="R130" s="53" t="s">
        <v>5441</v>
      </c>
    </row>
    <row r="131" spans="1:18">
      <c r="A131" s="105" t="s">
        <v>5442</v>
      </c>
      <c r="B131" s="127">
        <f>ROUND(10, 3)</f>
        <v>10</v>
      </c>
      <c r="C131" s="105" t="str">
        <f>FIXED(100, 1)</f>
        <v>100.0</v>
      </c>
      <c r="D131" s="105" t="str">
        <f>IF(TRUE = TRUE, "Yes", "No")</f>
        <v>Yes</v>
      </c>
      <c r="E131" s="105" t="s">
        <v>5202</v>
      </c>
      <c r="F131" s="105"/>
      <c r="G131" s="105" t="str">
        <f>CHOOSE((0+1), "3", "1", "1")</f>
        <v>3</v>
      </c>
      <c r="H131" s="242" t="str">
        <f>CHOOSE((0+1), "--", "2", "3")</f>
        <v>--</v>
      </c>
      <c r="I131" s="105">
        <v>80</v>
      </c>
      <c r="J131" s="105">
        <v>125</v>
      </c>
      <c r="K131" s="105">
        <v>0</v>
      </c>
      <c r="L131" s="105">
        <v>0</v>
      </c>
      <c r="M131" s="243">
        <f>ROUND(0, 1)</f>
        <v>0</v>
      </c>
      <c r="N131" s="242">
        <f>ROUND(0, 1)</f>
        <v>0</v>
      </c>
      <c r="O131" s="242">
        <f>ROUND(0, 1)</f>
        <v>0</v>
      </c>
      <c r="P131" s="242">
        <f>ROUND(0, 1)</f>
        <v>0</v>
      </c>
      <c r="Q131" s="105"/>
      <c r="R131" s="53" t="s">
        <v>5443</v>
      </c>
    </row>
    <row r="132" spans="1:18">
      <c r="A132" s="105" t="s">
        <v>5444</v>
      </c>
      <c r="B132" s="127">
        <f>ROUND(10, 3)</f>
        <v>10</v>
      </c>
      <c r="C132" s="105" t="str">
        <f>FIXED(100, 1)</f>
        <v>100.0</v>
      </c>
      <c r="D132" s="105" t="str">
        <f>IF(TRUE = TRUE, "Yes", "No")</f>
        <v>Yes</v>
      </c>
      <c r="E132" s="105" t="s">
        <v>5202</v>
      </c>
      <c r="F132" s="105"/>
      <c r="G132" s="105" t="str">
        <f>CHOOSE((0+1), "3", "1", "1")</f>
        <v>3</v>
      </c>
      <c r="H132" s="242" t="str">
        <f>CHOOSE((0+1), "--", "2", "3")</f>
        <v>--</v>
      </c>
      <c r="I132" s="105">
        <v>80</v>
      </c>
      <c r="J132" s="105">
        <v>125</v>
      </c>
      <c r="K132" s="105">
        <v>0</v>
      </c>
      <c r="L132" s="105">
        <v>0</v>
      </c>
      <c r="M132" s="243">
        <f>ROUND(0, 1)</f>
        <v>0</v>
      </c>
      <c r="N132" s="242">
        <f>ROUND(0, 1)</f>
        <v>0</v>
      </c>
      <c r="O132" s="242">
        <f>ROUND(0, 1)</f>
        <v>0</v>
      </c>
      <c r="P132" s="242">
        <f>ROUND(0, 1)</f>
        <v>0</v>
      </c>
      <c r="Q132" s="105"/>
      <c r="R132" s="53" t="s">
        <v>5445</v>
      </c>
    </row>
    <row r="133" spans="1:18">
      <c r="A133" s="105" t="s">
        <v>5446</v>
      </c>
      <c r="B133" s="127">
        <f>ROUND(10, 3)</f>
        <v>10</v>
      </c>
      <c r="C133" s="105" t="str">
        <f>FIXED(100, 1)</f>
        <v>100.0</v>
      </c>
      <c r="D133" s="105" t="str">
        <f>IF(TRUE = TRUE, "Yes", "No")</f>
        <v>Yes</v>
      </c>
      <c r="E133" s="105" t="s">
        <v>5202</v>
      </c>
      <c r="F133" s="105"/>
      <c r="G133" s="105" t="str">
        <f>CHOOSE((0+1), "3", "1", "1")</f>
        <v>3</v>
      </c>
      <c r="H133" s="242" t="str">
        <f>CHOOSE((0+1), "--", "2", "3")</f>
        <v>--</v>
      </c>
      <c r="I133" s="105">
        <v>80</v>
      </c>
      <c r="J133" s="105">
        <v>125</v>
      </c>
      <c r="K133" s="105">
        <v>0</v>
      </c>
      <c r="L133" s="105">
        <v>0</v>
      </c>
      <c r="M133" s="243">
        <f>ROUND(0, 1)</f>
        <v>0</v>
      </c>
      <c r="N133" s="242">
        <f>ROUND(0, 1)</f>
        <v>0</v>
      </c>
      <c r="O133" s="242">
        <f>ROUND(0, 1)</f>
        <v>0</v>
      </c>
      <c r="P133" s="242">
        <f>ROUND(0, 1)</f>
        <v>0</v>
      </c>
      <c r="Q133" s="105"/>
      <c r="R133" s="53" t="s">
        <v>5447</v>
      </c>
    </row>
    <row r="134" spans="1:18">
      <c r="A134" s="105" t="s">
        <v>5448</v>
      </c>
      <c r="B134" s="127">
        <f>ROUND(10, 3)</f>
        <v>10</v>
      </c>
      <c r="C134" s="105" t="str">
        <f>FIXED(100, 1)</f>
        <v>100.0</v>
      </c>
      <c r="D134" s="105" t="str">
        <f>IF(TRUE = TRUE, "Yes", "No")</f>
        <v>Yes</v>
      </c>
      <c r="E134" s="105" t="s">
        <v>5202</v>
      </c>
      <c r="F134" s="105"/>
      <c r="G134" s="105" t="str">
        <f>CHOOSE((0+1), "3", "1", "1")</f>
        <v>3</v>
      </c>
      <c r="H134" s="242" t="str">
        <f>CHOOSE((0+1), "--", "2", "3")</f>
        <v>--</v>
      </c>
      <c r="I134" s="105">
        <v>80</v>
      </c>
      <c r="J134" s="105">
        <v>125</v>
      </c>
      <c r="K134" s="105">
        <v>0</v>
      </c>
      <c r="L134" s="105">
        <v>0</v>
      </c>
      <c r="M134" s="243">
        <f>ROUND(0, 1)</f>
        <v>0</v>
      </c>
      <c r="N134" s="242">
        <f>ROUND(0, 1)</f>
        <v>0</v>
      </c>
      <c r="O134" s="242">
        <f>ROUND(0, 1)</f>
        <v>0</v>
      </c>
      <c r="P134" s="242">
        <f>ROUND(0, 1)</f>
        <v>0</v>
      </c>
      <c r="Q134" s="105"/>
      <c r="R134" s="53" t="s">
        <v>5449</v>
      </c>
    </row>
    <row r="135" spans="1:18">
      <c r="A135" s="105" t="s">
        <v>5450</v>
      </c>
      <c r="B135" s="127">
        <f>ROUND(10, 3)</f>
        <v>10</v>
      </c>
      <c r="C135" s="105" t="str">
        <f>FIXED(100, 1)</f>
        <v>100.0</v>
      </c>
      <c r="D135" s="105" t="str">
        <f>IF(TRUE = TRUE, "Yes", "No")</f>
        <v>Yes</v>
      </c>
      <c r="E135" s="105" t="s">
        <v>5202</v>
      </c>
      <c r="F135" s="105"/>
      <c r="G135" s="105" t="str">
        <f>CHOOSE((0+1), "3", "1", "1")</f>
        <v>3</v>
      </c>
      <c r="H135" s="242" t="str">
        <f>CHOOSE((0+1), "--", "2", "3")</f>
        <v>--</v>
      </c>
      <c r="I135" s="105">
        <v>80</v>
      </c>
      <c r="J135" s="105">
        <v>125</v>
      </c>
      <c r="K135" s="105">
        <v>0</v>
      </c>
      <c r="L135" s="105">
        <v>0</v>
      </c>
      <c r="M135" s="243">
        <f>ROUND(0, 1)</f>
        <v>0</v>
      </c>
      <c r="N135" s="242">
        <f>ROUND(0, 1)</f>
        <v>0</v>
      </c>
      <c r="O135" s="242">
        <f>ROUND(0, 1)</f>
        <v>0</v>
      </c>
      <c r="P135" s="242">
        <f>ROUND(0, 1)</f>
        <v>0</v>
      </c>
      <c r="Q135" s="105"/>
      <c r="R135" s="53" t="s">
        <v>5451</v>
      </c>
    </row>
    <row r="136" spans="1:18">
      <c r="A136" s="105" t="s">
        <v>5452</v>
      </c>
      <c r="B136" s="127">
        <f>ROUND(10, 3)</f>
        <v>10</v>
      </c>
      <c r="C136" s="105" t="str">
        <f>FIXED(100, 1)</f>
        <v>100.0</v>
      </c>
      <c r="D136" s="105" t="str">
        <f>IF(TRUE = TRUE, "Yes", "No")</f>
        <v>Yes</v>
      </c>
      <c r="E136" s="105" t="s">
        <v>5202</v>
      </c>
      <c r="F136" s="105"/>
      <c r="G136" s="105" t="str">
        <f>CHOOSE((0+1), "3", "1", "1")</f>
        <v>3</v>
      </c>
      <c r="H136" s="242" t="str">
        <f>CHOOSE((0+1), "--", "2", "3")</f>
        <v>--</v>
      </c>
      <c r="I136" s="105">
        <v>80</v>
      </c>
      <c r="J136" s="105">
        <v>125</v>
      </c>
      <c r="K136" s="105">
        <v>0</v>
      </c>
      <c r="L136" s="105">
        <v>0</v>
      </c>
      <c r="M136" s="243">
        <f>ROUND(0, 1)</f>
        <v>0</v>
      </c>
      <c r="N136" s="242">
        <f>ROUND(0, 1)</f>
        <v>0</v>
      </c>
      <c r="O136" s="242">
        <f>ROUND(0, 1)</f>
        <v>0</v>
      </c>
      <c r="P136" s="242">
        <f>ROUND(0, 1)</f>
        <v>0</v>
      </c>
      <c r="Q136" s="105"/>
      <c r="R136" s="53" t="s">
        <v>5453</v>
      </c>
    </row>
    <row r="137" spans="1:18">
      <c r="A137" s="105" t="s">
        <v>5454</v>
      </c>
      <c r="B137" s="127">
        <f>ROUND(10, 3)</f>
        <v>10</v>
      </c>
      <c r="C137" s="105" t="str">
        <f>FIXED(100, 1)</f>
        <v>100.0</v>
      </c>
      <c r="D137" s="105" t="str">
        <f>IF(TRUE = TRUE, "Yes", "No")</f>
        <v>Yes</v>
      </c>
      <c r="E137" s="105" t="s">
        <v>5202</v>
      </c>
      <c r="F137" s="105"/>
      <c r="G137" s="105" t="str">
        <f>CHOOSE((0+1), "3", "1", "1")</f>
        <v>3</v>
      </c>
      <c r="H137" s="242" t="str">
        <f>CHOOSE((0+1), "--", "2", "3")</f>
        <v>--</v>
      </c>
      <c r="I137" s="105">
        <v>80</v>
      </c>
      <c r="J137" s="105">
        <v>125</v>
      </c>
      <c r="K137" s="105">
        <v>0</v>
      </c>
      <c r="L137" s="105">
        <v>0</v>
      </c>
      <c r="M137" s="243">
        <f>ROUND(0, 1)</f>
        <v>0</v>
      </c>
      <c r="N137" s="242">
        <f>ROUND(0, 1)</f>
        <v>0</v>
      </c>
      <c r="O137" s="242">
        <f>ROUND(0, 1)</f>
        <v>0</v>
      </c>
      <c r="P137" s="242">
        <f>ROUND(0, 1)</f>
        <v>0</v>
      </c>
      <c r="Q137" s="105"/>
      <c r="R137" s="53" t="s">
        <v>5455</v>
      </c>
    </row>
    <row r="138" spans="1:18">
      <c r="A138" s="105" t="s">
        <v>5456</v>
      </c>
      <c r="B138" s="127">
        <f>ROUND(10, 3)</f>
        <v>10</v>
      </c>
      <c r="C138" s="105" t="str">
        <f>FIXED(100, 1)</f>
        <v>100.0</v>
      </c>
      <c r="D138" s="105" t="str">
        <f>IF(TRUE = TRUE, "Yes", "No")</f>
        <v>Yes</v>
      </c>
      <c r="E138" s="105" t="s">
        <v>5202</v>
      </c>
      <c r="F138" s="105"/>
      <c r="G138" s="105" t="str">
        <f>CHOOSE((0+1), "3", "1", "1")</f>
        <v>3</v>
      </c>
      <c r="H138" s="242" t="str">
        <f>CHOOSE((0+1), "--", "2", "3")</f>
        <v>--</v>
      </c>
      <c r="I138" s="105">
        <v>80</v>
      </c>
      <c r="J138" s="105">
        <v>125</v>
      </c>
      <c r="K138" s="105">
        <v>0</v>
      </c>
      <c r="L138" s="105">
        <v>0</v>
      </c>
      <c r="M138" s="243">
        <f>ROUND(0, 1)</f>
        <v>0</v>
      </c>
      <c r="N138" s="242">
        <f>ROUND(0, 1)</f>
        <v>0</v>
      </c>
      <c r="O138" s="242">
        <f>ROUND(0, 1)</f>
        <v>0</v>
      </c>
      <c r="P138" s="242">
        <f>ROUND(0, 1)</f>
        <v>0</v>
      </c>
      <c r="Q138" s="105"/>
      <c r="R138" s="53" t="s">
        <v>5457</v>
      </c>
    </row>
    <row r="139" spans="1:18">
      <c r="A139" s="105" t="s">
        <v>5458</v>
      </c>
      <c r="B139" s="127">
        <f>ROUND(10, 3)</f>
        <v>10</v>
      </c>
      <c r="C139" s="105" t="str">
        <f>FIXED(100, 1)</f>
        <v>100.0</v>
      </c>
      <c r="D139" s="105" t="str">
        <f>IF(TRUE = TRUE, "Yes", "No")</f>
        <v>Yes</v>
      </c>
      <c r="E139" s="105" t="s">
        <v>5202</v>
      </c>
      <c r="F139" s="105"/>
      <c r="G139" s="105" t="str">
        <f>CHOOSE((0+1), "3", "1", "1")</f>
        <v>3</v>
      </c>
      <c r="H139" s="242" t="str">
        <f>CHOOSE((0+1), "--", "2", "3")</f>
        <v>--</v>
      </c>
      <c r="I139" s="105">
        <v>80</v>
      </c>
      <c r="J139" s="105">
        <v>125</v>
      </c>
      <c r="K139" s="105">
        <v>0</v>
      </c>
      <c r="L139" s="105">
        <v>0</v>
      </c>
      <c r="M139" s="243">
        <f>ROUND(0, 1)</f>
        <v>0</v>
      </c>
      <c r="N139" s="242">
        <f>ROUND(0, 1)</f>
        <v>0</v>
      </c>
      <c r="O139" s="242">
        <f>ROUND(0, 1)</f>
        <v>0</v>
      </c>
      <c r="P139" s="242">
        <f>ROUND(0, 1)</f>
        <v>0</v>
      </c>
      <c r="Q139" s="105"/>
      <c r="R139" s="53" t="s">
        <v>5459</v>
      </c>
    </row>
    <row r="140" spans="1:18">
      <c r="A140" s="105" t="s">
        <v>5460</v>
      </c>
      <c r="B140" s="127">
        <f>ROUND(10, 3)</f>
        <v>10</v>
      </c>
      <c r="C140" s="105" t="str">
        <f>FIXED(100, 1)</f>
        <v>100.0</v>
      </c>
      <c r="D140" s="105" t="str">
        <f>IF(TRUE = TRUE, "Yes", "No")</f>
        <v>Yes</v>
      </c>
      <c r="E140" s="105" t="s">
        <v>5202</v>
      </c>
      <c r="F140" s="105"/>
      <c r="G140" s="105" t="str">
        <f>CHOOSE((0+1), "3", "1", "1")</f>
        <v>3</v>
      </c>
      <c r="H140" s="242" t="str">
        <f>CHOOSE((0+1), "--", "2", "3")</f>
        <v>--</v>
      </c>
      <c r="I140" s="105">
        <v>80</v>
      </c>
      <c r="J140" s="105">
        <v>125</v>
      </c>
      <c r="K140" s="105">
        <v>0</v>
      </c>
      <c r="L140" s="105">
        <v>0</v>
      </c>
      <c r="M140" s="243">
        <f>ROUND(0, 1)</f>
        <v>0</v>
      </c>
      <c r="N140" s="242">
        <f>ROUND(0, 1)</f>
        <v>0</v>
      </c>
      <c r="O140" s="242">
        <f>ROUND(0, 1)</f>
        <v>0</v>
      </c>
      <c r="P140" s="242">
        <f>ROUND(0, 1)</f>
        <v>0</v>
      </c>
      <c r="Q140" s="105"/>
      <c r="R140" s="53" t="s">
        <v>5461</v>
      </c>
    </row>
    <row r="141" spans="1:18">
      <c r="A141" s="105" t="s">
        <v>5462</v>
      </c>
      <c r="B141" s="127">
        <f>ROUND(10, 3)</f>
        <v>10</v>
      </c>
      <c r="C141" s="105" t="str">
        <f>FIXED(100, 1)</f>
        <v>100.0</v>
      </c>
      <c r="D141" s="105" t="str">
        <f>IF(TRUE = TRUE, "Yes", "No")</f>
        <v>Yes</v>
      </c>
      <c r="E141" s="105" t="s">
        <v>5202</v>
      </c>
      <c r="F141" s="105"/>
      <c r="G141" s="105" t="str">
        <f>CHOOSE((0+1), "3", "1", "1")</f>
        <v>3</v>
      </c>
      <c r="H141" s="242" t="str">
        <f>CHOOSE((0+1), "--", "2", "3")</f>
        <v>--</v>
      </c>
      <c r="I141" s="105">
        <v>80</v>
      </c>
      <c r="J141" s="105">
        <v>125</v>
      </c>
      <c r="K141" s="105">
        <v>0</v>
      </c>
      <c r="L141" s="105">
        <v>0</v>
      </c>
      <c r="M141" s="243">
        <f>ROUND(0, 1)</f>
        <v>0</v>
      </c>
      <c r="N141" s="242">
        <f>ROUND(0, 1)</f>
        <v>0</v>
      </c>
      <c r="O141" s="242">
        <f>ROUND(0, 1)</f>
        <v>0</v>
      </c>
      <c r="P141" s="242">
        <f>ROUND(0, 1)</f>
        <v>0</v>
      </c>
      <c r="Q141" s="105"/>
      <c r="R141" s="53" t="s">
        <v>5463</v>
      </c>
    </row>
    <row r="142" spans="1:18">
      <c r="A142" s="105" t="s">
        <v>5464</v>
      </c>
      <c r="B142" s="127">
        <f>ROUND(10, 3)</f>
        <v>10</v>
      </c>
      <c r="C142" s="105" t="str">
        <f>FIXED(100, 1)</f>
        <v>100.0</v>
      </c>
      <c r="D142" s="105" t="str">
        <f>IF(TRUE = TRUE, "Yes", "No")</f>
        <v>Yes</v>
      </c>
      <c r="E142" s="105" t="s">
        <v>5202</v>
      </c>
      <c r="F142" s="105"/>
      <c r="G142" s="105" t="str">
        <f>CHOOSE((0+1), "3", "1", "1")</f>
        <v>3</v>
      </c>
      <c r="H142" s="242" t="str">
        <f>CHOOSE((0+1), "--", "2", "3")</f>
        <v>--</v>
      </c>
      <c r="I142" s="105">
        <v>80</v>
      </c>
      <c r="J142" s="105">
        <v>125</v>
      </c>
      <c r="K142" s="105">
        <v>0</v>
      </c>
      <c r="L142" s="105">
        <v>0</v>
      </c>
      <c r="M142" s="243">
        <f>ROUND(0, 1)</f>
        <v>0</v>
      </c>
      <c r="N142" s="242">
        <f>ROUND(0, 1)</f>
        <v>0</v>
      </c>
      <c r="O142" s="242">
        <f>ROUND(0, 1)</f>
        <v>0</v>
      </c>
      <c r="P142" s="242">
        <f>ROUND(0, 1)</f>
        <v>0</v>
      </c>
      <c r="Q142" s="105"/>
      <c r="R142" s="53" t="s">
        <v>5465</v>
      </c>
    </row>
    <row r="143" spans="1:18">
      <c r="A143" s="105" t="s">
        <v>5466</v>
      </c>
      <c r="B143" s="127">
        <f>ROUND(10, 3)</f>
        <v>10</v>
      </c>
      <c r="C143" s="105" t="str">
        <f>FIXED(100, 1)</f>
        <v>100.0</v>
      </c>
      <c r="D143" s="105" t="str">
        <f>IF(TRUE = TRUE, "Yes", "No")</f>
        <v>Yes</v>
      </c>
      <c r="E143" s="105" t="s">
        <v>5202</v>
      </c>
      <c r="F143" s="105"/>
      <c r="G143" s="105" t="str">
        <f>CHOOSE((0+1), "3", "1", "1")</f>
        <v>3</v>
      </c>
      <c r="H143" s="242" t="str">
        <f>CHOOSE((0+1), "--", "2", "3")</f>
        <v>--</v>
      </c>
      <c r="I143" s="105">
        <v>80</v>
      </c>
      <c r="J143" s="105">
        <v>125</v>
      </c>
      <c r="K143" s="105">
        <v>0</v>
      </c>
      <c r="L143" s="105">
        <v>0</v>
      </c>
      <c r="M143" s="243">
        <f>ROUND(0, 1)</f>
        <v>0</v>
      </c>
      <c r="N143" s="242">
        <f>ROUND(0, 1)</f>
        <v>0</v>
      </c>
      <c r="O143" s="242">
        <f>ROUND(0, 1)</f>
        <v>0</v>
      </c>
      <c r="P143" s="242">
        <f>ROUND(0, 1)</f>
        <v>0</v>
      </c>
      <c r="Q143" s="105"/>
      <c r="R143" s="53" t="s">
        <v>5467</v>
      </c>
    </row>
    <row r="144" spans="1:18">
      <c r="A144" s="105" t="s">
        <v>5468</v>
      </c>
      <c r="B144" s="127">
        <f>ROUND(10, 3)</f>
        <v>10</v>
      </c>
      <c r="C144" s="105" t="str">
        <f>FIXED(100, 1)</f>
        <v>100.0</v>
      </c>
      <c r="D144" s="105" t="str">
        <f>IF(TRUE = TRUE, "Yes", "No")</f>
        <v>Yes</v>
      </c>
      <c r="E144" s="105" t="s">
        <v>5202</v>
      </c>
      <c r="F144" s="105"/>
      <c r="G144" s="105" t="str">
        <f>CHOOSE((0+1), "3", "1", "1")</f>
        <v>3</v>
      </c>
      <c r="H144" s="242" t="str">
        <f>CHOOSE((0+1), "--", "2", "3")</f>
        <v>--</v>
      </c>
      <c r="I144" s="105">
        <v>80</v>
      </c>
      <c r="J144" s="105">
        <v>125</v>
      </c>
      <c r="K144" s="105">
        <v>0</v>
      </c>
      <c r="L144" s="105">
        <v>0</v>
      </c>
      <c r="M144" s="243">
        <f>ROUND(0, 1)</f>
        <v>0</v>
      </c>
      <c r="N144" s="242">
        <f>ROUND(0, 1)</f>
        <v>0</v>
      </c>
      <c r="O144" s="242">
        <f>ROUND(0, 1)</f>
        <v>0</v>
      </c>
      <c r="P144" s="242">
        <f>ROUND(0, 1)</f>
        <v>0</v>
      </c>
      <c r="Q144" s="105"/>
      <c r="R144" s="53" t="s">
        <v>5469</v>
      </c>
    </row>
    <row r="145" spans="1:18">
      <c r="A145" s="105" t="s">
        <v>5470</v>
      </c>
      <c r="B145" s="127">
        <f>ROUND(10, 3)</f>
        <v>10</v>
      </c>
      <c r="C145" s="105" t="str">
        <f>FIXED(100, 1)</f>
        <v>100.0</v>
      </c>
      <c r="D145" s="105" t="str">
        <f>IF(TRUE = TRUE, "Yes", "No")</f>
        <v>Yes</v>
      </c>
      <c r="E145" s="105" t="s">
        <v>5202</v>
      </c>
      <c r="F145" s="105"/>
      <c r="G145" s="105" t="str">
        <f>CHOOSE((0+1), "3", "1", "1")</f>
        <v>3</v>
      </c>
      <c r="H145" s="242" t="str">
        <f>CHOOSE((0+1), "--", "2", "3")</f>
        <v>--</v>
      </c>
      <c r="I145" s="105">
        <v>80</v>
      </c>
      <c r="J145" s="105">
        <v>125</v>
      </c>
      <c r="K145" s="105">
        <v>0</v>
      </c>
      <c r="L145" s="105">
        <v>0</v>
      </c>
      <c r="M145" s="243">
        <f>ROUND(0, 1)</f>
        <v>0</v>
      </c>
      <c r="N145" s="242">
        <f>ROUND(0, 1)</f>
        <v>0</v>
      </c>
      <c r="O145" s="242">
        <f>ROUND(0, 1)</f>
        <v>0</v>
      </c>
      <c r="P145" s="242">
        <f>ROUND(0, 1)</f>
        <v>0</v>
      </c>
      <c r="Q145" s="105"/>
      <c r="R145" s="53" t="s">
        <v>5471</v>
      </c>
    </row>
    <row r="146" spans="1:18">
      <c r="A146" s="105" t="s">
        <v>5472</v>
      </c>
      <c r="B146" s="127">
        <f>ROUND(10, 3)</f>
        <v>10</v>
      </c>
      <c r="C146" s="105" t="str">
        <f>FIXED(100, 1)</f>
        <v>100.0</v>
      </c>
      <c r="D146" s="105" t="str">
        <f>IF(TRUE = TRUE, "Yes", "No")</f>
        <v>Yes</v>
      </c>
      <c r="E146" s="105" t="s">
        <v>5202</v>
      </c>
      <c r="F146" s="105"/>
      <c r="G146" s="105" t="str">
        <f>CHOOSE((0+1), "3", "1", "1")</f>
        <v>3</v>
      </c>
      <c r="H146" s="242" t="str">
        <f>CHOOSE((0+1), "--", "2", "3")</f>
        <v>--</v>
      </c>
      <c r="I146" s="105">
        <v>80</v>
      </c>
      <c r="J146" s="105">
        <v>125</v>
      </c>
      <c r="K146" s="105">
        <v>0</v>
      </c>
      <c r="L146" s="105">
        <v>0</v>
      </c>
      <c r="M146" s="243">
        <f>ROUND(0, 1)</f>
        <v>0</v>
      </c>
      <c r="N146" s="242">
        <f>ROUND(0, 1)</f>
        <v>0</v>
      </c>
      <c r="O146" s="242">
        <f>ROUND(0, 1)</f>
        <v>0</v>
      </c>
      <c r="P146" s="242">
        <f>ROUND(0, 1)</f>
        <v>0</v>
      </c>
      <c r="Q146" s="105"/>
      <c r="R146" s="53" t="s">
        <v>5473</v>
      </c>
    </row>
    <row r="147" spans="1:18">
      <c r="A147" s="105" t="s">
        <v>5474</v>
      </c>
      <c r="B147" s="127">
        <f>ROUND(10, 3)</f>
        <v>10</v>
      </c>
      <c r="C147" s="105" t="str">
        <f>FIXED(100, 1)</f>
        <v>100.0</v>
      </c>
      <c r="D147" s="105" t="str">
        <f>IF(TRUE = TRUE, "Yes", "No")</f>
        <v>Yes</v>
      </c>
      <c r="E147" s="105" t="s">
        <v>5202</v>
      </c>
      <c r="F147" s="105"/>
      <c r="G147" s="105" t="str">
        <f>CHOOSE((0+1), "3", "1", "1")</f>
        <v>3</v>
      </c>
      <c r="H147" s="242" t="str">
        <f>CHOOSE((0+1), "--", "2", "3")</f>
        <v>--</v>
      </c>
      <c r="I147" s="105">
        <v>80</v>
      </c>
      <c r="J147" s="105">
        <v>125</v>
      </c>
      <c r="K147" s="105">
        <v>0</v>
      </c>
      <c r="L147" s="105">
        <v>0</v>
      </c>
      <c r="M147" s="243">
        <f>ROUND(0, 1)</f>
        <v>0</v>
      </c>
      <c r="N147" s="242">
        <f>ROUND(0, 1)</f>
        <v>0</v>
      </c>
      <c r="O147" s="242">
        <f>ROUND(0, 1)</f>
        <v>0</v>
      </c>
      <c r="P147" s="242">
        <f>ROUND(0, 1)</f>
        <v>0</v>
      </c>
      <c r="Q147" s="105"/>
      <c r="R147" s="53" t="s">
        <v>5475</v>
      </c>
    </row>
    <row r="148" spans="1:18">
      <c r="A148" s="105" t="s">
        <v>5476</v>
      </c>
      <c r="B148" s="127">
        <f>ROUND(10, 3)</f>
        <v>10</v>
      </c>
      <c r="C148" s="105" t="str">
        <f>FIXED(100, 1)</f>
        <v>100.0</v>
      </c>
      <c r="D148" s="105" t="str">
        <f>IF(TRUE = TRUE, "Yes", "No")</f>
        <v>Yes</v>
      </c>
      <c r="E148" s="105" t="s">
        <v>5202</v>
      </c>
      <c r="F148" s="105"/>
      <c r="G148" s="105" t="str">
        <f>CHOOSE((0+1), "3", "1", "1")</f>
        <v>3</v>
      </c>
      <c r="H148" s="242" t="str">
        <f>CHOOSE((0+1), "--", "2", "3")</f>
        <v>--</v>
      </c>
      <c r="I148" s="105">
        <v>80</v>
      </c>
      <c r="J148" s="105">
        <v>125</v>
      </c>
      <c r="K148" s="105">
        <v>0</v>
      </c>
      <c r="L148" s="105">
        <v>0</v>
      </c>
      <c r="M148" s="243">
        <f>ROUND(0, 1)</f>
        <v>0</v>
      </c>
      <c r="N148" s="242">
        <f>ROUND(0, 1)</f>
        <v>0</v>
      </c>
      <c r="O148" s="242">
        <f>ROUND(0, 1)</f>
        <v>0</v>
      </c>
      <c r="P148" s="242">
        <f>ROUND(0, 1)</f>
        <v>0</v>
      </c>
      <c r="Q148" s="105"/>
      <c r="R148" s="53" t="s">
        <v>5477</v>
      </c>
    </row>
    <row r="149" spans="1:18">
      <c r="A149" s="105" t="s">
        <v>5478</v>
      </c>
      <c r="B149" s="127">
        <f>ROUND(10, 3)</f>
        <v>10</v>
      </c>
      <c r="C149" s="105" t="str">
        <f>FIXED(100, 1)</f>
        <v>100.0</v>
      </c>
      <c r="D149" s="105" t="str">
        <f>IF(TRUE = TRUE, "Yes", "No")</f>
        <v>Yes</v>
      </c>
      <c r="E149" s="105" t="s">
        <v>5202</v>
      </c>
      <c r="F149" s="105"/>
      <c r="G149" s="105" t="str">
        <f>CHOOSE((0+1), "3", "1", "1")</f>
        <v>3</v>
      </c>
      <c r="H149" s="242" t="str">
        <f>CHOOSE((0+1), "--", "2", "3")</f>
        <v>--</v>
      </c>
      <c r="I149" s="105">
        <v>80</v>
      </c>
      <c r="J149" s="105">
        <v>125</v>
      </c>
      <c r="K149" s="105">
        <v>0</v>
      </c>
      <c r="L149" s="105">
        <v>0</v>
      </c>
      <c r="M149" s="243">
        <f>ROUND(0, 1)</f>
        <v>0</v>
      </c>
      <c r="N149" s="242">
        <f>ROUND(0, 1)</f>
        <v>0</v>
      </c>
      <c r="O149" s="242">
        <f>ROUND(0, 1)</f>
        <v>0</v>
      </c>
      <c r="P149" s="242">
        <f>ROUND(0, 1)</f>
        <v>0</v>
      </c>
      <c r="Q149" s="105"/>
      <c r="R149" s="53" t="s">
        <v>5479</v>
      </c>
    </row>
    <row r="150" spans="1:18">
      <c r="A150" s="105" t="s">
        <v>5480</v>
      </c>
      <c r="B150" s="127">
        <f>ROUND(10, 3)</f>
        <v>10</v>
      </c>
      <c r="C150" s="105" t="str">
        <f>FIXED(100, 1)</f>
        <v>100.0</v>
      </c>
      <c r="D150" s="105" t="str">
        <f>IF(TRUE = TRUE, "Yes", "No")</f>
        <v>Yes</v>
      </c>
      <c r="E150" s="105" t="s">
        <v>5202</v>
      </c>
      <c r="F150" s="105"/>
      <c r="G150" s="105" t="str">
        <f>CHOOSE((0+1), "3", "1", "1")</f>
        <v>3</v>
      </c>
      <c r="H150" s="242" t="str">
        <f>CHOOSE((0+1), "--", "2", "3")</f>
        <v>--</v>
      </c>
      <c r="I150" s="105">
        <v>80</v>
      </c>
      <c r="J150" s="105">
        <v>125</v>
      </c>
      <c r="K150" s="105">
        <v>0</v>
      </c>
      <c r="L150" s="105">
        <v>0</v>
      </c>
      <c r="M150" s="243">
        <f>ROUND(0, 1)</f>
        <v>0</v>
      </c>
      <c r="N150" s="242">
        <f>ROUND(0, 1)</f>
        <v>0</v>
      </c>
      <c r="O150" s="242">
        <f>ROUND(0, 1)</f>
        <v>0</v>
      </c>
      <c r="P150" s="242">
        <f>ROUND(0, 1)</f>
        <v>0</v>
      </c>
      <c r="Q150" s="105"/>
      <c r="R150" s="53" t="s">
        <v>5481</v>
      </c>
    </row>
    <row r="151" spans="1:18">
      <c r="A151" s="105" t="s">
        <v>5482</v>
      </c>
      <c r="B151" s="127">
        <f>ROUND(10, 3)</f>
        <v>10</v>
      </c>
      <c r="C151" s="105" t="str">
        <f>FIXED(100, 1)</f>
        <v>100.0</v>
      </c>
      <c r="D151" s="105" t="str">
        <f>IF(TRUE = TRUE, "Yes", "No")</f>
        <v>Yes</v>
      </c>
      <c r="E151" s="105" t="s">
        <v>5202</v>
      </c>
      <c r="F151" s="105"/>
      <c r="G151" s="105" t="str">
        <f>CHOOSE((0+1), "3", "1", "1")</f>
        <v>3</v>
      </c>
      <c r="H151" s="242" t="str">
        <f>CHOOSE((0+1), "--", "2", "3")</f>
        <v>--</v>
      </c>
      <c r="I151" s="105">
        <v>80</v>
      </c>
      <c r="J151" s="105">
        <v>125</v>
      </c>
      <c r="K151" s="105">
        <v>0</v>
      </c>
      <c r="L151" s="105">
        <v>0</v>
      </c>
      <c r="M151" s="243">
        <f>ROUND(0, 1)</f>
        <v>0</v>
      </c>
      <c r="N151" s="242">
        <f>ROUND(0, 1)</f>
        <v>0</v>
      </c>
      <c r="O151" s="242">
        <f>ROUND(0, 1)</f>
        <v>0</v>
      </c>
      <c r="P151" s="242">
        <f>ROUND(0, 1)</f>
        <v>0</v>
      </c>
      <c r="Q151" s="105"/>
      <c r="R151" s="53" t="s">
        <v>5483</v>
      </c>
    </row>
    <row r="152" spans="1:18">
      <c r="A152" s="105" t="s">
        <v>5484</v>
      </c>
      <c r="B152" s="127">
        <f>ROUND(10, 3)</f>
        <v>10</v>
      </c>
      <c r="C152" s="105" t="str">
        <f>FIXED(100, 1)</f>
        <v>100.0</v>
      </c>
      <c r="D152" s="105" t="str">
        <f>IF(TRUE = TRUE, "Yes", "No")</f>
        <v>Yes</v>
      </c>
      <c r="E152" s="105" t="s">
        <v>5202</v>
      </c>
      <c r="F152" s="105"/>
      <c r="G152" s="105" t="str">
        <f>CHOOSE((0+1), "3", "1", "1")</f>
        <v>3</v>
      </c>
      <c r="H152" s="242" t="str">
        <f>CHOOSE((0+1), "--", "2", "3")</f>
        <v>--</v>
      </c>
      <c r="I152" s="105">
        <v>80</v>
      </c>
      <c r="J152" s="105">
        <v>125</v>
      </c>
      <c r="K152" s="105">
        <v>0</v>
      </c>
      <c r="L152" s="105">
        <v>0</v>
      </c>
      <c r="M152" s="243">
        <f>ROUND(0, 1)</f>
        <v>0</v>
      </c>
      <c r="N152" s="242">
        <f>ROUND(0, 1)</f>
        <v>0</v>
      </c>
      <c r="O152" s="242">
        <f>ROUND(0, 1)</f>
        <v>0</v>
      </c>
      <c r="P152" s="242">
        <f>ROUND(0, 1)</f>
        <v>0</v>
      </c>
      <c r="Q152" s="105"/>
      <c r="R152" s="53" t="s">
        <v>5485</v>
      </c>
    </row>
    <row r="153" spans="1:18">
      <c r="A153" s="105" t="s">
        <v>5486</v>
      </c>
      <c r="B153" s="127">
        <f>ROUND(10, 3)</f>
        <v>10</v>
      </c>
      <c r="C153" s="105" t="str">
        <f>FIXED(100, 1)</f>
        <v>100.0</v>
      </c>
      <c r="D153" s="105" t="str">
        <f>IF(TRUE = TRUE, "Yes", "No")</f>
        <v>Yes</v>
      </c>
      <c r="E153" s="105" t="s">
        <v>5202</v>
      </c>
      <c r="F153" s="105"/>
      <c r="G153" s="105" t="str">
        <f>CHOOSE((0+1), "3", "1", "1")</f>
        <v>3</v>
      </c>
      <c r="H153" s="242" t="str">
        <f>CHOOSE((0+1), "--", "2", "3")</f>
        <v>--</v>
      </c>
      <c r="I153" s="105">
        <v>80</v>
      </c>
      <c r="J153" s="105">
        <v>125</v>
      </c>
      <c r="K153" s="105">
        <v>0</v>
      </c>
      <c r="L153" s="105">
        <v>0</v>
      </c>
      <c r="M153" s="243">
        <f>ROUND(0, 1)</f>
        <v>0</v>
      </c>
      <c r="N153" s="242">
        <f>ROUND(0, 1)</f>
        <v>0</v>
      </c>
      <c r="O153" s="242">
        <f>ROUND(0, 1)</f>
        <v>0</v>
      </c>
      <c r="P153" s="242">
        <f>ROUND(0, 1)</f>
        <v>0</v>
      </c>
      <c r="Q153" s="105"/>
      <c r="R153" s="53" t="s">
        <v>5487</v>
      </c>
    </row>
    <row r="154" spans="1:18">
      <c r="A154" s="105" t="s">
        <v>5488</v>
      </c>
      <c r="B154" s="127">
        <f>ROUND(10, 3)</f>
        <v>10</v>
      </c>
      <c r="C154" s="105" t="str">
        <f>FIXED(100, 1)</f>
        <v>100.0</v>
      </c>
      <c r="D154" s="105" t="str">
        <f>IF(TRUE = TRUE, "Yes", "No")</f>
        <v>Yes</v>
      </c>
      <c r="E154" s="105" t="s">
        <v>5202</v>
      </c>
      <c r="F154" s="105"/>
      <c r="G154" s="105" t="str">
        <f>CHOOSE((0+1), "3", "1", "1")</f>
        <v>3</v>
      </c>
      <c r="H154" s="242" t="str">
        <f>CHOOSE((0+1), "--", "2", "3")</f>
        <v>--</v>
      </c>
      <c r="I154" s="105">
        <v>80</v>
      </c>
      <c r="J154" s="105">
        <v>125</v>
      </c>
      <c r="K154" s="105">
        <v>0</v>
      </c>
      <c r="L154" s="105">
        <v>0</v>
      </c>
      <c r="M154" s="243">
        <f>ROUND(0, 1)</f>
        <v>0</v>
      </c>
      <c r="N154" s="242">
        <f>ROUND(0, 1)</f>
        <v>0</v>
      </c>
      <c r="O154" s="242">
        <f>ROUND(0, 1)</f>
        <v>0</v>
      </c>
      <c r="P154" s="242">
        <f>ROUND(0, 1)</f>
        <v>0</v>
      </c>
      <c r="Q154" s="105"/>
      <c r="R154" s="53" t="s">
        <v>5489</v>
      </c>
    </row>
    <row r="155" spans="1:18">
      <c r="A155" s="105" t="s">
        <v>5490</v>
      </c>
      <c r="B155" s="127">
        <f>ROUND(10, 3)</f>
        <v>10</v>
      </c>
      <c r="C155" s="105" t="str">
        <f>FIXED(100, 1)</f>
        <v>100.0</v>
      </c>
      <c r="D155" s="105" t="str">
        <f>IF(TRUE = TRUE, "Yes", "No")</f>
        <v>Yes</v>
      </c>
      <c r="E155" s="105" t="s">
        <v>5202</v>
      </c>
      <c r="F155" s="105"/>
      <c r="G155" s="105" t="str">
        <f>CHOOSE((0+1), "3", "1", "1")</f>
        <v>3</v>
      </c>
      <c r="H155" s="242" t="str">
        <f>CHOOSE((0+1), "--", "2", "3")</f>
        <v>--</v>
      </c>
      <c r="I155" s="105">
        <v>80</v>
      </c>
      <c r="J155" s="105">
        <v>125</v>
      </c>
      <c r="K155" s="105">
        <v>0</v>
      </c>
      <c r="L155" s="105">
        <v>0</v>
      </c>
      <c r="M155" s="243">
        <f>ROUND(0, 1)</f>
        <v>0</v>
      </c>
      <c r="N155" s="242">
        <f>ROUND(0, 1)</f>
        <v>0</v>
      </c>
      <c r="O155" s="242">
        <f>ROUND(0, 1)</f>
        <v>0</v>
      </c>
      <c r="P155" s="242">
        <f>ROUND(0, 1)</f>
        <v>0</v>
      </c>
      <c r="Q155" s="105"/>
      <c r="R155" s="53" t="s">
        <v>5491</v>
      </c>
    </row>
    <row r="156" spans="1:18">
      <c r="A156" s="105" t="s">
        <v>5492</v>
      </c>
      <c r="B156" s="127">
        <f>ROUND(10, 3)</f>
        <v>10</v>
      </c>
      <c r="C156" s="105" t="str">
        <f>FIXED(100, 1)</f>
        <v>100.0</v>
      </c>
      <c r="D156" s="105" t="str">
        <f>IF(TRUE = TRUE, "Yes", "No")</f>
        <v>Yes</v>
      </c>
      <c r="E156" s="105" t="s">
        <v>5202</v>
      </c>
      <c r="F156" s="105"/>
      <c r="G156" s="105" t="str">
        <f>CHOOSE((0+1), "3", "1", "1")</f>
        <v>3</v>
      </c>
      <c r="H156" s="242" t="str">
        <f>CHOOSE((0+1), "--", "2", "3")</f>
        <v>--</v>
      </c>
      <c r="I156" s="105">
        <v>80</v>
      </c>
      <c r="J156" s="105">
        <v>125</v>
      </c>
      <c r="K156" s="105">
        <v>0</v>
      </c>
      <c r="L156" s="105">
        <v>0</v>
      </c>
      <c r="M156" s="243">
        <f>ROUND(0, 1)</f>
        <v>0</v>
      </c>
      <c r="N156" s="242">
        <f>ROUND(0, 1)</f>
        <v>0</v>
      </c>
      <c r="O156" s="242">
        <f>ROUND(0, 1)</f>
        <v>0</v>
      </c>
      <c r="P156" s="242">
        <f>ROUND(0, 1)</f>
        <v>0</v>
      </c>
      <c r="Q156" s="105"/>
      <c r="R156" s="53" t="s">
        <v>5493</v>
      </c>
    </row>
    <row r="157" spans="1:18">
      <c r="A157" s="105" t="s">
        <v>5494</v>
      </c>
      <c r="B157" s="127">
        <f>ROUND(10, 3)</f>
        <v>10</v>
      </c>
      <c r="C157" s="105" t="str">
        <f>FIXED(100, 1)</f>
        <v>100.0</v>
      </c>
      <c r="D157" s="105" t="str">
        <f>IF(TRUE = TRUE, "Yes", "No")</f>
        <v>Yes</v>
      </c>
      <c r="E157" s="105" t="s">
        <v>5202</v>
      </c>
      <c r="F157" s="105"/>
      <c r="G157" s="105" t="str">
        <f>CHOOSE((0+1), "3", "1", "1")</f>
        <v>3</v>
      </c>
      <c r="H157" s="242" t="str">
        <f>CHOOSE((0+1), "--", "2", "3")</f>
        <v>--</v>
      </c>
      <c r="I157" s="105">
        <v>80</v>
      </c>
      <c r="J157" s="105">
        <v>125</v>
      </c>
      <c r="K157" s="105">
        <v>0</v>
      </c>
      <c r="L157" s="105">
        <v>0</v>
      </c>
      <c r="M157" s="243">
        <f>ROUND(0, 1)</f>
        <v>0</v>
      </c>
      <c r="N157" s="242">
        <f>ROUND(0, 1)</f>
        <v>0</v>
      </c>
      <c r="O157" s="242">
        <f>ROUND(0, 1)</f>
        <v>0</v>
      </c>
      <c r="P157" s="242">
        <f>ROUND(0, 1)</f>
        <v>0</v>
      </c>
      <c r="Q157" s="105"/>
      <c r="R157" s="53" t="s">
        <v>5495</v>
      </c>
    </row>
    <row r="158" spans="1:18">
      <c r="A158" s="105" t="s">
        <v>5496</v>
      </c>
      <c r="B158" s="127">
        <f>ROUND(10, 3)</f>
        <v>10</v>
      </c>
      <c r="C158" s="105" t="str">
        <f>FIXED(100, 1)</f>
        <v>100.0</v>
      </c>
      <c r="D158" s="105" t="str">
        <f>IF(TRUE = TRUE, "Yes", "No")</f>
        <v>Yes</v>
      </c>
      <c r="E158" s="105" t="s">
        <v>5202</v>
      </c>
      <c r="F158" s="105"/>
      <c r="G158" s="105" t="str">
        <f>CHOOSE((0+1), "3", "1", "1")</f>
        <v>3</v>
      </c>
      <c r="H158" s="242" t="str">
        <f>CHOOSE((0+1), "--", "2", "3")</f>
        <v>--</v>
      </c>
      <c r="I158" s="105">
        <v>80</v>
      </c>
      <c r="J158" s="105">
        <v>125</v>
      </c>
      <c r="K158" s="105">
        <v>0</v>
      </c>
      <c r="L158" s="105">
        <v>0</v>
      </c>
      <c r="M158" s="243">
        <f>ROUND(0, 1)</f>
        <v>0</v>
      </c>
      <c r="N158" s="242">
        <f>ROUND(0, 1)</f>
        <v>0</v>
      </c>
      <c r="O158" s="242">
        <f>ROUND(0, 1)</f>
        <v>0</v>
      </c>
      <c r="P158" s="242">
        <f>ROUND(0, 1)</f>
        <v>0</v>
      </c>
      <c r="Q158" s="105"/>
      <c r="R158" s="53" t="s">
        <v>5497</v>
      </c>
    </row>
    <row r="159" spans="1:18">
      <c r="A159" s="105" t="s">
        <v>5498</v>
      </c>
      <c r="B159" s="127">
        <f>ROUND(10, 3)</f>
        <v>10</v>
      </c>
      <c r="C159" s="105" t="str">
        <f>FIXED(100, 1)</f>
        <v>100.0</v>
      </c>
      <c r="D159" s="105" t="str">
        <f>IF(TRUE = TRUE, "Yes", "No")</f>
        <v>Yes</v>
      </c>
      <c r="E159" s="105" t="s">
        <v>5202</v>
      </c>
      <c r="F159" s="105"/>
      <c r="G159" s="105" t="str">
        <f>CHOOSE((0+1), "3", "1", "1")</f>
        <v>3</v>
      </c>
      <c r="H159" s="242" t="str">
        <f>CHOOSE((0+1), "--", "2", "3")</f>
        <v>--</v>
      </c>
      <c r="I159" s="105">
        <v>80</v>
      </c>
      <c r="J159" s="105">
        <v>125</v>
      </c>
      <c r="K159" s="105">
        <v>0</v>
      </c>
      <c r="L159" s="105">
        <v>0</v>
      </c>
      <c r="M159" s="243">
        <f>ROUND(0, 1)</f>
        <v>0</v>
      </c>
      <c r="N159" s="242">
        <f>ROUND(0, 1)</f>
        <v>0</v>
      </c>
      <c r="O159" s="242">
        <f>ROUND(0, 1)</f>
        <v>0</v>
      </c>
      <c r="P159" s="242">
        <f>ROUND(0, 1)</f>
        <v>0</v>
      </c>
      <c r="Q159" s="105"/>
      <c r="R159" s="53" t="s">
        <v>5499</v>
      </c>
    </row>
    <row r="160" spans="1:18">
      <c r="A160" s="105" t="s">
        <v>5500</v>
      </c>
      <c r="B160" s="127">
        <f>ROUND(10, 3)</f>
        <v>10</v>
      </c>
      <c r="C160" s="105" t="str">
        <f>FIXED(100, 1)</f>
        <v>100.0</v>
      </c>
      <c r="D160" s="105" t="str">
        <f>IF(TRUE = TRUE, "Yes", "No")</f>
        <v>Yes</v>
      </c>
      <c r="E160" s="105" t="s">
        <v>5202</v>
      </c>
      <c r="F160" s="105"/>
      <c r="G160" s="105" t="str">
        <f>CHOOSE((0+1), "3", "1", "1")</f>
        <v>3</v>
      </c>
      <c r="H160" s="242" t="str">
        <f>CHOOSE((0+1), "--", "2", "3")</f>
        <v>--</v>
      </c>
      <c r="I160" s="105">
        <v>80</v>
      </c>
      <c r="J160" s="105">
        <v>125</v>
      </c>
      <c r="K160" s="105">
        <v>0</v>
      </c>
      <c r="L160" s="105">
        <v>0</v>
      </c>
      <c r="M160" s="243">
        <f>ROUND(0, 1)</f>
        <v>0</v>
      </c>
      <c r="N160" s="242">
        <f>ROUND(0, 1)</f>
        <v>0</v>
      </c>
      <c r="O160" s="242">
        <f>ROUND(0, 1)</f>
        <v>0</v>
      </c>
      <c r="P160" s="242">
        <f>ROUND(0, 1)</f>
        <v>0</v>
      </c>
      <c r="Q160" s="105"/>
      <c r="R160" s="53" t="s">
        <v>5501</v>
      </c>
    </row>
    <row r="161" spans="1:18">
      <c r="A161" s="105" t="s">
        <v>5502</v>
      </c>
      <c r="B161" s="127">
        <f>ROUND(10, 3)</f>
        <v>10</v>
      </c>
      <c r="C161" s="105" t="str">
        <f>FIXED(100, 1)</f>
        <v>100.0</v>
      </c>
      <c r="D161" s="105" t="str">
        <f>IF(TRUE = TRUE, "Yes", "No")</f>
        <v>Yes</v>
      </c>
      <c r="E161" s="105" t="s">
        <v>5202</v>
      </c>
      <c r="F161" s="105"/>
      <c r="G161" s="105" t="str">
        <f>CHOOSE((0+1), "3", "1", "1")</f>
        <v>3</v>
      </c>
      <c r="H161" s="242" t="str">
        <f>CHOOSE((0+1), "--", "2", "3")</f>
        <v>--</v>
      </c>
      <c r="I161" s="105">
        <v>80</v>
      </c>
      <c r="J161" s="105">
        <v>125</v>
      </c>
      <c r="K161" s="105">
        <v>0</v>
      </c>
      <c r="L161" s="105">
        <v>0</v>
      </c>
      <c r="M161" s="243">
        <f>ROUND(0, 1)</f>
        <v>0</v>
      </c>
      <c r="N161" s="242">
        <f>ROUND(0, 1)</f>
        <v>0</v>
      </c>
      <c r="O161" s="242">
        <f>ROUND(0, 1)</f>
        <v>0</v>
      </c>
      <c r="P161" s="242">
        <f>ROUND(0, 1)</f>
        <v>0</v>
      </c>
      <c r="Q161" s="105"/>
      <c r="R161" s="53" t="s">
        <v>5503</v>
      </c>
    </row>
    <row r="162" spans="1:18">
      <c r="A162" s="105" t="s">
        <v>5504</v>
      </c>
      <c r="B162" s="127">
        <f>ROUND(10, 3)</f>
        <v>10</v>
      </c>
      <c r="C162" s="105" t="str">
        <f>FIXED(100, 1)</f>
        <v>100.0</v>
      </c>
      <c r="D162" s="105" t="str">
        <f>IF(TRUE = TRUE, "Yes", "No")</f>
        <v>Yes</v>
      </c>
      <c r="E162" s="105" t="s">
        <v>5202</v>
      </c>
      <c r="F162" s="105"/>
      <c r="G162" s="105" t="str">
        <f>CHOOSE((0+1), "3", "1", "1")</f>
        <v>3</v>
      </c>
      <c r="H162" s="242" t="str">
        <f>CHOOSE((0+1), "--", "2", "3")</f>
        <v>--</v>
      </c>
      <c r="I162" s="105">
        <v>80</v>
      </c>
      <c r="J162" s="105">
        <v>125</v>
      </c>
      <c r="K162" s="105">
        <v>0</v>
      </c>
      <c r="L162" s="105">
        <v>0</v>
      </c>
      <c r="M162" s="243">
        <f>ROUND(0, 1)</f>
        <v>0</v>
      </c>
      <c r="N162" s="242">
        <f>ROUND(0, 1)</f>
        <v>0</v>
      </c>
      <c r="O162" s="242">
        <f>ROUND(0, 1)</f>
        <v>0</v>
      </c>
      <c r="P162" s="242">
        <f>ROUND(0, 1)</f>
        <v>0</v>
      </c>
      <c r="Q162" s="105"/>
      <c r="R162" s="53" t="s">
        <v>5505</v>
      </c>
    </row>
    <row r="163" spans="1:18">
      <c r="A163" s="105" t="s">
        <v>5506</v>
      </c>
      <c r="B163" s="127">
        <f>ROUND(10, 3)</f>
        <v>10</v>
      </c>
      <c r="C163" s="105" t="str">
        <f>FIXED(100, 1)</f>
        <v>100.0</v>
      </c>
      <c r="D163" s="105" t="str">
        <f>IF(TRUE = TRUE, "Yes", "No")</f>
        <v>Yes</v>
      </c>
      <c r="E163" s="105" t="s">
        <v>5202</v>
      </c>
      <c r="F163" s="105"/>
      <c r="G163" s="105" t="str">
        <f>CHOOSE((0+1), "3", "1", "1")</f>
        <v>3</v>
      </c>
      <c r="H163" s="242" t="str">
        <f>CHOOSE((0+1), "--", "2", "3")</f>
        <v>--</v>
      </c>
      <c r="I163" s="105">
        <v>80</v>
      </c>
      <c r="J163" s="105">
        <v>125</v>
      </c>
      <c r="K163" s="105">
        <v>0</v>
      </c>
      <c r="L163" s="105">
        <v>0</v>
      </c>
      <c r="M163" s="243">
        <f>ROUND(0, 1)</f>
        <v>0</v>
      </c>
      <c r="N163" s="242">
        <f>ROUND(0, 1)</f>
        <v>0</v>
      </c>
      <c r="O163" s="242">
        <f>ROUND(0, 1)</f>
        <v>0</v>
      </c>
      <c r="P163" s="242">
        <f>ROUND(0, 1)</f>
        <v>0</v>
      </c>
      <c r="Q163" s="105"/>
      <c r="R163" s="53" t="s">
        <v>5507</v>
      </c>
    </row>
    <row r="164" spans="1:18">
      <c r="A164" s="105" t="s">
        <v>5508</v>
      </c>
      <c r="B164" s="127">
        <f>ROUND(10, 3)</f>
        <v>10</v>
      </c>
      <c r="C164" s="105" t="str">
        <f>FIXED(100, 1)</f>
        <v>100.0</v>
      </c>
      <c r="D164" s="105" t="str">
        <f>IF(TRUE = TRUE, "Yes", "No")</f>
        <v>Yes</v>
      </c>
      <c r="E164" s="105" t="s">
        <v>5202</v>
      </c>
      <c r="F164" s="105"/>
      <c r="G164" s="105" t="str">
        <f>CHOOSE((0+1), "3", "1", "1")</f>
        <v>3</v>
      </c>
      <c r="H164" s="242" t="str">
        <f>CHOOSE((0+1), "--", "2", "3")</f>
        <v>--</v>
      </c>
      <c r="I164" s="105">
        <v>80</v>
      </c>
      <c r="J164" s="105">
        <v>125</v>
      </c>
      <c r="K164" s="105">
        <v>0</v>
      </c>
      <c r="L164" s="105">
        <v>0</v>
      </c>
      <c r="M164" s="243">
        <f>ROUND(0, 1)</f>
        <v>0</v>
      </c>
      <c r="N164" s="242">
        <f>ROUND(0, 1)</f>
        <v>0</v>
      </c>
      <c r="O164" s="242">
        <f>ROUND(0, 1)</f>
        <v>0</v>
      </c>
      <c r="P164" s="242">
        <f>ROUND(0, 1)</f>
        <v>0</v>
      </c>
      <c r="Q164" s="105"/>
      <c r="R164" s="53" t="s">
        <v>5509</v>
      </c>
    </row>
    <row r="165" spans="1:18">
      <c r="A165" s="105" t="s">
        <v>5510</v>
      </c>
      <c r="B165" s="127">
        <f>ROUND(10, 3)</f>
        <v>10</v>
      </c>
      <c r="C165" s="105" t="str">
        <f>FIXED(100, 1)</f>
        <v>100.0</v>
      </c>
      <c r="D165" s="105" t="str">
        <f>IF(TRUE = TRUE, "Yes", "No")</f>
        <v>Yes</v>
      </c>
      <c r="E165" s="105" t="s">
        <v>5202</v>
      </c>
      <c r="F165" s="105"/>
      <c r="G165" s="105" t="str">
        <f>CHOOSE((0+1), "3", "1", "1")</f>
        <v>3</v>
      </c>
      <c r="H165" s="242" t="str">
        <f>CHOOSE((0+1), "--", "2", "3")</f>
        <v>--</v>
      </c>
      <c r="I165" s="105">
        <v>80</v>
      </c>
      <c r="J165" s="105">
        <v>125</v>
      </c>
      <c r="K165" s="105">
        <v>0</v>
      </c>
      <c r="L165" s="105">
        <v>0</v>
      </c>
      <c r="M165" s="243">
        <f>ROUND(0, 1)</f>
        <v>0</v>
      </c>
      <c r="N165" s="242">
        <f>ROUND(0, 1)</f>
        <v>0</v>
      </c>
      <c r="O165" s="242">
        <f>ROUND(0, 1)</f>
        <v>0</v>
      </c>
      <c r="P165" s="242">
        <f>ROUND(0, 1)</f>
        <v>0</v>
      </c>
      <c r="Q165" s="105"/>
      <c r="R165" s="53" t="s">
        <v>5511</v>
      </c>
    </row>
    <row r="166" spans="1:18">
      <c r="A166" s="105" t="s">
        <v>5512</v>
      </c>
      <c r="B166" s="127">
        <f>ROUND(10, 3)</f>
        <v>10</v>
      </c>
      <c r="C166" s="105" t="str">
        <f>FIXED(100, 1)</f>
        <v>100.0</v>
      </c>
      <c r="D166" s="105" t="str">
        <f>IF(TRUE = TRUE, "Yes", "No")</f>
        <v>Yes</v>
      </c>
      <c r="E166" s="105" t="s">
        <v>5202</v>
      </c>
      <c r="F166" s="105"/>
      <c r="G166" s="105" t="str">
        <f>CHOOSE((0+1), "3", "1", "1")</f>
        <v>3</v>
      </c>
      <c r="H166" s="242" t="str">
        <f>CHOOSE((0+1), "--", "2", "3")</f>
        <v>--</v>
      </c>
      <c r="I166" s="105">
        <v>80</v>
      </c>
      <c r="J166" s="105">
        <v>125</v>
      </c>
      <c r="K166" s="105">
        <v>0</v>
      </c>
      <c r="L166" s="105">
        <v>0</v>
      </c>
      <c r="M166" s="243">
        <f>ROUND(0, 1)</f>
        <v>0</v>
      </c>
      <c r="N166" s="242">
        <f>ROUND(0, 1)</f>
        <v>0</v>
      </c>
      <c r="O166" s="242">
        <f>ROUND(0, 1)</f>
        <v>0</v>
      </c>
      <c r="P166" s="242">
        <f>ROUND(0, 1)</f>
        <v>0</v>
      </c>
      <c r="Q166" s="105"/>
      <c r="R166" s="53" t="s">
        <v>5513</v>
      </c>
    </row>
    <row r="167" spans="1:18">
      <c r="A167" s="105" t="s">
        <v>5514</v>
      </c>
      <c r="B167" s="127">
        <f>ROUND(10, 3)</f>
        <v>10</v>
      </c>
      <c r="C167" s="105" t="str">
        <f>FIXED(100, 1)</f>
        <v>100.0</v>
      </c>
      <c r="D167" s="105" t="str">
        <f>IF(TRUE = TRUE, "Yes", "No")</f>
        <v>Yes</v>
      </c>
      <c r="E167" s="105" t="s">
        <v>5202</v>
      </c>
      <c r="F167" s="105"/>
      <c r="G167" s="105" t="str">
        <f>CHOOSE((0+1), "3", "1", "1")</f>
        <v>3</v>
      </c>
      <c r="H167" s="242" t="str">
        <f>CHOOSE((0+1), "--", "2", "3")</f>
        <v>--</v>
      </c>
      <c r="I167" s="105">
        <v>80</v>
      </c>
      <c r="J167" s="105">
        <v>125</v>
      </c>
      <c r="K167" s="105">
        <v>0</v>
      </c>
      <c r="L167" s="105">
        <v>0</v>
      </c>
      <c r="M167" s="243">
        <f>ROUND(0, 1)</f>
        <v>0</v>
      </c>
      <c r="N167" s="242">
        <f>ROUND(0, 1)</f>
        <v>0</v>
      </c>
      <c r="O167" s="242">
        <f>ROUND(0, 1)</f>
        <v>0</v>
      </c>
      <c r="P167" s="242">
        <f>ROUND(0, 1)</f>
        <v>0</v>
      </c>
      <c r="Q167" s="105"/>
      <c r="R167" s="53" t="s">
        <v>5515</v>
      </c>
    </row>
    <row r="168" spans="1:18">
      <c r="A168" s="105" t="s">
        <v>5516</v>
      </c>
      <c r="B168" s="127">
        <f>ROUND(10, 3)</f>
        <v>10</v>
      </c>
      <c r="C168" s="105" t="str">
        <f>FIXED(100, 1)</f>
        <v>100.0</v>
      </c>
      <c r="D168" s="105" t="str">
        <f>IF(TRUE = TRUE, "Yes", "No")</f>
        <v>Yes</v>
      </c>
      <c r="E168" s="105" t="s">
        <v>5202</v>
      </c>
      <c r="F168" s="105"/>
      <c r="G168" s="105" t="str">
        <f>CHOOSE((0+1), "3", "1", "1")</f>
        <v>3</v>
      </c>
      <c r="H168" s="242" t="str">
        <f>CHOOSE((0+1), "--", "2", "3")</f>
        <v>--</v>
      </c>
      <c r="I168" s="105">
        <v>80</v>
      </c>
      <c r="J168" s="105">
        <v>125</v>
      </c>
      <c r="K168" s="105">
        <v>0</v>
      </c>
      <c r="L168" s="105">
        <v>0</v>
      </c>
      <c r="M168" s="243">
        <f>ROUND(0, 1)</f>
        <v>0</v>
      </c>
      <c r="N168" s="242">
        <f>ROUND(0, 1)</f>
        <v>0</v>
      </c>
      <c r="O168" s="242">
        <f>ROUND(0, 1)</f>
        <v>0</v>
      </c>
      <c r="P168" s="242">
        <f>ROUND(0, 1)</f>
        <v>0</v>
      </c>
      <c r="Q168" s="105"/>
      <c r="R168" s="53" t="s">
        <v>5517</v>
      </c>
    </row>
    <row r="169" spans="1:18">
      <c r="A169" s="105" t="s">
        <v>5518</v>
      </c>
      <c r="B169" s="127">
        <f>ROUND(10, 3)</f>
        <v>10</v>
      </c>
      <c r="C169" s="105" t="str">
        <f>FIXED(100, 1)</f>
        <v>100.0</v>
      </c>
      <c r="D169" s="105" t="str">
        <f>IF(TRUE = TRUE, "Yes", "No")</f>
        <v>Yes</v>
      </c>
      <c r="E169" s="105" t="s">
        <v>5202</v>
      </c>
      <c r="F169" s="105"/>
      <c r="G169" s="105" t="str">
        <f>CHOOSE((0+1), "3", "1", "1")</f>
        <v>3</v>
      </c>
      <c r="H169" s="242" t="str">
        <f>CHOOSE((0+1), "--", "2", "3")</f>
        <v>--</v>
      </c>
      <c r="I169" s="105">
        <v>80</v>
      </c>
      <c r="J169" s="105">
        <v>125</v>
      </c>
      <c r="K169" s="105">
        <v>0</v>
      </c>
      <c r="L169" s="105">
        <v>0</v>
      </c>
      <c r="M169" s="243">
        <f>ROUND(0, 1)</f>
        <v>0</v>
      </c>
      <c r="N169" s="242">
        <f>ROUND(0, 1)</f>
        <v>0</v>
      </c>
      <c r="O169" s="242">
        <f>ROUND(0, 1)</f>
        <v>0</v>
      </c>
      <c r="P169" s="242">
        <f>ROUND(0, 1)</f>
        <v>0</v>
      </c>
      <c r="Q169" s="105"/>
      <c r="R169" s="53" t="s">
        <v>5519</v>
      </c>
    </row>
    <row r="170" spans="1:18">
      <c r="A170" s="105" t="s">
        <v>5520</v>
      </c>
      <c r="B170" s="127">
        <f>ROUND(10, 3)</f>
        <v>10</v>
      </c>
      <c r="C170" s="105" t="str">
        <f>FIXED(100, 1)</f>
        <v>100.0</v>
      </c>
      <c r="D170" s="105" t="str">
        <f>IF(TRUE = TRUE, "Yes", "No")</f>
        <v>Yes</v>
      </c>
      <c r="E170" s="105" t="s">
        <v>5202</v>
      </c>
      <c r="F170" s="105"/>
      <c r="G170" s="105" t="str">
        <f>CHOOSE((0+1), "3", "1", "1")</f>
        <v>3</v>
      </c>
      <c r="H170" s="242" t="str">
        <f>CHOOSE((0+1), "--", "2", "3")</f>
        <v>--</v>
      </c>
      <c r="I170" s="105">
        <v>80</v>
      </c>
      <c r="J170" s="105">
        <v>125</v>
      </c>
      <c r="K170" s="105">
        <v>0</v>
      </c>
      <c r="L170" s="105">
        <v>0</v>
      </c>
      <c r="M170" s="243">
        <f>ROUND(0, 1)</f>
        <v>0</v>
      </c>
      <c r="N170" s="242">
        <f>ROUND(0, 1)</f>
        <v>0</v>
      </c>
      <c r="O170" s="242">
        <f>ROUND(0, 1)</f>
        <v>0</v>
      </c>
      <c r="P170" s="242">
        <f>ROUND(0, 1)</f>
        <v>0</v>
      </c>
      <c r="Q170" s="105"/>
      <c r="R170" s="53" t="s">
        <v>5521</v>
      </c>
    </row>
    <row r="171" spans="1:18">
      <c r="A171" s="105" t="s">
        <v>5522</v>
      </c>
      <c r="B171" s="127">
        <f>ROUND(10, 3)</f>
        <v>10</v>
      </c>
      <c r="C171" s="105" t="str">
        <f>FIXED(100, 1)</f>
        <v>100.0</v>
      </c>
      <c r="D171" s="105" t="str">
        <f>IF(TRUE = TRUE, "Yes", "No")</f>
        <v>Yes</v>
      </c>
      <c r="E171" s="105" t="s">
        <v>5202</v>
      </c>
      <c r="F171" s="105"/>
      <c r="G171" s="105" t="str">
        <f>CHOOSE((0+1), "3", "1", "1")</f>
        <v>3</v>
      </c>
      <c r="H171" s="242" t="str">
        <f>CHOOSE((0+1), "--", "2", "3")</f>
        <v>--</v>
      </c>
      <c r="I171" s="105">
        <v>80</v>
      </c>
      <c r="J171" s="105">
        <v>125</v>
      </c>
      <c r="K171" s="105">
        <v>0</v>
      </c>
      <c r="L171" s="105">
        <v>0</v>
      </c>
      <c r="M171" s="243">
        <f>ROUND(0, 1)</f>
        <v>0</v>
      </c>
      <c r="N171" s="242">
        <f>ROUND(0, 1)</f>
        <v>0</v>
      </c>
      <c r="O171" s="242">
        <f>ROUND(0, 1)</f>
        <v>0</v>
      </c>
      <c r="P171" s="242">
        <f>ROUND(0, 1)</f>
        <v>0</v>
      </c>
      <c r="Q171" s="105"/>
      <c r="R171" s="53" t="s">
        <v>5523</v>
      </c>
    </row>
    <row r="172" spans="1:18">
      <c r="A172" s="105" t="s">
        <v>5524</v>
      </c>
      <c r="B172" s="127">
        <f>ROUND(10, 3)</f>
        <v>10</v>
      </c>
      <c r="C172" s="105" t="str">
        <f>FIXED(100, 1)</f>
        <v>100.0</v>
      </c>
      <c r="D172" s="105" t="str">
        <f>IF(TRUE = TRUE, "Yes", "No")</f>
        <v>Yes</v>
      </c>
      <c r="E172" s="105" t="s">
        <v>5202</v>
      </c>
      <c r="F172" s="105"/>
      <c r="G172" s="105" t="str">
        <f>CHOOSE((0+1), "3", "1", "1")</f>
        <v>3</v>
      </c>
      <c r="H172" s="242" t="str">
        <f>CHOOSE((0+1), "--", "2", "3")</f>
        <v>--</v>
      </c>
      <c r="I172" s="105">
        <v>80</v>
      </c>
      <c r="J172" s="105">
        <v>125</v>
      </c>
      <c r="K172" s="105">
        <v>0</v>
      </c>
      <c r="L172" s="105">
        <v>0</v>
      </c>
      <c r="M172" s="243">
        <f>ROUND(0, 1)</f>
        <v>0</v>
      </c>
      <c r="N172" s="242">
        <f>ROUND(0, 1)</f>
        <v>0</v>
      </c>
      <c r="O172" s="242">
        <f>ROUND(0, 1)</f>
        <v>0</v>
      </c>
      <c r="P172" s="242">
        <f>ROUND(0, 1)</f>
        <v>0</v>
      </c>
      <c r="Q172" s="105"/>
      <c r="R172" s="53" t="s">
        <v>5525</v>
      </c>
    </row>
    <row r="173" spans="1:18">
      <c r="A173" s="105" t="s">
        <v>5526</v>
      </c>
      <c r="B173" s="127">
        <f>ROUND(10, 3)</f>
        <v>10</v>
      </c>
      <c r="C173" s="105" t="str">
        <f>FIXED(100, 1)</f>
        <v>100.0</v>
      </c>
      <c r="D173" s="105" t="str">
        <f>IF(TRUE = TRUE, "Yes", "No")</f>
        <v>Yes</v>
      </c>
      <c r="E173" s="105" t="s">
        <v>5202</v>
      </c>
      <c r="F173" s="105"/>
      <c r="G173" s="105" t="str">
        <f>CHOOSE((0+1), "3", "1", "1")</f>
        <v>3</v>
      </c>
      <c r="H173" s="242" t="str">
        <f>CHOOSE((0+1), "--", "2", "3")</f>
        <v>--</v>
      </c>
      <c r="I173" s="105">
        <v>80</v>
      </c>
      <c r="J173" s="105">
        <v>125</v>
      </c>
      <c r="K173" s="105">
        <v>0</v>
      </c>
      <c r="L173" s="105">
        <v>0</v>
      </c>
      <c r="M173" s="243">
        <f>ROUND(0, 1)</f>
        <v>0</v>
      </c>
      <c r="N173" s="242">
        <f>ROUND(0, 1)</f>
        <v>0</v>
      </c>
      <c r="O173" s="242">
        <f>ROUND(0, 1)</f>
        <v>0</v>
      </c>
      <c r="P173" s="242">
        <f>ROUND(0, 1)</f>
        <v>0</v>
      </c>
      <c r="Q173" s="105"/>
      <c r="R173" s="53" t="s">
        <v>5527</v>
      </c>
    </row>
    <row r="174" spans="1:18">
      <c r="A174" s="105" t="s">
        <v>5528</v>
      </c>
      <c r="B174" s="127">
        <f>ROUND(10, 3)</f>
        <v>10</v>
      </c>
      <c r="C174" s="105" t="str">
        <f>FIXED(100, 1)</f>
        <v>100.0</v>
      </c>
      <c r="D174" s="105" t="str">
        <f>IF(TRUE = TRUE, "Yes", "No")</f>
        <v>Yes</v>
      </c>
      <c r="E174" s="105" t="s">
        <v>5202</v>
      </c>
      <c r="F174" s="105"/>
      <c r="G174" s="105" t="str">
        <f>CHOOSE((0+1), "3", "1", "1")</f>
        <v>3</v>
      </c>
      <c r="H174" s="242" t="str">
        <f>CHOOSE((0+1), "--", "2", "3")</f>
        <v>--</v>
      </c>
      <c r="I174" s="105">
        <v>80</v>
      </c>
      <c r="J174" s="105">
        <v>125</v>
      </c>
      <c r="K174" s="105">
        <v>0</v>
      </c>
      <c r="L174" s="105">
        <v>0</v>
      </c>
      <c r="M174" s="243">
        <f>ROUND(0, 1)</f>
        <v>0</v>
      </c>
      <c r="N174" s="242">
        <f>ROUND(0, 1)</f>
        <v>0</v>
      </c>
      <c r="O174" s="242">
        <f>ROUND(0, 1)</f>
        <v>0</v>
      </c>
      <c r="P174" s="242">
        <f>ROUND(0, 1)</f>
        <v>0</v>
      </c>
      <c r="Q174" s="105"/>
      <c r="R174" s="53" t="s">
        <v>5529</v>
      </c>
    </row>
    <row r="175" spans="1:18">
      <c r="A175" s="105" t="s">
        <v>5530</v>
      </c>
      <c r="B175" s="127">
        <f>ROUND(10, 3)</f>
        <v>10</v>
      </c>
      <c r="C175" s="105" t="str">
        <f>FIXED(100, 1)</f>
        <v>100.0</v>
      </c>
      <c r="D175" s="105" t="str">
        <f>IF(TRUE = TRUE, "Yes", "No")</f>
        <v>Yes</v>
      </c>
      <c r="E175" s="105" t="s">
        <v>5202</v>
      </c>
      <c r="F175" s="105"/>
      <c r="G175" s="105" t="str">
        <f>CHOOSE((0+1), "3", "1", "1")</f>
        <v>3</v>
      </c>
      <c r="H175" s="242" t="str">
        <f>CHOOSE((0+1), "--", "2", "3")</f>
        <v>--</v>
      </c>
      <c r="I175" s="105">
        <v>80</v>
      </c>
      <c r="J175" s="105">
        <v>125</v>
      </c>
      <c r="K175" s="105">
        <v>0</v>
      </c>
      <c r="L175" s="105">
        <v>0</v>
      </c>
      <c r="M175" s="243">
        <f>ROUND(0, 1)</f>
        <v>0</v>
      </c>
      <c r="N175" s="242">
        <f>ROUND(0, 1)</f>
        <v>0</v>
      </c>
      <c r="O175" s="242">
        <f>ROUND(0, 1)</f>
        <v>0</v>
      </c>
      <c r="P175" s="242">
        <f>ROUND(0, 1)</f>
        <v>0</v>
      </c>
      <c r="Q175" s="105"/>
      <c r="R175" s="53" t="s">
        <v>5531</v>
      </c>
    </row>
    <row r="176" spans="1:18">
      <c r="A176" s="105" t="s">
        <v>5532</v>
      </c>
      <c r="B176" s="127">
        <f>ROUND(10, 3)</f>
        <v>10</v>
      </c>
      <c r="C176" s="105" t="str">
        <f>FIXED(100, 1)</f>
        <v>100.0</v>
      </c>
      <c r="D176" s="105" t="str">
        <f>IF(TRUE = TRUE, "Yes", "No")</f>
        <v>Yes</v>
      </c>
      <c r="E176" s="105" t="s">
        <v>5202</v>
      </c>
      <c r="F176" s="105"/>
      <c r="G176" s="105" t="str">
        <f>CHOOSE((0+1), "3", "1", "1")</f>
        <v>3</v>
      </c>
      <c r="H176" s="242" t="str">
        <f>CHOOSE((0+1), "--", "2", "3")</f>
        <v>--</v>
      </c>
      <c r="I176" s="105">
        <v>80</v>
      </c>
      <c r="J176" s="105">
        <v>125</v>
      </c>
      <c r="K176" s="105">
        <v>0</v>
      </c>
      <c r="L176" s="105">
        <v>0</v>
      </c>
      <c r="M176" s="243">
        <f>ROUND(0, 1)</f>
        <v>0</v>
      </c>
      <c r="N176" s="242">
        <f>ROUND(0, 1)</f>
        <v>0</v>
      </c>
      <c r="O176" s="242">
        <f>ROUND(0, 1)</f>
        <v>0</v>
      </c>
      <c r="P176" s="242">
        <f>ROUND(0, 1)</f>
        <v>0</v>
      </c>
      <c r="Q176" s="105"/>
      <c r="R176" s="53" t="s">
        <v>5533</v>
      </c>
    </row>
    <row r="177" spans="1:18">
      <c r="A177" s="105" t="s">
        <v>5534</v>
      </c>
      <c r="B177" s="127">
        <f>ROUND(10, 3)</f>
        <v>10</v>
      </c>
      <c r="C177" s="105" t="str">
        <f>FIXED(100, 1)</f>
        <v>100.0</v>
      </c>
      <c r="D177" s="105" t="str">
        <f>IF(TRUE = TRUE, "Yes", "No")</f>
        <v>Yes</v>
      </c>
      <c r="E177" s="105" t="s">
        <v>5202</v>
      </c>
      <c r="F177" s="105"/>
      <c r="G177" s="105" t="str">
        <f>CHOOSE((0+1), "3", "1", "1")</f>
        <v>3</v>
      </c>
      <c r="H177" s="242" t="str">
        <f>CHOOSE((0+1), "--", "2", "3")</f>
        <v>--</v>
      </c>
      <c r="I177" s="105">
        <v>80</v>
      </c>
      <c r="J177" s="105">
        <v>125</v>
      </c>
      <c r="K177" s="105">
        <v>0</v>
      </c>
      <c r="L177" s="105">
        <v>0</v>
      </c>
      <c r="M177" s="243">
        <f>ROUND(0, 1)</f>
        <v>0</v>
      </c>
      <c r="N177" s="242">
        <f>ROUND(0, 1)</f>
        <v>0</v>
      </c>
      <c r="O177" s="242">
        <f>ROUND(0, 1)</f>
        <v>0</v>
      </c>
      <c r="P177" s="242">
        <f>ROUND(0, 1)</f>
        <v>0</v>
      </c>
      <c r="Q177" s="105"/>
      <c r="R177" s="53" t="s">
        <v>5535</v>
      </c>
    </row>
    <row r="178" spans="1:18">
      <c r="A178" s="105" t="s">
        <v>5536</v>
      </c>
      <c r="B178" s="127">
        <f>ROUND(10, 3)</f>
        <v>10</v>
      </c>
      <c r="C178" s="105" t="str">
        <f>FIXED(100, 1)</f>
        <v>100.0</v>
      </c>
      <c r="D178" s="105" t="str">
        <f>IF(TRUE = TRUE, "Yes", "No")</f>
        <v>Yes</v>
      </c>
      <c r="E178" s="105" t="s">
        <v>5202</v>
      </c>
      <c r="F178" s="105"/>
      <c r="G178" s="105" t="str">
        <f>CHOOSE((0+1), "3", "1", "1")</f>
        <v>3</v>
      </c>
      <c r="H178" s="242" t="str">
        <f>CHOOSE((0+1), "--", "2", "3")</f>
        <v>--</v>
      </c>
      <c r="I178" s="105">
        <v>80</v>
      </c>
      <c r="J178" s="105">
        <v>125</v>
      </c>
      <c r="K178" s="105">
        <v>0</v>
      </c>
      <c r="L178" s="105">
        <v>0</v>
      </c>
      <c r="M178" s="243">
        <f>ROUND(0, 1)</f>
        <v>0</v>
      </c>
      <c r="N178" s="242">
        <f>ROUND(0, 1)</f>
        <v>0</v>
      </c>
      <c r="O178" s="242">
        <f>ROUND(0, 1)</f>
        <v>0</v>
      </c>
      <c r="P178" s="242">
        <f>ROUND(0, 1)</f>
        <v>0</v>
      </c>
      <c r="Q178" s="105"/>
      <c r="R178" s="53" t="s">
        <v>5537</v>
      </c>
    </row>
    <row r="179" spans="1:18">
      <c r="A179" s="105" t="s">
        <v>5538</v>
      </c>
      <c r="B179" s="127">
        <f>ROUND(10, 3)</f>
        <v>10</v>
      </c>
      <c r="C179" s="105" t="str">
        <f>FIXED(100, 1)</f>
        <v>100.0</v>
      </c>
      <c r="D179" s="105" t="str">
        <f>IF(TRUE = TRUE, "Yes", "No")</f>
        <v>Yes</v>
      </c>
      <c r="E179" s="105" t="s">
        <v>5202</v>
      </c>
      <c r="F179" s="105"/>
      <c r="G179" s="105" t="str">
        <f>CHOOSE((0+1), "3", "1", "1")</f>
        <v>3</v>
      </c>
      <c r="H179" s="242" t="str">
        <f>CHOOSE((0+1), "--", "2", "3")</f>
        <v>--</v>
      </c>
      <c r="I179" s="105">
        <v>80</v>
      </c>
      <c r="J179" s="105">
        <v>125</v>
      </c>
      <c r="K179" s="105">
        <v>0</v>
      </c>
      <c r="L179" s="105">
        <v>0</v>
      </c>
      <c r="M179" s="243">
        <f>ROUND(0, 1)</f>
        <v>0</v>
      </c>
      <c r="N179" s="242">
        <f>ROUND(0, 1)</f>
        <v>0</v>
      </c>
      <c r="O179" s="242">
        <f>ROUND(0, 1)</f>
        <v>0</v>
      </c>
      <c r="P179" s="242">
        <f>ROUND(0, 1)</f>
        <v>0</v>
      </c>
      <c r="Q179" s="105"/>
      <c r="R179" s="53" t="s">
        <v>5539</v>
      </c>
    </row>
    <row r="180" spans="1:18">
      <c r="A180" s="105" t="s">
        <v>5540</v>
      </c>
      <c r="B180" s="127">
        <f>ROUND(10, 3)</f>
        <v>10</v>
      </c>
      <c r="C180" s="105" t="str">
        <f>FIXED(100, 1)</f>
        <v>100.0</v>
      </c>
      <c r="D180" s="105" t="str">
        <f>IF(TRUE = TRUE, "Yes", "No")</f>
        <v>Yes</v>
      </c>
      <c r="E180" s="105" t="s">
        <v>5202</v>
      </c>
      <c r="F180" s="105"/>
      <c r="G180" s="105" t="str">
        <f>CHOOSE((0+1), "3", "1", "1")</f>
        <v>3</v>
      </c>
      <c r="H180" s="242" t="str">
        <f>CHOOSE((0+1), "--", "2", "3")</f>
        <v>--</v>
      </c>
      <c r="I180" s="105">
        <v>80</v>
      </c>
      <c r="J180" s="105">
        <v>125</v>
      </c>
      <c r="K180" s="105">
        <v>0</v>
      </c>
      <c r="L180" s="105">
        <v>0</v>
      </c>
      <c r="M180" s="243">
        <f>ROUND(0, 1)</f>
        <v>0</v>
      </c>
      <c r="N180" s="242">
        <f>ROUND(0, 1)</f>
        <v>0</v>
      </c>
      <c r="O180" s="242">
        <f>ROUND(0, 1)</f>
        <v>0</v>
      </c>
      <c r="P180" s="242">
        <f>ROUND(0, 1)</f>
        <v>0</v>
      </c>
      <c r="Q180" s="105"/>
      <c r="R180" s="53" t="s">
        <v>5541</v>
      </c>
    </row>
    <row r="181" spans="1:18">
      <c r="A181" s="105" t="s">
        <v>5542</v>
      </c>
      <c r="B181" s="127">
        <f>ROUND(10, 3)</f>
        <v>10</v>
      </c>
      <c r="C181" s="105" t="str">
        <f>FIXED(100, 1)</f>
        <v>100.0</v>
      </c>
      <c r="D181" s="105" t="str">
        <f>IF(TRUE = TRUE, "Yes", "No")</f>
        <v>Yes</v>
      </c>
      <c r="E181" s="105" t="s">
        <v>5202</v>
      </c>
      <c r="F181" s="105"/>
      <c r="G181" s="105" t="str">
        <f>CHOOSE((0+1), "3", "1", "1")</f>
        <v>3</v>
      </c>
      <c r="H181" s="242" t="str">
        <f>CHOOSE((0+1), "--", "2", "3")</f>
        <v>--</v>
      </c>
      <c r="I181" s="105">
        <v>80</v>
      </c>
      <c r="J181" s="105">
        <v>125</v>
      </c>
      <c r="K181" s="105">
        <v>0</v>
      </c>
      <c r="L181" s="105">
        <v>0</v>
      </c>
      <c r="M181" s="243">
        <f>ROUND(0, 1)</f>
        <v>0</v>
      </c>
      <c r="N181" s="242">
        <f>ROUND(0, 1)</f>
        <v>0</v>
      </c>
      <c r="O181" s="242">
        <f>ROUND(0, 1)</f>
        <v>0</v>
      </c>
      <c r="P181" s="242">
        <f>ROUND(0, 1)</f>
        <v>0</v>
      </c>
      <c r="Q181" s="105"/>
      <c r="R181" s="53" t="s">
        <v>5543</v>
      </c>
    </row>
    <row r="182" spans="1:18">
      <c r="A182" s="105" t="s">
        <v>5544</v>
      </c>
      <c r="B182" s="127">
        <f>ROUND(10, 3)</f>
        <v>10</v>
      </c>
      <c r="C182" s="105" t="str">
        <f>FIXED(100, 1)</f>
        <v>100.0</v>
      </c>
      <c r="D182" s="105" t="str">
        <f>IF(TRUE = TRUE, "Yes", "No")</f>
        <v>Yes</v>
      </c>
      <c r="E182" s="105" t="s">
        <v>5202</v>
      </c>
      <c r="F182" s="105"/>
      <c r="G182" s="105" t="str">
        <f>CHOOSE((0+1), "3", "1", "1")</f>
        <v>3</v>
      </c>
      <c r="H182" s="242" t="str">
        <f>CHOOSE((0+1), "--", "2", "3")</f>
        <v>--</v>
      </c>
      <c r="I182" s="105">
        <v>80</v>
      </c>
      <c r="J182" s="105">
        <v>125</v>
      </c>
      <c r="K182" s="105">
        <v>0</v>
      </c>
      <c r="L182" s="105">
        <v>0</v>
      </c>
      <c r="M182" s="243">
        <f>ROUND(0, 1)</f>
        <v>0</v>
      </c>
      <c r="N182" s="242">
        <f>ROUND(0, 1)</f>
        <v>0</v>
      </c>
      <c r="O182" s="242">
        <f>ROUND(0, 1)</f>
        <v>0</v>
      </c>
      <c r="P182" s="242">
        <f>ROUND(0, 1)</f>
        <v>0</v>
      </c>
      <c r="Q182" s="105"/>
      <c r="R182" s="53" t="s">
        <v>5545</v>
      </c>
    </row>
    <row r="183" spans="1:18">
      <c r="A183" s="105" t="s">
        <v>5546</v>
      </c>
      <c r="B183" s="127">
        <f>ROUND(10, 3)</f>
        <v>10</v>
      </c>
      <c r="C183" s="105" t="str">
        <f>FIXED(100, 1)</f>
        <v>100.0</v>
      </c>
      <c r="D183" s="105" t="str">
        <f>IF(TRUE = TRUE, "Yes", "No")</f>
        <v>Yes</v>
      </c>
      <c r="E183" s="105" t="s">
        <v>5202</v>
      </c>
      <c r="F183" s="105"/>
      <c r="G183" s="105" t="str">
        <f>CHOOSE((0+1), "3", "1", "1")</f>
        <v>3</v>
      </c>
      <c r="H183" s="242" t="str">
        <f>CHOOSE((0+1), "--", "2", "3")</f>
        <v>--</v>
      </c>
      <c r="I183" s="105">
        <v>80</v>
      </c>
      <c r="J183" s="105">
        <v>125</v>
      </c>
      <c r="K183" s="105">
        <v>0</v>
      </c>
      <c r="L183" s="105">
        <v>0</v>
      </c>
      <c r="M183" s="243">
        <f>ROUND(0, 1)</f>
        <v>0</v>
      </c>
      <c r="N183" s="242">
        <f>ROUND(0, 1)</f>
        <v>0</v>
      </c>
      <c r="O183" s="242">
        <f>ROUND(0, 1)</f>
        <v>0</v>
      </c>
      <c r="P183" s="242">
        <f>ROUND(0, 1)</f>
        <v>0</v>
      </c>
      <c r="Q183" s="105"/>
      <c r="R183" s="53" t="s">
        <v>5547</v>
      </c>
    </row>
    <row r="184" spans="1:18">
      <c r="A184" s="105" t="s">
        <v>5548</v>
      </c>
      <c r="B184" s="127">
        <f>ROUND(10, 3)</f>
        <v>10</v>
      </c>
      <c r="C184" s="105" t="str">
        <f>FIXED(100, 1)</f>
        <v>100.0</v>
      </c>
      <c r="D184" s="105" t="str">
        <f>IF(TRUE = TRUE, "Yes", "No")</f>
        <v>Yes</v>
      </c>
      <c r="E184" s="105" t="s">
        <v>5202</v>
      </c>
      <c r="F184" s="105"/>
      <c r="G184" s="105" t="str">
        <f>CHOOSE((0+1), "3", "1", "1")</f>
        <v>3</v>
      </c>
      <c r="H184" s="242" t="str">
        <f>CHOOSE((0+1), "--", "2", "3")</f>
        <v>--</v>
      </c>
      <c r="I184" s="105">
        <v>80</v>
      </c>
      <c r="J184" s="105">
        <v>125</v>
      </c>
      <c r="K184" s="105">
        <v>0</v>
      </c>
      <c r="L184" s="105">
        <v>0</v>
      </c>
      <c r="M184" s="243">
        <f>ROUND(0, 1)</f>
        <v>0</v>
      </c>
      <c r="N184" s="242">
        <f>ROUND(0, 1)</f>
        <v>0</v>
      </c>
      <c r="O184" s="242">
        <f>ROUND(0, 1)</f>
        <v>0</v>
      </c>
      <c r="P184" s="242">
        <f>ROUND(0, 1)</f>
        <v>0</v>
      </c>
      <c r="Q184" s="105"/>
      <c r="R184" s="53" t="s">
        <v>5549</v>
      </c>
    </row>
    <row r="185" spans="1:18">
      <c r="A185" s="105" t="s">
        <v>5550</v>
      </c>
      <c r="B185" s="127">
        <f>ROUND(10, 3)</f>
        <v>10</v>
      </c>
      <c r="C185" s="105" t="str">
        <f>FIXED(100, 1)</f>
        <v>100.0</v>
      </c>
      <c r="D185" s="105" t="str">
        <f>IF(TRUE = TRUE, "Yes", "No")</f>
        <v>Yes</v>
      </c>
      <c r="E185" s="105" t="s">
        <v>5202</v>
      </c>
      <c r="F185" s="105"/>
      <c r="G185" s="105" t="str">
        <f>CHOOSE((0+1), "3", "1", "1")</f>
        <v>3</v>
      </c>
      <c r="H185" s="242" t="str">
        <f>CHOOSE((0+1), "--", "2", "3")</f>
        <v>--</v>
      </c>
      <c r="I185" s="105">
        <v>80</v>
      </c>
      <c r="J185" s="105">
        <v>125</v>
      </c>
      <c r="K185" s="105">
        <v>0</v>
      </c>
      <c r="L185" s="105">
        <v>0</v>
      </c>
      <c r="M185" s="243">
        <f>ROUND(0, 1)</f>
        <v>0</v>
      </c>
      <c r="N185" s="242">
        <f>ROUND(0, 1)</f>
        <v>0</v>
      </c>
      <c r="O185" s="242">
        <f>ROUND(0, 1)</f>
        <v>0</v>
      </c>
      <c r="P185" s="242">
        <f>ROUND(0, 1)</f>
        <v>0</v>
      </c>
      <c r="Q185" s="105"/>
      <c r="R185" s="53" t="s">
        <v>5551</v>
      </c>
    </row>
    <row r="186" spans="1:18">
      <c r="A186" s="105" t="s">
        <v>5552</v>
      </c>
      <c r="B186" s="127">
        <f>ROUND(10, 3)</f>
        <v>10</v>
      </c>
      <c r="C186" s="105" t="str">
        <f>FIXED(100, 1)</f>
        <v>100.0</v>
      </c>
      <c r="D186" s="105" t="str">
        <f>IF(TRUE = TRUE, "Yes", "No")</f>
        <v>Yes</v>
      </c>
      <c r="E186" s="105" t="s">
        <v>5202</v>
      </c>
      <c r="F186" s="105"/>
      <c r="G186" s="105" t="str">
        <f>CHOOSE((0+1), "3", "1", "1")</f>
        <v>3</v>
      </c>
      <c r="H186" s="242" t="str">
        <f>CHOOSE((0+1), "--", "2", "3")</f>
        <v>--</v>
      </c>
      <c r="I186" s="105">
        <v>80</v>
      </c>
      <c r="J186" s="105">
        <v>125</v>
      </c>
      <c r="K186" s="105">
        <v>0</v>
      </c>
      <c r="L186" s="105">
        <v>0</v>
      </c>
      <c r="M186" s="243">
        <f>ROUND(0, 1)</f>
        <v>0</v>
      </c>
      <c r="N186" s="242">
        <f>ROUND(0, 1)</f>
        <v>0</v>
      </c>
      <c r="O186" s="242">
        <f>ROUND(0, 1)</f>
        <v>0</v>
      </c>
      <c r="P186" s="242">
        <f>ROUND(0, 1)</f>
        <v>0</v>
      </c>
      <c r="Q186" s="105"/>
      <c r="R186" s="53" t="s">
        <v>5553</v>
      </c>
    </row>
    <row r="187" spans="1:18">
      <c r="A187" s="105" t="s">
        <v>5554</v>
      </c>
      <c r="B187" s="127">
        <f>ROUND(10, 3)</f>
        <v>10</v>
      </c>
      <c r="C187" s="105" t="str">
        <f>FIXED(100, 1)</f>
        <v>100.0</v>
      </c>
      <c r="D187" s="105" t="str">
        <f>IF(TRUE = TRUE, "Yes", "No")</f>
        <v>Yes</v>
      </c>
      <c r="E187" s="105" t="s">
        <v>5202</v>
      </c>
      <c r="F187" s="105"/>
      <c r="G187" s="105" t="str">
        <f>CHOOSE((0+1), "3", "1", "1")</f>
        <v>3</v>
      </c>
      <c r="H187" s="242" t="str">
        <f>CHOOSE((0+1), "--", "2", "3")</f>
        <v>--</v>
      </c>
      <c r="I187" s="105">
        <v>80</v>
      </c>
      <c r="J187" s="105">
        <v>125</v>
      </c>
      <c r="K187" s="105">
        <v>0</v>
      </c>
      <c r="L187" s="105">
        <v>0</v>
      </c>
      <c r="M187" s="243">
        <f>ROUND(0, 1)</f>
        <v>0</v>
      </c>
      <c r="N187" s="242">
        <f>ROUND(0, 1)</f>
        <v>0</v>
      </c>
      <c r="O187" s="242">
        <f>ROUND(0, 1)</f>
        <v>0</v>
      </c>
      <c r="P187" s="242">
        <f>ROUND(0, 1)</f>
        <v>0</v>
      </c>
      <c r="Q187" s="105"/>
      <c r="R187" s="53" t="s">
        <v>5555</v>
      </c>
    </row>
    <row r="188" spans="1:18">
      <c r="A188" s="105" t="s">
        <v>5556</v>
      </c>
      <c r="B188" s="127">
        <f>ROUND(10, 3)</f>
        <v>10</v>
      </c>
      <c r="C188" s="105" t="str">
        <f>FIXED(100, 1)</f>
        <v>100.0</v>
      </c>
      <c r="D188" s="105" t="str">
        <f>IF(TRUE = TRUE, "Yes", "No")</f>
        <v>Yes</v>
      </c>
      <c r="E188" s="105" t="s">
        <v>5202</v>
      </c>
      <c r="F188" s="105"/>
      <c r="G188" s="105" t="str">
        <f>CHOOSE((0+1), "3", "1", "1")</f>
        <v>3</v>
      </c>
      <c r="H188" s="242" t="str">
        <f>CHOOSE((0+1), "--", "2", "3")</f>
        <v>--</v>
      </c>
      <c r="I188" s="105">
        <v>80</v>
      </c>
      <c r="J188" s="105">
        <v>125</v>
      </c>
      <c r="K188" s="105">
        <v>0</v>
      </c>
      <c r="L188" s="105">
        <v>0</v>
      </c>
      <c r="M188" s="243">
        <f>ROUND(0, 1)</f>
        <v>0</v>
      </c>
      <c r="N188" s="242">
        <f>ROUND(0, 1)</f>
        <v>0</v>
      </c>
      <c r="O188" s="242">
        <f>ROUND(0, 1)</f>
        <v>0</v>
      </c>
      <c r="P188" s="242">
        <f>ROUND(0, 1)</f>
        <v>0</v>
      </c>
      <c r="Q188" s="105"/>
      <c r="R188" s="53" t="s">
        <v>5557</v>
      </c>
    </row>
    <row r="189" spans="1:18">
      <c r="A189" s="105" t="s">
        <v>5558</v>
      </c>
      <c r="B189" s="127">
        <f>ROUND(10, 3)</f>
        <v>10</v>
      </c>
      <c r="C189" s="105" t="str">
        <f>FIXED(100, 1)</f>
        <v>100.0</v>
      </c>
      <c r="D189" s="105" t="str">
        <f>IF(TRUE = TRUE, "Yes", "No")</f>
        <v>Yes</v>
      </c>
      <c r="E189" s="105" t="s">
        <v>5202</v>
      </c>
      <c r="F189" s="105"/>
      <c r="G189" s="105" t="str">
        <f>CHOOSE((0+1), "3", "1", "1")</f>
        <v>3</v>
      </c>
      <c r="H189" s="242" t="str">
        <f>CHOOSE((0+1), "--", "2", "3")</f>
        <v>--</v>
      </c>
      <c r="I189" s="105">
        <v>80</v>
      </c>
      <c r="J189" s="105">
        <v>125</v>
      </c>
      <c r="K189" s="105">
        <v>0</v>
      </c>
      <c r="L189" s="105">
        <v>0</v>
      </c>
      <c r="M189" s="243">
        <f>ROUND(0, 1)</f>
        <v>0</v>
      </c>
      <c r="N189" s="242">
        <f>ROUND(0, 1)</f>
        <v>0</v>
      </c>
      <c r="O189" s="242">
        <f>ROUND(0, 1)</f>
        <v>0</v>
      </c>
      <c r="P189" s="242">
        <f>ROUND(0, 1)</f>
        <v>0</v>
      </c>
      <c r="Q189" s="105"/>
      <c r="R189" s="53" t="s">
        <v>5559</v>
      </c>
    </row>
    <row r="190" spans="1:18">
      <c r="A190" s="105" t="s">
        <v>5560</v>
      </c>
      <c r="B190" s="127">
        <f>ROUND(10, 3)</f>
        <v>10</v>
      </c>
      <c r="C190" s="105" t="str">
        <f>FIXED(100, 1)</f>
        <v>100.0</v>
      </c>
      <c r="D190" s="105" t="str">
        <f>IF(TRUE = TRUE, "Yes", "No")</f>
        <v>Yes</v>
      </c>
      <c r="E190" s="105" t="s">
        <v>5202</v>
      </c>
      <c r="F190" s="105"/>
      <c r="G190" s="105" t="str">
        <f>CHOOSE((0+1), "3", "1", "1")</f>
        <v>3</v>
      </c>
      <c r="H190" s="242" t="str">
        <f>CHOOSE((0+1), "--", "2", "3")</f>
        <v>--</v>
      </c>
      <c r="I190" s="105">
        <v>80</v>
      </c>
      <c r="J190" s="105">
        <v>125</v>
      </c>
      <c r="K190" s="105">
        <v>0</v>
      </c>
      <c r="L190" s="105">
        <v>0</v>
      </c>
      <c r="M190" s="243">
        <f>ROUND(0, 1)</f>
        <v>0</v>
      </c>
      <c r="N190" s="242">
        <f>ROUND(0, 1)</f>
        <v>0</v>
      </c>
      <c r="O190" s="242">
        <f>ROUND(0, 1)</f>
        <v>0</v>
      </c>
      <c r="P190" s="242">
        <f>ROUND(0, 1)</f>
        <v>0</v>
      </c>
      <c r="Q190" s="105"/>
      <c r="R190" s="53" t="s">
        <v>5561</v>
      </c>
    </row>
    <row r="191" spans="1:18">
      <c r="A191" s="105" t="s">
        <v>5562</v>
      </c>
      <c r="B191" s="127">
        <f>ROUND(10, 3)</f>
        <v>10</v>
      </c>
      <c r="C191" s="105" t="str">
        <f>FIXED(100, 1)</f>
        <v>100.0</v>
      </c>
      <c r="D191" s="105" t="str">
        <f>IF(TRUE = TRUE, "Yes", "No")</f>
        <v>Yes</v>
      </c>
      <c r="E191" s="105" t="s">
        <v>5202</v>
      </c>
      <c r="F191" s="105"/>
      <c r="G191" s="105" t="str">
        <f>CHOOSE((0+1), "3", "1", "1")</f>
        <v>3</v>
      </c>
      <c r="H191" s="242" t="str">
        <f>CHOOSE((0+1), "--", "2", "3")</f>
        <v>--</v>
      </c>
      <c r="I191" s="105">
        <v>80</v>
      </c>
      <c r="J191" s="105">
        <v>125</v>
      </c>
      <c r="K191" s="105">
        <v>0</v>
      </c>
      <c r="L191" s="105">
        <v>0</v>
      </c>
      <c r="M191" s="243">
        <f>ROUND(0, 1)</f>
        <v>0</v>
      </c>
      <c r="N191" s="242">
        <f>ROUND(0, 1)</f>
        <v>0</v>
      </c>
      <c r="O191" s="242">
        <f>ROUND(0, 1)</f>
        <v>0</v>
      </c>
      <c r="P191" s="242">
        <f>ROUND(0, 1)</f>
        <v>0</v>
      </c>
      <c r="Q191" s="105"/>
      <c r="R191" s="53" t="s">
        <v>5563</v>
      </c>
    </row>
    <row r="192" spans="1:18">
      <c r="A192" s="105" t="s">
        <v>5564</v>
      </c>
      <c r="B192" s="127">
        <f>ROUND(10, 3)</f>
        <v>10</v>
      </c>
      <c r="C192" s="105" t="str">
        <f>FIXED(100, 1)</f>
        <v>100.0</v>
      </c>
      <c r="D192" s="105" t="str">
        <f>IF(TRUE = TRUE, "Yes", "No")</f>
        <v>Yes</v>
      </c>
      <c r="E192" s="105" t="s">
        <v>5202</v>
      </c>
      <c r="F192" s="105"/>
      <c r="G192" s="105" t="str">
        <f>CHOOSE((0+1), "3", "1", "1")</f>
        <v>3</v>
      </c>
      <c r="H192" s="242" t="str">
        <f>CHOOSE((0+1), "--", "2", "3")</f>
        <v>--</v>
      </c>
      <c r="I192" s="105">
        <v>80</v>
      </c>
      <c r="J192" s="105">
        <v>125</v>
      </c>
      <c r="K192" s="105">
        <v>0</v>
      </c>
      <c r="L192" s="105">
        <v>0</v>
      </c>
      <c r="M192" s="243">
        <f>ROUND(0, 1)</f>
        <v>0</v>
      </c>
      <c r="N192" s="242">
        <f>ROUND(0, 1)</f>
        <v>0</v>
      </c>
      <c r="O192" s="242">
        <f>ROUND(0, 1)</f>
        <v>0</v>
      </c>
      <c r="P192" s="242">
        <f>ROUND(0, 1)</f>
        <v>0</v>
      </c>
      <c r="Q192" s="105"/>
      <c r="R192" s="53" t="s">
        <v>5565</v>
      </c>
    </row>
    <row r="193" spans="1:18">
      <c r="A193" s="105" t="s">
        <v>5566</v>
      </c>
      <c r="B193" s="127">
        <f>ROUND(10, 3)</f>
        <v>10</v>
      </c>
      <c r="C193" s="105" t="str">
        <f>FIXED(100, 1)</f>
        <v>100.0</v>
      </c>
      <c r="D193" s="105" t="str">
        <f>IF(TRUE = TRUE, "Yes", "No")</f>
        <v>Yes</v>
      </c>
      <c r="E193" s="105" t="s">
        <v>5202</v>
      </c>
      <c r="F193" s="105"/>
      <c r="G193" s="105" t="str">
        <f>CHOOSE((0+1), "3", "1", "1")</f>
        <v>3</v>
      </c>
      <c r="H193" s="242" t="str">
        <f>CHOOSE((0+1), "--", "2", "3")</f>
        <v>--</v>
      </c>
      <c r="I193" s="105">
        <v>80</v>
      </c>
      <c r="J193" s="105">
        <v>125</v>
      </c>
      <c r="K193" s="105">
        <v>0</v>
      </c>
      <c r="L193" s="105">
        <v>0</v>
      </c>
      <c r="M193" s="243">
        <f>ROUND(0, 1)</f>
        <v>0</v>
      </c>
      <c r="N193" s="242">
        <f>ROUND(0, 1)</f>
        <v>0</v>
      </c>
      <c r="O193" s="242">
        <f>ROUND(0, 1)</f>
        <v>0</v>
      </c>
      <c r="P193" s="242">
        <f>ROUND(0, 1)</f>
        <v>0</v>
      </c>
      <c r="Q193" s="105"/>
      <c r="R193" s="53" t="s">
        <v>5567</v>
      </c>
    </row>
    <row r="194" spans="1:18">
      <c r="A194" s="105" t="s">
        <v>5568</v>
      </c>
      <c r="B194" s="127">
        <f>ROUND(10, 3)</f>
        <v>10</v>
      </c>
      <c r="C194" s="105" t="str">
        <f>FIXED(100, 1)</f>
        <v>100.0</v>
      </c>
      <c r="D194" s="105" t="str">
        <f>IF(TRUE = TRUE, "Yes", "No")</f>
        <v>Yes</v>
      </c>
      <c r="E194" s="105" t="s">
        <v>5202</v>
      </c>
      <c r="F194" s="105"/>
      <c r="G194" s="105" t="str">
        <f>CHOOSE((0+1), "3", "1", "1")</f>
        <v>3</v>
      </c>
      <c r="H194" s="242" t="str">
        <f>CHOOSE((0+1), "--", "2", "3")</f>
        <v>--</v>
      </c>
      <c r="I194" s="105">
        <v>80</v>
      </c>
      <c r="J194" s="105">
        <v>125</v>
      </c>
      <c r="K194" s="105">
        <v>0</v>
      </c>
      <c r="L194" s="105">
        <v>0</v>
      </c>
      <c r="M194" s="243">
        <f>ROUND(0, 1)</f>
        <v>0</v>
      </c>
      <c r="N194" s="242">
        <f>ROUND(0, 1)</f>
        <v>0</v>
      </c>
      <c r="O194" s="242">
        <f>ROUND(0, 1)</f>
        <v>0</v>
      </c>
      <c r="P194" s="242">
        <f>ROUND(0, 1)</f>
        <v>0</v>
      </c>
      <c r="Q194" s="105"/>
      <c r="R194" s="53" t="s">
        <v>5569</v>
      </c>
    </row>
    <row r="195" spans="1:18">
      <c r="A195" s="105" t="s">
        <v>5570</v>
      </c>
      <c r="B195" s="127">
        <f>ROUND(10, 3)</f>
        <v>10</v>
      </c>
      <c r="C195" s="105" t="str">
        <f>FIXED(100, 1)</f>
        <v>100.0</v>
      </c>
      <c r="D195" s="105" t="str">
        <f>IF(TRUE = TRUE, "Yes", "No")</f>
        <v>Yes</v>
      </c>
      <c r="E195" s="105" t="s">
        <v>5202</v>
      </c>
      <c r="F195" s="105"/>
      <c r="G195" s="105" t="str">
        <f>CHOOSE((0+1), "3", "1", "1")</f>
        <v>3</v>
      </c>
      <c r="H195" s="242" t="str">
        <f>CHOOSE((0+1), "--", "2", "3")</f>
        <v>--</v>
      </c>
      <c r="I195" s="105">
        <v>80</v>
      </c>
      <c r="J195" s="105">
        <v>125</v>
      </c>
      <c r="K195" s="105">
        <v>0</v>
      </c>
      <c r="L195" s="105">
        <v>0</v>
      </c>
      <c r="M195" s="243">
        <f>ROUND(0, 1)</f>
        <v>0</v>
      </c>
      <c r="N195" s="242">
        <f>ROUND(0, 1)</f>
        <v>0</v>
      </c>
      <c r="O195" s="242">
        <f>ROUND(0, 1)</f>
        <v>0</v>
      </c>
      <c r="P195" s="242">
        <f>ROUND(0, 1)</f>
        <v>0</v>
      </c>
      <c r="Q195" s="105"/>
      <c r="R195" s="53" t="s">
        <v>5571</v>
      </c>
    </row>
    <row r="196" spans="1:18">
      <c r="A196" s="105" t="s">
        <v>5572</v>
      </c>
      <c r="B196" s="127">
        <f>ROUND(10, 3)</f>
        <v>10</v>
      </c>
      <c r="C196" s="105" t="str">
        <f>FIXED(100, 1)</f>
        <v>100.0</v>
      </c>
      <c r="D196" s="105" t="str">
        <f>IF(TRUE = TRUE, "Yes", "No")</f>
        <v>Yes</v>
      </c>
      <c r="E196" s="105" t="s">
        <v>5202</v>
      </c>
      <c r="F196" s="105"/>
      <c r="G196" s="105" t="str">
        <f>CHOOSE((0+1), "3", "1", "1")</f>
        <v>3</v>
      </c>
      <c r="H196" s="242" t="str">
        <f>CHOOSE((0+1), "--", "2", "3")</f>
        <v>--</v>
      </c>
      <c r="I196" s="105">
        <v>80</v>
      </c>
      <c r="J196" s="105">
        <v>125</v>
      </c>
      <c r="K196" s="105">
        <v>0</v>
      </c>
      <c r="L196" s="105">
        <v>0</v>
      </c>
      <c r="M196" s="243">
        <f>ROUND(0, 1)</f>
        <v>0</v>
      </c>
      <c r="N196" s="242">
        <f>ROUND(0, 1)</f>
        <v>0</v>
      </c>
      <c r="O196" s="242">
        <f>ROUND(0, 1)</f>
        <v>0</v>
      </c>
      <c r="P196" s="242">
        <f>ROUND(0, 1)</f>
        <v>0</v>
      </c>
      <c r="Q196" s="105"/>
      <c r="R196" s="53" t="s">
        <v>5573</v>
      </c>
    </row>
    <row r="197" spans="1:18">
      <c r="A197" s="105" t="s">
        <v>5574</v>
      </c>
      <c r="B197" s="127">
        <f>ROUND(10, 3)</f>
        <v>10</v>
      </c>
      <c r="C197" s="105" t="str">
        <f>FIXED(100, 1)</f>
        <v>100.0</v>
      </c>
      <c r="D197" s="105" t="str">
        <f>IF(TRUE = TRUE, "Yes", "No")</f>
        <v>Yes</v>
      </c>
      <c r="E197" s="105" t="s">
        <v>5202</v>
      </c>
      <c r="F197" s="105"/>
      <c r="G197" s="105" t="str">
        <f>CHOOSE((0+1), "3", "1", "1")</f>
        <v>3</v>
      </c>
      <c r="H197" s="242" t="str">
        <f>CHOOSE((0+1), "--", "2", "3")</f>
        <v>--</v>
      </c>
      <c r="I197" s="105">
        <v>80</v>
      </c>
      <c r="J197" s="105">
        <v>125</v>
      </c>
      <c r="K197" s="105">
        <v>0</v>
      </c>
      <c r="L197" s="105">
        <v>0</v>
      </c>
      <c r="M197" s="243">
        <f>ROUND(0, 1)</f>
        <v>0</v>
      </c>
      <c r="N197" s="242">
        <f>ROUND(0, 1)</f>
        <v>0</v>
      </c>
      <c r="O197" s="242">
        <f>ROUND(0, 1)</f>
        <v>0</v>
      </c>
      <c r="P197" s="242">
        <f>ROUND(0, 1)</f>
        <v>0</v>
      </c>
      <c r="Q197" s="105"/>
      <c r="R197" s="53" t="s">
        <v>5575</v>
      </c>
    </row>
    <row r="198" spans="1:18">
      <c r="A198" s="105" t="s">
        <v>5576</v>
      </c>
      <c r="B198" s="127">
        <f>ROUND(10, 3)</f>
        <v>10</v>
      </c>
      <c r="C198" s="105" t="str">
        <f>FIXED(100, 1)</f>
        <v>100.0</v>
      </c>
      <c r="D198" s="105" t="str">
        <f>IF(TRUE = TRUE, "Yes", "No")</f>
        <v>Yes</v>
      </c>
      <c r="E198" s="105" t="s">
        <v>5202</v>
      </c>
      <c r="F198" s="105"/>
      <c r="G198" s="105" t="str">
        <f>CHOOSE((0+1), "3", "1", "1")</f>
        <v>3</v>
      </c>
      <c r="H198" s="242" t="str">
        <f>CHOOSE((0+1), "--", "2", "3")</f>
        <v>--</v>
      </c>
      <c r="I198" s="105">
        <v>80</v>
      </c>
      <c r="J198" s="105">
        <v>125</v>
      </c>
      <c r="K198" s="105">
        <v>0</v>
      </c>
      <c r="L198" s="105">
        <v>0</v>
      </c>
      <c r="M198" s="243">
        <f>ROUND(0, 1)</f>
        <v>0</v>
      </c>
      <c r="N198" s="242">
        <f>ROUND(0, 1)</f>
        <v>0</v>
      </c>
      <c r="O198" s="242">
        <f>ROUND(0, 1)</f>
        <v>0</v>
      </c>
      <c r="P198" s="242">
        <f>ROUND(0, 1)</f>
        <v>0</v>
      </c>
      <c r="Q198" s="105"/>
      <c r="R198" s="53" t="s">
        <v>5577</v>
      </c>
    </row>
    <row r="199" spans="1:18">
      <c r="A199" s="105" t="s">
        <v>5578</v>
      </c>
      <c r="B199" s="127">
        <f>ROUND(10, 3)</f>
        <v>10</v>
      </c>
      <c r="C199" s="105" t="str">
        <f>FIXED(100, 1)</f>
        <v>100.0</v>
      </c>
      <c r="D199" s="105" t="str">
        <f>IF(TRUE = TRUE, "Yes", "No")</f>
        <v>Yes</v>
      </c>
      <c r="E199" s="105" t="s">
        <v>5202</v>
      </c>
      <c r="F199" s="105"/>
      <c r="G199" s="105" t="str">
        <f>CHOOSE((0+1), "3", "1", "1")</f>
        <v>3</v>
      </c>
      <c r="H199" s="242" t="str">
        <f>CHOOSE((0+1), "--", "2", "3")</f>
        <v>--</v>
      </c>
      <c r="I199" s="105">
        <v>80</v>
      </c>
      <c r="J199" s="105">
        <v>125</v>
      </c>
      <c r="K199" s="105">
        <v>0</v>
      </c>
      <c r="L199" s="105">
        <v>0</v>
      </c>
      <c r="M199" s="243">
        <f>ROUND(0, 1)</f>
        <v>0</v>
      </c>
      <c r="N199" s="242">
        <f>ROUND(0, 1)</f>
        <v>0</v>
      </c>
      <c r="O199" s="242">
        <f>ROUND(0, 1)</f>
        <v>0</v>
      </c>
      <c r="P199" s="242">
        <f>ROUND(0, 1)</f>
        <v>0</v>
      </c>
      <c r="Q199" s="105"/>
      <c r="R199" s="53" t="s">
        <v>5579</v>
      </c>
    </row>
    <row r="200" spans="1:18">
      <c r="A200" s="105" t="s">
        <v>5580</v>
      </c>
      <c r="B200" s="127">
        <f>ROUND(10, 3)</f>
        <v>10</v>
      </c>
      <c r="C200" s="105" t="str">
        <f>FIXED(100, 1)</f>
        <v>100.0</v>
      </c>
      <c r="D200" s="105" t="str">
        <f>IF(TRUE = TRUE, "Yes", "No")</f>
        <v>Yes</v>
      </c>
      <c r="E200" s="105" t="s">
        <v>5202</v>
      </c>
      <c r="F200" s="105"/>
      <c r="G200" s="105" t="str">
        <f>CHOOSE((0+1), "3", "1", "1")</f>
        <v>3</v>
      </c>
      <c r="H200" s="242" t="str">
        <f>CHOOSE((0+1), "--", "2", "3")</f>
        <v>--</v>
      </c>
      <c r="I200" s="105">
        <v>80</v>
      </c>
      <c r="J200" s="105">
        <v>125</v>
      </c>
      <c r="K200" s="105">
        <v>0</v>
      </c>
      <c r="L200" s="105">
        <v>0</v>
      </c>
      <c r="M200" s="243">
        <f>ROUND(0, 1)</f>
        <v>0</v>
      </c>
      <c r="N200" s="242">
        <f>ROUND(0, 1)</f>
        <v>0</v>
      </c>
      <c r="O200" s="242">
        <f>ROUND(0, 1)</f>
        <v>0</v>
      </c>
      <c r="P200" s="242">
        <f>ROUND(0, 1)</f>
        <v>0</v>
      </c>
      <c r="Q200" s="105"/>
      <c r="R200" s="53" t="s">
        <v>5581</v>
      </c>
    </row>
    <row r="201" spans="1:18">
      <c r="A201" s="105" t="s">
        <v>5582</v>
      </c>
      <c r="B201" s="127">
        <f>ROUND(10, 3)</f>
        <v>10</v>
      </c>
      <c r="C201" s="105" t="str">
        <f>FIXED(100, 1)</f>
        <v>100.0</v>
      </c>
      <c r="D201" s="105" t="str">
        <f>IF(TRUE = TRUE, "Yes", "No")</f>
        <v>Yes</v>
      </c>
      <c r="E201" s="105" t="s">
        <v>5202</v>
      </c>
      <c r="F201" s="105"/>
      <c r="G201" s="105" t="str">
        <f>CHOOSE((0+1), "3", "1", "1")</f>
        <v>3</v>
      </c>
      <c r="H201" s="242" t="str">
        <f>CHOOSE((0+1), "--", "2", "3")</f>
        <v>--</v>
      </c>
      <c r="I201" s="105">
        <v>80</v>
      </c>
      <c r="J201" s="105">
        <v>125</v>
      </c>
      <c r="K201" s="105">
        <v>0</v>
      </c>
      <c r="L201" s="105">
        <v>0</v>
      </c>
      <c r="M201" s="243">
        <f>ROUND(0, 1)</f>
        <v>0</v>
      </c>
      <c r="N201" s="242">
        <f>ROUND(0, 1)</f>
        <v>0</v>
      </c>
      <c r="O201" s="242">
        <f>ROUND(0, 1)</f>
        <v>0</v>
      </c>
      <c r="P201" s="242">
        <f>ROUND(0, 1)</f>
        <v>0</v>
      </c>
      <c r="Q201" s="105"/>
      <c r="R201" s="53" t="s">
        <v>5583</v>
      </c>
    </row>
    <row r="202" spans="1:18">
      <c r="A202" s="105" t="s">
        <v>5584</v>
      </c>
      <c r="B202" s="127">
        <f>ROUND(10, 3)</f>
        <v>10</v>
      </c>
      <c r="C202" s="105" t="str">
        <f>FIXED(100, 1)</f>
        <v>100.0</v>
      </c>
      <c r="D202" s="105" t="str">
        <f>IF(TRUE = TRUE, "Yes", "No")</f>
        <v>Yes</v>
      </c>
      <c r="E202" s="105" t="s">
        <v>5202</v>
      </c>
      <c r="F202" s="105"/>
      <c r="G202" s="105" t="str">
        <f>CHOOSE((0+1), "3", "1", "1")</f>
        <v>3</v>
      </c>
      <c r="H202" s="242" t="str">
        <f>CHOOSE((0+1), "--", "2", "3")</f>
        <v>--</v>
      </c>
      <c r="I202" s="105">
        <v>80</v>
      </c>
      <c r="J202" s="105">
        <v>125</v>
      </c>
      <c r="K202" s="105">
        <v>0</v>
      </c>
      <c r="L202" s="105">
        <v>0</v>
      </c>
      <c r="M202" s="243">
        <f>ROUND(0, 1)</f>
        <v>0</v>
      </c>
      <c r="N202" s="242">
        <f>ROUND(0, 1)</f>
        <v>0</v>
      </c>
      <c r="O202" s="242">
        <f>ROUND(0, 1)</f>
        <v>0</v>
      </c>
      <c r="P202" s="242">
        <f>ROUND(0, 1)</f>
        <v>0</v>
      </c>
      <c r="Q202" s="105"/>
      <c r="R202" s="53" t="s">
        <v>5585</v>
      </c>
    </row>
    <row r="203" spans="1:18">
      <c r="A203" s="105" t="s">
        <v>5586</v>
      </c>
      <c r="B203" s="127">
        <f>ROUND(10, 3)</f>
        <v>10</v>
      </c>
      <c r="C203" s="105" t="str">
        <f>FIXED(100, 1)</f>
        <v>100.0</v>
      </c>
      <c r="D203" s="105" t="str">
        <f>IF(TRUE = TRUE, "Yes", "No")</f>
        <v>Yes</v>
      </c>
      <c r="E203" s="105" t="s">
        <v>5202</v>
      </c>
      <c r="F203" s="105"/>
      <c r="G203" s="105" t="str">
        <f>CHOOSE((0+1), "3", "1", "1")</f>
        <v>3</v>
      </c>
      <c r="H203" s="242" t="str">
        <f>CHOOSE((0+1), "--", "2", "3")</f>
        <v>--</v>
      </c>
      <c r="I203" s="105">
        <v>80</v>
      </c>
      <c r="J203" s="105">
        <v>125</v>
      </c>
      <c r="K203" s="105">
        <v>0</v>
      </c>
      <c r="L203" s="105">
        <v>0</v>
      </c>
      <c r="M203" s="243">
        <f>ROUND(0, 1)</f>
        <v>0</v>
      </c>
      <c r="N203" s="242">
        <f>ROUND(0, 1)</f>
        <v>0</v>
      </c>
      <c r="O203" s="242">
        <f>ROUND(0, 1)</f>
        <v>0</v>
      </c>
      <c r="P203" s="242">
        <f>ROUND(0, 1)</f>
        <v>0</v>
      </c>
      <c r="Q203" s="105"/>
      <c r="R203" s="53" t="s">
        <v>5587</v>
      </c>
    </row>
    <row r="204" spans="1:18">
      <c r="A204" s="105" t="s">
        <v>5588</v>
      </c>
      <c r="B204" s="127">
        <f>ROUND(10, 3)</f>
        <v>10</v>
      </c>
      <c r="C204" s="105" t="str">
        <f>FIXED(100, 1)</f>
        <v>100.0</v>
      </c>
      <c r="D204" s="105" t="str">
        <f>IF(TRUE = TRUE, "Yes", "No")</f>
        <v>Yes</v>
      </c>
      <c r="E204" s="105" t="s">
        <v>5202</v>
      </c>
      <c r="F204" s="105"/>
      <c r="G204" s="105" t="str">
        <f>CHOOSE((0+1), "3", "1", "1")</f>
        <v>3</v>
      </c>
      <c r="H204" s="242" t="str">
        <f>CHOOSE((0+1), "--", "2", "3")</f>
        <v>--</v>
      </c>
      <c r="I204" s="105">
        <v>80</v>
      </c>
      <c r="J204" s="105">
        <v>125</v>
      </c>
      <c r="K204" s="105">
        <v>0</v>
      </c>
      <c r="L204" s="105">
        <v>0</v>
      </c>
      <c r="M204" s="243">
        <f>ROUND(0, 1)</f>
        <v>0</v>
      </c>
      <c r="N204" s="242">
        <f>ROUND(0, 1)</f>
        <v>0</v>
      </c>
      <c r="O204" s="242">
        <f>ROUND(0, 1)</f>
        <v>0</v>
      </c>
      <c r="P204" s="242">
        <f>ROUND(0, 1)</f>
        <v>0</v>
      </c>
      <c r="Q204" s="105"/>
      <c r="R204" s="53" t="s">
        <v>5589</v>
      </c>
    </row>
    <row r="205" spans="1:18">
      <c r="A205" s="105" t="s">
        <v>5590</v>
      </c>
      <c r="B205" s="127">
        <f>ROUND(10, 3)</f>
        <v>10</v>
      </c>
      <c r="C205" s="105" t="str">
        <f>FIXED(100, 1)</f>
        <v>100.0</v>
      </c>
      <c r="D205" s="105" t="str">
        <f>IF(TRUE = TRUE, "Yes", "No")</f>
        <v>Yes</v>
      </c>
      <c r="E205" s="105" t="s">
        <v>5202</v>
      </c>
      <c r="F205" s="105"/>
      <c r="G205" s="105" t="str">
        <f>CHOOSE((0+1), "3", "1", "1")</f>
        <v>3</v>
      </c>
      <c r="H205" s="242" t="str">
        <f>CHOOSE((0+1), "--", "2", "3")</f>
        <v>--</v>
      </c>
      <c r="I205" s="105">
        <v>80</v>
      </c>
      <c r="J205" s="105">
        <v>125</v>
      </c>
      <c r="K205" s="105">
        <v>0</v>
      </c>
      <c r="L205" s="105">
        <v>0</v>
      </c>
      <c r="M205" s="243">
        <f>ROUND(0, 1)</f>
        <v>0</v>
      </c>
      <c r="N205" s="242">
        <f>ROUND(0, 1)</f>
        <v>0</v>
      </c>
      <c r="O205" s="242">
        <f>ROUND(0, 1)</f>
        <v>0</v>
      </c>
      <c r="P205" s="242">
        <f>ROUND(0, 1)</f>
        <v>0</v>
      </c>
      <c r="Q205" s="105"/>
      <c r="R205" s="53" t="s">
        <v>5591</v>
      </c>
    </row>
    <row r="206" spans="1:18">
      <c r="A206" s="105" t="s">
        <v>5592</v>
      </c>
      <c r="B206" s="127">
        <f>ROUND(10, 3)</f>
        <v>10</v>
      </c>
      <c r="C206" s="105" t="str">
        <f>FIXED(100, 1)</f>
        <v>100.0</v>
      </c>
      <c r="D206" s="105" t="str">
        <f>IF(TRUE = TRUE, "Yes", "No")</f>
        <v>Yes</v>
      </c>
      <c r="E206" s="105" t="s">
        <v>5202</v>
      </c>
      <c r="F206" s="105"/>
      <c r="G206" s="105" t="str">
        <f>CHOOSE((0+1), "3", "1", "1")</f>
        <v>3</v>
      </c>
      <c r="H206" s="242" t="str">
        <f>CHOOSE((0+1), "--", "2", "3")</f>
        <v>--</v>
      </c>
      <c r="I206" s="105">
        <v>80</v>
      </c>
      <c r="J206" s="105">
        <v>125</v>
      </c>
      <c r="K206" s="105">
        <v>0</v>
      </c>
      <c r="L206" s="105">
        <v>0</v>
      </c>
      <c r="M206" s="243">
        <f>ROUND(0, 1)</f>
        <v>0</v>
      </c>
      <c r="N206" s="242">
        <f>ROUND(0, 1)</f>
        <v>0</v>
      </c>
      <c r="O206" s="242">
        <f>ROUND(0, 1)</f>
        <v>0</v>
      </c>
      <c r="P206" s="242">
        <f>ROUND(0, 1)</f>
        <v>0</v>
      </c>
      <c r="Q206" s="105"/>
      <c r="R206" s="53" t="s">
        <v>5593</v>
      </c>
    </row>
    <row r="207" spans="1:18">
      <c r="A207" s="105" t="s">
        <v>5594</v>
      </c>
      <c r="B207" s="127">
        <f>ROUND(10, 3)</f>
        <v>10</v>
      </c>
      <c r="C207" s="105" t="str">
        <f>FIXED(100, 1)</f>
        <v>100.0</v>
      </c>
      <c r="D207" s="105" t="str">
        <f>IF(TRUE = TRUE, "Yes", "No")</f>
        <v>Yes</v>
      </c>
      <c r="E207" s="105" t="s">
        <v>5202</v>
      </c>
      <c r="F207" s="105"/>
      <c r="G207" s="105" t="str">
        <f>CHOOSE((0+1), "3", "1", "1")</f>
        <v>3</v>
      </c>
      <c r="H207" s="242" t="str">
        <f>CHOOSE((0+1), "--", "2", "3")</f>
        <v>--</v>
      </c>
      <c r="I207" s="105">
        <v>80</v>
      </c>
      <c r="J207" s="105">
        <v>125</v>
      </c>
      <c r="K207" s="105">
        <v>0</v>
      </c>
      <c r="L207" s="105">
        <v>0</v>
      </c>
      <c r="M207" s="243">
        <f>ROUND(0, 1)</f>
        <v>0</v>
      </c>
      <c r="N207" s="242">
        <f>ROUND(0, 1)</f>
        <v>0</v>
      </c>
      <c r="O207" s="242">
        <f>ROUND(0, 1)</f>
        <v>0</v>
      </c>
      <c r="P207" s="242">
        <f>ROUND(0, 1)</f>
        <v>0</v>
      </c>
      <c r="Q207" s="105"/>
      <c r="R207" s="53" t="s">
        <v>5595</v>
      </c>
    </row>
    <row r="208" spans="1:18">
      <c r="A208" s="105" t="s">
        <v>5596</v>
      </c>
      <c r="B208" s="127">
        <f>ROUND(10, 3)</f>
        <v>10</v>
      </c>
      <c r="C208" s="105" t="str">
        <f>FIXED(100, 1)</f>
        <v>100.0</v>
      </c>
      <c r="D208" s="105" t="str">
        <f>IF(TRUE = TRUE, "Yes", "No")</f>
        <v>Yes</v>
      </c>
      <c r="E208" s="105" t="s">
        <v>5202</v>
      </c>
      <c r="F208" s="105"/>
      <c r="G208" s="105" t="str">
        <f>CHOOSE((0+1), "3", "1", "1")</f>
        <v>3</v>
      </c>
      <c r="H208" s="242" t="str">
        <f>CHOOSE((0+1), "--", "2", "3")</f>
        <v>--</v>
      </c>
      <c r="I208" s="105">
        <v>80</v>
      </c>
      <c r="J208" s="105">
        <v>125</v>
      </c>
      <c r="K208" s="105">
        <v>0</v>
      </c>
      <c r="L208" s="105">
        <v>0</v>
      </c>
      <c r="M208" s="243">
        <f>ROUND(0, 1)</f>
        <v>0</v>
      </c>
      <c r="N208" s="242">
        <f>ROUND(0, 1)</f>
        <v>0</v>
      </c>
      <c r="O208" s="242">
        <f>ROUND(0, 1)</f>
        <v>0</v>
      </c>
      <c r="P208" s="242">
        <f>ROUND(0, 1)</f>
        <v>0</v>
      </c>
      <c r="Q208" s="105"/>
      <c r="R208" s="53" t="s">
        <v>5597</v>
      </c>
    </row>
    <row r="209" spans="1:18">
      <c r="A209" s="105" t="s">
        <v>5598</v>
      </c>
      <c r="B209" s="127">
        <f>ROUND(10, 3)</f>
        <v>10</v>
      </c>
      <c r="C209" s="105" t="str">
        <f>FIXED(100, 1)</f>
        <v>100.0</v>
      </c>
      <c r="D209" s="105" t="str">
        <f>IF(TRUE = TRUE, "Yes", "No")</f>
        <v>Yes</v>
      </c>
      <c r="E209" s="105" t="s">
        <v>5202</v>
      </c>
      <c r="F209" s="105"/>
      <c r="G209" s="105" t="str">
        <f>CHOOSE((0+1), "3", "1", "1")</f>
        <v>3</v>
      </c>
      <c r="H209" s="242" t="str">
        <f>CHOOSE((0+1), "--", "2", "3")</f>
        <v>--</v>
      </c>
      <c r="I209" s="105">
        <v>80</v>
      </c>
      <c r="J209" s="105">
        <v>125</v>
      </c>
      <c r="K209" s="105">
        <v>0</v>
      </c>
      <c r="L209" s="105">
        <v>0</v>
      </c>
      <c r="M209" s="243">
        <f>ROUND(0, 1)</f>
        <v>0</v>
      </c>
      <c r="N209" s="242">
        <f>ROUND(0, 1)</f>
        <v>0</v>
      </c>
      <c r="O209" s="242">
        <f>ROUND(0, 1)</f>
        <v>0</v>
      </c>
      <c r="P209" s="242">
        <f>ROUND(0, 1)</f>
        <v>0</v>
      </c>
      <c r="Q209" s="105"/>
      <c r="R209" s="53" t="s">
        <v>5599</v>
      </c>
    </row>
    <row r="210" spans="1:18">
      <c r="A210" s="105" t="s">
        <v>5600</v>
      </c>
      <c r="B210" s="127">
        <f>ROUND(10, 3)</f>
        <v>10</v>
      </c>
      <c r="C210" s="105" t="str">
        <f>FIXED(100, 1)</f>
        <v>100.0</v>
      </c>
      <c r="D210" s="105" t="str">
        <f>IF(TRUE = TRUE, "Yes", "No")</f>
        <v>Yes</v>
      </c>
      <c r="E210" s="105" t="s">
        <v>5202</v>
      </c>
      <c r="F210" s="105"/>
      <c r="G210" s="105" t="str">
        <f>CHOOSE((0+1), "3", "1", "1")</f>
        <v>3</v>
      </c>
      <c r="H210" s="242" t="str">
        <f>CHOOSE((0+1), "--", "2", "3")</f>
        <v>--</v>
      </c>
      <c r="I210" s="105">
        <v>80</v>
      </c>
      <c r="J210" s="105">
        <v>125</v>
      </c>
      <c r="K210" s="105">
        <v>0</v>
      </c>
      <c r="L210" s="105">
        <v>0</v>
      </c>
      <c r="M210" s="243">
        <f>ROUND(0, 1)</f>
        <v>0</v>
      </c>
      <c r="N210" s="242">
        <f>ROUND(0, 1)</f>
        <v>0</v>
      </c>
      <c r="O210" s="242">
        <f>ROUND(0, 1)</f>
        <v>0</v>
      </c>
      <c r="P210" s="242">
        <f>ROUND(0, 1)</f>
        <v>0</v>
      </c>
      <c r="Q210" s="105"/>
      <c r="R210" s="53" t="s">
        <v>5601</v>
      </c>
    </row>
    <row r="211" spans="1:18">
      <c r="A211" s="105" t="s">
        <v>5602</v>
      </c>
      <c r="B211" s="127">
        <f>ROUND(10, 3)</f>
        <v>10</v>
      </c>
      <c r="C211" s="105" t="str">
        <f>FIXED(100, 1)</f>
        <v>100.0</v>
      </c>
      <c r="D211" s="105" t="str">
        <f>IF(TRUE = TRUE, "Yes", "No")</f>
        <v>Yes</v>
      </c>
      <c r="E211" s="105" t="s">
        <v>5202</v>
      </c>
      <c r="F211" s="105"/>
      <c r="G211" s="105" t="str">
        <f>CHOOSE((0+1), "3", "1", "1")</f>
        <v>3</v>
      </c>
      <c r="H211" s="242" t="str">
        <f>CHOOSE((0+1), "--", "2", "3")</f>
        <v>--</v>
      </c>
      <c r="I211" s="105">
        <v>80</v>
      </c>
      <c r="J211" s="105">
        <v>125</v>
      </c>
      <c r="K211" s="105">
        <v>0</v>
      </c>
      <c r="L211" s="105">
        <v>0</v>
      </c>
      <c r="M211" s="243">
        <f>ROUND(0, 1)</f>
        <v>0</v>
      </c>
      <c r="N211" s="242">
        <f>ROUND(0, 1)</f>
        <v>0</v>
      </c>
      <c r="O211" s="242">
        <f>ROUND(0, 1)</f>
        <v>0</v>
      </c>
      <c r="P211" s="242">
        <f>ROUND(0, 1)</f>
        <v>0</v>
      </c>
      <c r="Q211" s="105"/>
      <c r="R211" s="53" t="s">
        <v>5603</v>
      </c>
    </row>
    <row r="212" spans="1:18">
      <c r="A212" s="105" t="s">
        <v>5604</v>
      </c>
      <c r="B212" s="127">
        <f>ROUND(10, 3)</f>
        <v>10</v>
      </c>
      <c r="C212" s="105" t="str">
        <f>FIXED(100, 1)</f>
        <v>100.0</v>
      </c>
      <c r="D212" s="105" t="str">
        <f>IF(TRUE = TRUE, "Yes", "No")</f>
        <v>Yes</v>
      </c>
      <c r="E212" s="105" t="s">
        <v>5202</v>
      </c>
      <c r="F212" s="105"/>
      <c r="G212" s="105" t="str">
        <f>CHOOSE((0+1), "3", "1", "1")</f>
        <v>3</v>
      </c>
      <c r="H212" s="242" t="str">
        <f>CHOOSE((0+1), "--", "2", "3")</f>
        <v>--</v>
      </c>
      <c r="I212" s="105">
        <v>80</v>
      </c>
      <c r="J212" s="105">
        <v>125</v>
      </c>
      <c r="K212" s="105">
        <v>0</v>
      </c>
      <c r="L212" s="105">
        <v>0</v>
      </c>
      <c r="M212" s="243">
        <f>ROUND(0, 1)</f>
        <v>0</v>
      </c>
      <c r="N212" s="242">
        <f>ROUND(0, 1)</f>
        <v>0</v>
      </c>
      <c r="O212" s="242">
        <f>ROUND(0, 1)</f>
        <v>0</v>
      </c>
      <c r="P212" s="242">
        <f>ROUND(0, 1)</f>
        <v>0</v>
      </c>
      <c r="Q212" s="105"/>
      <c r="R212" s="53" t="s">
        <v>5605</v>
      </c>
    </row>
    <row r="213" spans="1:18">
      <c r="A213" s="105" t="s">
        <v>5606</v>
      </c>
      <c r="B213" s="127">
        <f>ROUND(10, 3)</f>
        <v>10</v>
      </c>
      <c r="C213" s="105" t="str">
        <f>FIXED(100, 1)</f>
        <v>100.0</v>
      </c>
      <c r="D213" s="105" t="str">
        <f>IF(TRUE = TRUE, "Yes", "No")</f>
        <v>Yes</v>
      </c>
      <c r="E213" s="105" t="s">
        <v>5202</v>
      </c>
      <c r="F213" s="105"/>
      <c r="G213" s="105" t="str">
        <f>CHOOSE((0+1), "3", "1", "1")</f>
        <v>3</v>
      </c>
      <c r="H213" s="242" t="str">
        <f>CHOOSE((0+1), "--", "2", "3")</f>
        <v>--</v>
      </c>
      <c r="I213" s="105">
        <v>80</v>
      </c>
      <c r="J213" s="105">
        <v>125</v>
      </c>
      <c r="K213" s="105">
        <v>0</v>
      </c>
      <c r="L213" s="105">
        <v>0</v>
      </c>
      <c r="M213" s="243">
        <f>ROUND(0, 1)</f>
        <v>0</v>
      </c>
      <c r="N213" s="242">
        <f>ROUND(0, 1)</f>
        <v>0</v>
      </c>
      <c r="O213" s="242">
        <f>ROUND(0, 1)</f>
        <v>0</v>
      </c>
      <c r="P213" s="242">
        <f>ROUND(0, 1)</f>
        <v>0</v>
      </c>
      <c r="Q213" s="105"/>
      <c r="R213" s="53" t="s">
        <v>5607</v>
      </c>
    </row>
    <row r="214" spans="1:18">
      <c r="A214" s="105" t="s">
        <v>5608</v>
      </c>
      <c r="B214" s="127">
        <f>ROUND(10, 3)</f>
        <v>10</v>
      </c>
      <c r="C214" s="105" t="str">
        <f>FIXED(100, 1)</f>
        <v>100.0</v>
      </c>
      <c r="D214" s="105" t="str">
        <f>IF(TRUE = TRUE, "Yes", "No")</f>
        <v>Yes</v>
      </c>
      <c r="E214" s="105" t="s">
        <v>5202</v>
      </c>
      <c r="F214" s="105"/>
      <c r="G214" s="105" t="str">
        <f>CHOOSE((0+1), "3", "1", "1")</f>
        <v>3</v>
      </c>
      <c r="H214" s="242" t="str">
        <f>CHOOSE((0+1), "--", "2", "3")</f>
        <v>--</v>
      </c>
      <c r="I214" s="105">
        <v>80</v>
      </c>
      <c r="J214" s="105">
        <v>125</v>
      </c>
      <c r="K214" s="105">
        <v>0</v>
      </c>
      <c r="L214" s="105">
        <v>0</v>
      </c>
      <c r="M214" s="243">
        <f>ROUND(0, 1)</f>
        <v>0</v>
      </c>
      <c r="N214" s="242">
        <f>ROUND(0, 1)</f>
        <v>0</v>
      </c>
      <c r="O214" s="242">
        <f>ROUND(0, 1)</f>
        <v>0</v>
      </c>
      <c r="P214" s="242">
        <f>ROUND(0, 1)</f>
        <v>0</v>
      </c>
      <c r="Q214" s="105"/>
      <c r="R214" s="53" t="s">
        <v>5609</v>
      </c>
    </row>
    <row r="215" spans="1:18">
      <c r="A215" s="105" t="s">
        <v>5610</v>
      </c>
      <c r="B215" s="127">
        <f>ROUND(10, 3)</f>
        <v>10</v>
      </c>
      <c r="C215" s="105" t="str">
        <f>FIXED(100, 1)</f>
        <v>100.0</v>
      </c>
      <c r="D215" s="105" t="str">
        <f>IF(TRUE = TRUE, "Yes", "No")</f>
        <v>Yes</v>
      </c>
      <c r="E215" s="105" t="s">
        <v>5202</v>
      </c>
      <c r="F215" s="105"/>
      <c r="G215" s="105" t="str">
        <f>CHOOSE((0+1), "3", "1", "1")</f>
        <v>3</v>
      </c>
      <c r="H215" s="242" t="str">
        <f>CHOOSE((0+1), "--", "2", "3")</f>
        <v>--</v>
      </c>
      <c r="I215" s="105">
        <v>80</v>
      </c>
      <c r="J215" s="105">
        <v>125</v>
      </c>
      <c r="K215" s="105">
        <v>0</v>
      </c>
      <c r="L215" s="105">
        <v>0</v>
      </c>
      <c r="M215" s="243">
        <f>ROUND(0, 1)</f>
        <v>0</v>
      </c>
      <c r="N215" s="242">
        <f>ROUND(0, 1)</f>
        <v>0</v>
      </c>
      <c r="O215" s="242">
        <f>ROUND(0, 1)</f>
        <v>0</v>
      </c>
      <c r="P215" s="242">
        <f>ROUND(0, 1)</f>
        <v>0</v>
      </c>
      <c r="Q215" s="105"/>
      <c r="R215" s="53" t="s">
        <v>5611</v>
      </c>
    </row>
    <row r="216" spans="1:18">
      <c r="A216" s="105" t="s">
        <v>5612</v>
      </c>
      <c r="B216" s="127">
        <f>ROUND(10, 3)</f>
        <v>10</v>
      </c>
      <c r="C216" s="105" t="str">
        <f>FIXED(100, 1)</f>
        <v>100.0</v>
      </c>
      <c r="D216" s="105" t="str">
        <f>IF(TRUE = TRUE, "Yes", "No")</f>
        <v>Yes</v>
      </c>
      <c r="E216" s="105" t="s">
        <v>5202</v>
      </c>
      <c r="F216" s="105"/>
      <c r="G216" s="105" t="str">
        <f>CHOOSE((0+1), "3", "1", "1")</f>
        <v>3</v>
      </c>
      <c r="H216" s="242" t="str">
        <f>CHOOSE((0+1), "--", "2", "3")</f>
        <v>--</v>
      </c>
      <c r="I216" s="105">
        <v>80</v>
      </c>
      <c r="J216" s="105">
        <v>125</v>
      </c>
      <c r="K216" s="105">
        <v>0</v>
      </c>
      <c r="L216" s="105">
        <v>0</v>
      </c>
      <c r="M216" s="243">
        <f>ROUND(0, 1)</f>
        <v>0</v>
      </c>
      <c r="N216" s="242">
        <f>ROUND(0, 1)</f>
        <v>0</v>
      </c>
      <c r="O216" s="242">
        <f>ROUND(0, 1)</f>
        <v>0</v>
      </c>
      <c r="P216" s="242">
        <f>ROUND(0, 1)</f>
        <v>0</v>
      </c>
      <c r="Q216" s="105"/>
      <c r="R216" s="53" t="s">
        <v>5613</v>
      </c>
    </row>
    <row r="217" spans="1:18">
      <c r="A217" s="105" t="s">
        <v>5614</v>
      </c>
      <c r="B217" s="127">
        <f>ROUND(10, 3)</f>
        <v>10</v>
      </c>
      <c r="C217" s="105" t="str">
        <f>FIXED(100, 1)</f>
        <v>100.0</v>
      </c>
      <c r="D217" s="105" t="str">
        <f>IF(TRUE = TRUE, "Yes", "No")</f>
        <v>Yes</v>
      </c>
      <c r="E217" s="105" t="s">
        <v>5202</v>
      </c>
      <c r="F217" s="105"/>
      <c r="G217" s="105" t="str">
        <f>CHOOSE((0+1), "3", "1", "1")</f>
        <v>3</v>
      </c>
      <c r="H217" s="242" t="str">
        <f>CHOOSE((0+1), "--", "2", "3")</f>
        <v>--</v>
      </c>
      <c r="I217" s="105">
        <v>80</v>
      </c>
      <c r="J217" s="105">
        <v>125</v>
      </c>
      <c r="K217" s="105">
        <v>0</v>
      </c>
      <c r="L217" s="105">
        <v>0</v>
      </c>
      <c r="M217" s="243">
        <f>ROUND(0, 1)</f>
        <v>0</v>
      </c>
      <c r="N217" s="242">
        <f>ROUND(0, 1)</f>
        <v>0</v>
      </c>
      <c r="O217" s="242">
        <f>ROUND(0, 1)</f>
        <v>0</v>
      </c>
      <c r="P217" s="242">
        <f>ROUND(0, 1)</f>
        <v>0</v>
      </c>
      <c r="Q217" s="105"/>
      <c r="R217" s="53" t="s">
        <v>5615</v>
      </c>
    </row>
    <row r="218" spans="1:18">
      <c r="A218" s="105" t="s">
        <v>5616</v>
      </c>
      <c r="B218" s="127">
        <f>ROUND(10, 3)</f>
        <v>10</v>
      </c>
      <c r="C218" s="105" t="str">
        <f>FIXED(100, 1)</f>
        <v>100.0</v>
      </c>
      <c r="D218" s="105" t="str">
        <f>IF(TRUE = TRUE, "Yes", "No")</f>
        <v>Yes</v>
      </c>
      <c r="E218" s="105" t="s">
        <v>5202</v>
      </c>
      <c r="F218" s="105"/>
      <c r="G218" s="105" t="str">
        <f>CHOOSE((0+1), "3", "1", "1")</f>
        <v>3</v>
      </c>
      <c r="H218" s="242" t="str">
        <f>CHOOSE((0+1), "--", "2", "3")</f>
        <v>--</v>
      </c>
      <c r="I218" s="105">
        <v>80</v>
      </c>
      <c r="J218" s="105">
        <v>125</v>
      </c>
      <c r="K218" s="105">
        <v>0</v>
      </c>
      <c r="L218" s="105">
        <v>0</v>
      </c>
      <c r="M218" s="243">
        <f>ROUND(0, 1)</f>
        <v>0</v>
      </c>
      <c r="N218" s="242">
        <f>ROUND(0, 1)</f>
        <v>0</v>
      </c>
      <c r="O218" s="242">
        <f>ROUND(0, 1)</f>
        <v>0</v>
      </c>
      <c r="P218" s="242">
        <f>ROUND(0, 1)</f>
        <v>0</v>
      </c>
      <c r="Q218" s="105"/>
      <c r="R218" s="53" t="s">
        <v>5617</v>
      </c>
    </row>
    <row r="219" spans="1:18">
      <c r="A219" s="105" t="s">
        <v>5618</v>
      </c>
      <c r="B219" s="127">
        <f>ROUND(10, 3)</f>
        <v>10</v>
      </c>
      <c r="C219" s="105" t="str">
        <f>FIXED(100, 1)</f>
        <v>100.0</v>
      </c>
      <c r="D219" s="105" t="str">
        <f>IF(TRUE = TRUE, "Yes", "No")</f>
        <v>Yes</v>
      </c>
      <c r="E219" s="105" t="s">
        <v>5202</v>
      </c>
      <c r="F219" s="105"/>
      <c r="G219" s="105" t="str">
        <f>CHOOSE((0+1), "3", "1", "1")</f>
        <v>3</v>
      </c>
      <c r="H219" s="242" t="str">
        <f>CHOOSE((0+1), "--", "2", "3")</f>
        <v>--</v>
      </c>
      <c r="I219" s="105">
        <v>80</v>
      </c>
      <c r="J219" s="105">
        <v>125</v>
      </c>
      <c r="K219" s="105">
        <v>0</v>
      </c>
      <c r="L219" s="105">
        <v>0</v>
      </c>
      <c r="M219" s="243">
        <f>ROUND(0, 1)</f>
        <v>0</v>
      </c>
      <c r="N219" s="242">
        <f>ROUND(0, 1)</f>
        <v>0</v>
      </c>
      <c r="O219" s="242">
        <f>ROUND(0, 1)</f>
        <v>0</v>
      </c>
      <c r="P219" s="242">
        <f>ROUND(0, 1)</f>
        <v>0</v>
      </c>
      <c r="Q219" s="105"/>
      <c r="R219" s="53" t="s">
        <v>5619</v>
      </c>
    </row>
    <row r="220" spans="1:18">
      <c r="A220" s="105" t="s">
        <v>5620</v>
      </c>
      <c r="B220" s="127">
        <f>ROUND(10, 3)</f>
        <v>10</v>
      </c>
      <c r="C220" s="105" t="str">
        <f>FIXED(100, 1)</f>
        <v>100.0</v>
      </c>
      <c r="D220" s="105" t="str">
        <f>IF(TRUE = TRUE, "Yes", "No")</f>
        <v>Yes</v>
      </c>
      <c r="E220" s="105" t="s">
        <v>5202</v>
      </c>
      <c r="F220" s="105"/>
      <c r="G220" s="105" t="str">
        <f>CHOOSE((0+1), "3", "1", "1")</f>
        <v>3</v>
      </c>
      <c r="H220" s="242" t="str">
        <f>CHOOSE((0+1), "--", "2", "3")</f>
        <v>--</v>
      </c>
      <c r="I220" s="105">
        <v>80</v>
      </c>
      <c r="J220" s="105">
        <v>125</v>
      </c>
      <c r="K220" s="105">
        <v>0</v>
      </c>
      <c r="L220" s="105">
        <v>0</v>
      </c>
      <c r="M220" s="243">
        <f>ROUND(0, 1)</f>
        <v>0</v>
      </c>
      <c r="N220" s="242">
        <f>ROUND(0, 1)</f>
        <v>0</v>
      </c>
      <c r="O220" s="242">
        <f>ROUND(0, 1)</f>
        <v>0</v>
      </c>
      <c r="P220" s="242">
        <f>ROUND(0, 1)</f>
        <v>0</v>
      </c>
      <c r="Q220" s="105"/>
      <c r="R220" s="53" t="s">
        <v>5621</v>
      </c>
    </row>
    <row r="221" spans="1:18">
      <c r="A221" s="105" t="s">
        <v>5622</v>
      </c>
      <c r="B221" s="127">
        <f>ROUND(10, 3)</f>
        <v>10</v>
      </c>
      <c r="C221" s="105" t="str">
        <f>FIXED(100, 1)</f>
        <v>100.0</v>
      </c>
      <c r="D221" s="105" t="str">
        <f>IF(TRUE = TRUE, "Yes", "No")</f>
        <v>Yes</v>
      </c>
      <c r="E221" s="105" t="s">
        <v>5202</v>
      </c>
      <c r="F221" s="105"/>
      <c r="G221" s="105" t="str">
        <f>CHOOSE((0+1), "3", "1", "1")</f>
        <v>3</v>
      </c>
      <c r="H221" s="242" t="str">
        <f>CHOOSE((0+1), "--", "2", "3")</f>
        <v>--</v>
      </c>
      <c r="I221" s="105">
        <v>80</v>
      </c>
      <c r="J221" s="105">
        <v>125</v>
      </c>
      <c r="K221" s="105">
        <v>0</v>
      </c>
      <c r="L221" s="105">
        <v>0</v>
      </c>
      <c r="M221" s="243">
        <f>ROUND(0, 1)</f>
        <v>0</v>
      </c>
      <c r="N221" s="242">
        <f>ROUND(0, 1)</f>
        <v>0</v>
      </c>
      <c r="O221" s="242">
        <f>ROUND(0, 1)</f>
        <v>0</v>
      </c>
      <c r="P221" s="242">
        <f>ROUND(0, 1)</f>
        <v>0</v>
      </c>
      <c r="Q221" s="105"/>
      <c r="R221" s="53" t="s">
        <v>5623</v>
      </c>
    </row>
    <row r="222" spans="1:18">
      <c r="A222" s="105" t="s">
        <v>5624</v>
      </c>
      <c r="B222" s="127">
        <f>ROUND(10, 3)</f>
        <v>10</v>
      </c>
      <c r="C222" s="105" t="str">
        <f>FIXED(100, 1)</f>
        <v>100.0</v>
      </c>
      <c r="D222" s="105" t="str">
        <f>IF(TRUE = TRUE, "Yes", "No")</f>
        <v>Yes</v>
      </c>
      <c r="E222" s="105" t="s">
        <v>5202</v>
      </c>
      <c r="F222" s="105"/>
      <c r="G222" s="105" t="str">
        <f>CHOOSE((0+1), "3", "1", "1")</f>
        <v>3</v>
      </c>
      <c r="H222" s="242" t="str">
        <f>CHOOSE((0+1), "--", "2", "3")</f>
        <v>--</v>
      </c>
      <c r="I222" s="105">
        <v>80</v>
      </c>
      <c r="J222" s="105">
        <v>125</v>
      </c>
      <c r="K222" s="105">
        <v>0</v>
      </c>
      <c r="L222" s="105">
        <v>0</v>
      </c>
      <c r="M222" s="243">
        <f>ROUND(0, 1)</f>
        <v>0</v>
      </c>
      <c r="N222" s="242">
        <f>ROUND(0, 1)</f>
        <v>0</v>
      </c>
      <c r="O222" s="242">
        <f>ROUND(0, 1)</f>
        <v>0</v>
      </c>
      <c r="P222" s="242">
        <f>ROUND(0, 1)</f>
        <v>0</v>
      </c>
      <c r="Q222" s="105"/>
      <c r="R222" s="53" t="s">
        <v>5625</v>
      </c>
    </row>
    <row r="223" spans="1:18">
      <c r="A223" s="105" t="s">
        <v>5626</v>
      </c>
      <c r="B223" s="127">
        <f>ROUND(10, 3)</f>
        <v>10</v>
      </c>
      <c r="C223" s="105" t="str">
        <f>FIXED(100, 1)</f>
        <v>100.0</v>
      </c>
      <c r="D223" s="105" t="str">
        <f>IF(TRUE = TRUE, "Yes", "No")</f>
        <v>Yes</v>
      </c>
      <c r="E223" s="105" t="s">
        <v>5202</v>
      </c>
      <c r="F223" s="105"/>
      <c r="G223" s="105" t="str">
        <f>CHOOSE((0+1), "3", "1", "1")</f>
        <v>3</v>
      </c>
      <c r="H223" s="242" t="str">
        <f>CHOOSE((0+1), "--", "2", "3")</f>
        <v>--</v>
      </c>
      <c r="I223" s="105">
        <v>80</v>
      </c>
      <c r="J223" s="105">
        <v>125</v>
      </c>
      <c r="K223" s="105">
        <v>0</v>
      </c>
      <c r="L223" s="105">
        <v>0</v>
      </c>
      <c r="M223" s="243">
        <f>ROUND(0, 1)</f>
        <v>0</v>
      </c>
      <c r="N223" s="242">
        <f>ROUND(0, 1)</f>
        <v>0</v>
      </c>
      <c r="O223" s="242">
        <f>ROUND(0, 1)</f>
        <v>0</v>
      </c>
      <c r="P223" s="242">
        <f>ROUND(0, 1)</f>
        <v>0</v>
      </c>
      <c r="Q223" s="105"/>
      <c r="R223" s="53" t="s">
        <v>5627</v>
      </c>
    </row>
    <row r="224" spans="1:18">
      <c r="A224" s="105" t="s">
        <v>5628</v>
      </c>
      <c r="B224" s="127">
        <f>ROUND(10, 3)</f>
        <v>10</v>
      </c>
      <c r="C224" s="105" t="str">
        <f>FIXED(100, 1)</f>
        <v>100.0</v>
      </c>
      <c r="D224" s="105" t="str">
        <f>IF(TRUE = TRUE, "Yes", "No")</f>
        <v>Yes</v>
      </c>
      <c r="E224" s="105" t="s">
        <v>5202</v>
      </c>
      <c r="F224" s="105"/>
      <c r="G224" s="105" t="str">
        <f>CHOOSE((0+1), "3", "1", "1")</f>
        <v>3</v>
      </c>
      <c r="H224" s="242" t="str">
        <f>CHOOSE((0+1), "--", "2", "3")</f>
        <v>--</v>
      </c>
      <c r="I224" s="105">
        <v>80</v>
      </c>
      <c r="J224" s="105">
        <v>125</v>
      </c>
      <c r="K224" s="105">
        <v>0</v>
      </c>
      <c r="L224" s="105">
        <v>0</v>
      </c>
      <c r="M224" s="243">
        <f>ROUND(0, 1)</f>
        <v>0</v>
      </c>
      <c r="N224" s="242">
        <f>ROUND(0, 1)</f>
        <v>0</v>
      </c>
      <c r="O224" s="242">
        <f>ROUND(0, 1)</f>
        <v>0</v>
      </c>
      <c r="P224" s="242">
        <f>ROUND(0, 1)</f>
        <v>0</v>
      </c>
      <c r="Q224" s="105"/>
      <c r="R224" s="53" t="s">
        <v>5629</v>
      </c>
    </row>
    <row r="225" spans="1:18">
      <c r="A225" s="105" t="s">
        <v>5630</v>
      </c>
      <c r="B225" s="127">
        <f>ROUND(10, 3)</f>
        <v>10</v>
      </c>
      <c r="C225" s="105" t="str">
        <f>FIXED(100, 1)</f>
        <v>100.0</v>
      </c>
      <c r="D225" s="105" t="str">
        <f>IF(TRUE = TRUE, "Yes", "No")</f>
        <v>Yes</v>
      </c>
      <c r="E225" s="105" t="s">
        <v>5202</v>
      </c>
      <c r="F225" s="105"/>
      <c r="G225" s="105" t="str">
        <f>CHOOSE((0+1), "3", "1", "1")</f>
        <v>3</v>
      </c>
      <c r="H225" s="242" t="str">
        <f>CHOOSE((0+1), "--", "2", "3")</f>
        <v>--</v>
      </c>
      <c r="I225" s="105">
        <v>80</v>
      </c>
      <c r="J225" s="105">
        <v>125</v>
      </c>
      <c r="K225" s="105">
        <v>0</v>
      </c>
      <c r="L225" s="105">
        <v>0</v>
      </c>
      <c r="M225" s="243">
        <f>ROUND(0, 1)</f>
        <v>0</v>
      </c>
      <c r="N225" s="242">
        <f>ROUND(0, 1)</f>
        <v>0</v>
      </c>
      <c r="O225" s="242">
        <f>ROUND(0, 1)</f>
        <v>0</v>
      </c>
      <c r="P225" s="242">
        <f>ROUND(0, 1)</f>
        <v>0</v>
      </c>
      <c r="Q225" s="105"/>
      <c r="R225" s="53" t="s">
        <v>5631</v>
      </c>
    </row>
    <row r="226" spans="1:18">
      <c r="A226" s="105" t="s">
        <v>5632</v>
      </c>
      <c r="B226" s="127">
        <f>ROUND(10, 3)</f>
        <v>10</v>
      </c>
      <c r="C226" s="105" t="str">
        <f>FIXED(100, 1)</f>
        <v>100.0</v>
      </c>
      <c r="D226" s="105" t="str">
        <f>IF(TRUE = TRUE, "Yes", "No")</f>
        <v>Yes</v>
      </c>
      <c r="E226" s="105" t="s">
        <v>5202</v>
      </c>
      <c r="F226" s="105"/>
      <c r="G226" s="105" t="str">
        <f>CHOOSE((0+1), "3", "1", "1")</f>
        <v>3</v>
      </c>
      <c r="H226" s="242" t="str">
        <f>CHOOSE((0+1), "--", "2", "3")</f>
        <v>--</v>
      </c>
      <c r="I226" s="105">
        <v>80</v>
      </c>
      <c r="J226" s="105">
        <v>125</v>
      </c>
      <c r="K226" s="105">
        <v>0</v>
      </c>
      <c r="L226" s="105">
        <v>0</v>
      </c>
      <c r="M226" s="243">
        <f>ROUND(0, 1)</f>
        <v>0</v>
      </c>
      <c r="N226" s="242">
        <f>ROUND(0, 1)</f>
        <v>0</v>
      </c>
      <c r="O226" s="242">
        <f>ROUND(0, 1)</f>
        <v>0</v>
      </c>
      <c r="P226" s="242">
        <f>ROUND(0, 1)</f>
        <v>0</v>
      </c>
      <c r="Q226" s="105"/>
      <c r="R226" s="53" t="s">
        <v>5633</v>
      </c>
    </row>
    <row r="227" spans="1:18">
      <c r="A227" s="105" t="s">
        <v>5634</v>
      </c>
      <c r="B227" s="127">
        <f>ROUND(10, 3)</f>
        <v>10</v>
      </c>
      <c r="C227" s="105" t="str">
        <f>FIXED(100, 1)</f>
        <v>100.0</v>
      </c>
      <c r="D227" s="105" t="str">
        <f>IF(TRUE = TRUE, "Yes", "No")</f>
        <v>Yes</v>
      </c>
      <c r="E227" s="105" t="s">
        <v>5202</v>
      </c>
      <c r="F227" s="105"/>
      <c r="G227" s="105" t="str">
        <f>CHOOSE((0+1), "3", "1", "1")</f>
        <v>3</v>
      </c>
      <c r="H227" s="242" t="str">
        <f>CHOOSE((0+1), "--", "2", "3")</f>
        <v>--</v>
      </c>
      <c r="I227" s="105">
        <v>80</v>
      </c>
      <c r="J227" s="105">
        <v>125</v>
      </c>
      <c r="K227" s="105">
        <v>0</v>
      </c>
      <c r="L227" s="105">
        <v>0</v>
      </c>
      <c r="M227" s="243">
        <f>ROUND(0, 1)</f>
        <v>0</v>
      </c>
      <c r="N227" s="242">
        <f>ROUND(0, 1)</f>
        <v>0</v>
      </c>
      <c r="O227" s="242">
        <f>ROUND(0, 1)</f>
        <v>0</v>
      </c>
      <c r="P227" s="242">
        <f>ROUND(0, 1)</f>
        <v>0</v>
      </c>
      <c r="Q227" s="105"/>
      <c r="R227" s="53" t="s">
        <v>5635</v>
      </c>
    </row>
    <row r="228" spans="1:18">
      <c r="A228" s="105" t="s">
        <v>5636</v>
      </c>
      <c r="B228" s="127">
        <f>ROUND(10, 3)</f>
        <v>10</v>
      </c>
      <c r="C228" s="105" t="str">
        <f>FIXED(100, 1)</f>
        <v>100.0</v>
      </c>
      <c r="D228" s="105" t="str">
        <f>IF(TRUE = TRUE, "Yes", "No")</f>
        <v>Yes</v>
      </c>
      <c r="E228" s="105" t="s">
        <v>5202</v>
      </c>
      <c r="F228" s="105"/>
      <c r="G228" s="105" t="str">
        <f>CHOOSE((0+1), "3", "1", "1")</f>
        <v>3</v>
      </c>
      <c r="H228" s="242" t="str">
        <f>CHOOSE((0+1), "--", "2", "3")</f>
        <v>--</v>
      </c>
      <c r="I228" s="105">
        <v>80</v>
      </c>
      <c r="J228" s="105">
        <v>125</v>
      </c>
      <c r="K228" s="105">
        <v>0</v>
      </c>
      <c r="L228" s="105">
        <v>0</v>
      </c>
      <c r="M228" s="243">
        <f>ROUND(0, 1)</f>
        <v>0</v>
      </c>
      <c r="N228" s="242">
        <f>ROUND(0, 1)</f>
        <v>0</v>
      </c>
      <c r="O228" s="242">
        <f>ROUND(0, 1)</f>
        <v>0</v>
      </c>
      <c r="P228" s="242">
        <f>ROUND(0, 1)</f>
        <v>0</v>
      </c>
      <c r="Q228" s="105"/>
      <c r="R228" s="53" t="s">
        <v>5637</v>
      </c>
    </row>
    <row r="229" spans="1:18">
      <c r="A229" s="105" t="s">
        <v>5638</v>
      </c>
      <c r="B229" s="127">
        <f>ROUND(10, 3)</f>
        <v>10</v>
      </c>
      <c r="C229" s="105" t="str">
        <f>FIXED(100, 1)</f>
        <v>100.0</v>
      </c>
      <c r="D229" s="105" t="str">
        <f>IF(TRUE = TRUE, "Yes", "No")</f>
        <v>Yes</v>
      </c>
      <c r="E229" s="105" t="s">
        <v>5202</v>
      </c>
      <c r="F229" s="105"/>
      <c r="G229" s="105" t="str">
        <f>CHOOSE((0+1), "3", "1", "1")</f>
        <v>3</v>
      </c>
      <c r="H229" s="242" t="str">
        <f>CHOOSE((0+1), "--", "2", "3")</f>
        <v>--</v>
      </c>
      <c r="I229" s="105">
        <v>80</v>
      </c>
      <c r="J229" s="105">
        <v>125</v>
      </c>
      <c r="K229" s="105">
        <v>0</v>
      </c>
      <c r="L229" s="105">
        <v>0</v>
      </c>
      <c r="M229" s="243">
        <f>ROUND(0, 1)</f>
        <v>0</v>
      </c>
      <c r="N229" s="242">
        <f>ROUND(0, 1)</f>
        <v>0</v>
      </c>
      <c r="O229" s="242">
        <f>ROUND(0, 1)</f>
        <v>0</v>
      </c>
      <c r="P229" s="242">
        <f>ROUND(0, 1)</f>
        <v>0</v>
      </c>
      <c r="Q229" s="105"/>
      <c r="R229" s="53" t="s">
        <v>5639</v>
      </c>
    </row>
    <row r="230" spans="1:18">
      <c r="A230" s="105" t="s">
        <v>5640</v>
      </c>
      <c r="B230" s="127">
        <f>ROUND(10, 3)</f>
        <v>10</v>
      </c>
      <c r="C230" s="105" t="str">
        <f>FIXED(100, 1)</f>
        <v>100.0</v>
      </c>
      <c r="D230" s="105" t="str">
        <f>IF(TRUE = TRUE, "Yes", "No")</f>
        <v>Yes</v>
      </c>
      <c r="E230" s="105" t="s">
        <v>5202</v>
      </c>
      <c r="F230" s="105"/>
      <c r="G230" s="105" t="str">
        <f>CHOOSE((0+1), "3", "1", "1")</f>
        <v>3</v>
      </c>
      <c r="H230" s="242" t="str">
        <f>CHOOSE((0+1), "--", "2", "3")</f>
        <v>--</v>
      </c>
      <c r="I230" s="105">
        <v>80</v>
      </c>
      <c r="J230" s="105">
        <v>125</v>
      </c>
      <c r="K230" s="105">
        <v>0</v>
      </c>
      <c r="L230" s="105">
        <v>0</v>
      </c>
      <c r="M230" s="243">
        <f>ROUND(0, 1)</f>
        <v>0</v>
      </c>
      <c r="N230" s="242">
        <f>ROUND(0, 1)</f>
        <v>0</v>
      </c>
      <c r="O230" s="242">
        <f>ROUND(0, 1)</f>
        <v>0</v>
      </c>
      <c r="P230" s="242">
        <f>ROUND(0, 1)</f>
        <v>0</v>
      </c>
      <c r="Q230" s="105"/>
      <c r="R230" s="53" t="s">
        <v>5641</v>
      </c>
    </row>
    <row r="231" spans="1:18">
      <c r="A231" s="105" t="s">
        <v>5642</v>
      </c>
      <c r="B231" s="127">
        <f>ROUND(0.400000006, 3)</f>
        <v>0.4</v>
      </c>
      <c r="C231" s="105" t="str">
        <f>FIXED(100, 1)</f>
        <v>100.0</v>
      </c>
      <c r="D231" s="105" t="str">
        <f>IF(TRUE = TRUE, "Yes", "No")</f>
        <v>Yes</v>
      </c>
      <c r="E231" s="105" t="s">
        <v>5202</v>
      </c>
      <c r="F231" s="105"/>
      <c r="G231" s="105" t="str">
        <f>CHOOSE((0+1), "3", "1", "1")</f>
        <v>3</v>
      </c>
      <c r="H231" s="242" t="str">
        <f>CHOOSE((0+1), "--", "2", "3")</f>
        <v>--</v>
      </c>
      <c r="I231" s="105">
        <v>80</v>
      </c>
      <c r="J231" s="105">
        <v>125</v>
      </c>
      <c r="K231" s="105">
        <v>0</v>
      </c>
      <c r="L231" s="105">
        <v>0</v>
      </c>
      <c r="M231" s="243">
        <f>ROUND(0, 1)</f>
        <v>0</v>
      </c>
      <c r="N231" s="242">
        <f>ROUND(0, 1)</f>
        <v>0</v>
      </c>
      <c r="O231" s="242">
        <f>ROUND(0, 1)</f>
        <v>0</v>
      </c>
      <c r="P231" s="242">
        <f>ROUND(0, 1)</f>
        <v>0</v>
      </c>
      <c r="Q231" s="105"/>
      <c r="R231" s="53" t="s">
        <v>5643</v>
      </c>
    </row>
    <row r="232" spans="1:18">
      <c r="A232" s="105" t="s">
        <v>5644</v>
      </c>
      <c r="B232" s="127">
        <f>ROUND(0.400000006, 3)</f>
        <v>0.4</v>
      </c>
      <c r="C232" s="105" t="str">
        <f>FIXED(100, 1)</f>
        <v>100.0</v>
      </c>
      <c r="D232" s="105" t="str">
        <f>IF(TRUE = TRUE, "Yes", "No")</f>
        <v>Yes</v>
      </c>
      <c r="E232" s="105" t="s">
        <v>5202</v>
      </c>
      <c r="F232" s="105"/>
      <c r="G232" s="105" t="str">
        <f>CHOOSE((0+1), "3", "1", "1")</f>
        <v>3</v>
      </c>
      <c r="H232" s="242" t="str">
        <f>CHOOSE((0+1), "--", "2", "3")</f>
        <v>--</v>
      </c>
      <c r="I232" s="105">
        <v>80</v>
      </c>
      <c r="J232" s="105">
        <v>125</v>
      </c>
      <c r="K232" s="105">
        <v>0</v>
      </c>
      <c r="L232" s="105">
        <v>0</v>
      </c>
      <c r="M232" s="243">
        <f>ROUND(0, 1)</f>
        <v>0</v>
      </c>
      <c r="N232" s="242">
        <f>ROUND(0, 1)</f>
        <v>0</v>
      </c>
      <c r="O232" s="242">
        <f>ROUND(0, 1)</f>
        <v>0</v>
      </c>
      <c r="P232" s="242">
        <f>ROUND(0, 1)</f>
        <v>0</v>
      </c>
      <c r="Q232" s="105"/>
      <c r="R232" s="53" t="s">
        <v>5645</v>
      </c>
    </row>
    <row r="233" spans="1:18">
      <c r="A233" s="105" t="s">
        <v>5646</v>
      </c>
      <c r="B233" s="127">
        <f>ROUND(0.400000006, 3)</f>
        <v>0.4</v>
      </c>
      <c r="C233" s="105" t="str">
        <f>FIXED(100, 1)</f>
        <v>100.0</v>
      </c>
      <c r="D233" s="105" t="str">
        <f>IF(TRUE = TRUE, "Yes", "No")</f>
        <v>Yes</v>
      </c>
      <c r="E233" s="105" t="s">
        <v>5202</v>
      </c>
      <c r="F233" s="105"/>
      <c r="G233" s="105" t="str">
        <f>CHOOSE((0+1), "3", "1", "1")</f>
        <v>3</v>
      </c>
      <c r="H233" s="242" t="str">
        <f>CHOOSE((0+1), "--", "2", "3")</f>
        <v>--</v>
      </c>
      <c r="I233" s="105">
        <v>80</v>
      </c>
      <c r="J233" s="105">
        <v>125</v>
      </c>
      <c r="K233" s="105">
        <v>0</v>
      </c>
      <c r="L233" s="105">
        <v>0</v>
      </c>
      <c r="M233" s="243">
        <f>ROUND(0, 1)</f>
        <v>0</v>
      </c>
      <c r="N233" s="242">
        <f>ROUND(0, 1)</f>
        <v>0</v>
      </c>
      <c r="O233" s="242">
        <f>ROUND(0, 1)</f>
        <v>0</v>
      </c>
      <c r="P233" s="242">
        <f>ROUND(0, 1)</f>
        <v>0</v>
      </c>
      <c r="Q233" s="105"/>
      <c r="R233" s="53" t="s">
        <v>5647</v>
      </c>
    </row>
    <row r="234" spans="1:18">
      <c r="A234" s="105" t="s">
        <v>5648</v>
      </c>
      <c r="B234" s="127">
        <f>ROUND(10, 3)</f>
        <v>10</v>
      </c>
      <c r="C234" s="105" t="str">
        <f>FIXED(100, 1)</f>
        <v>100.0</v>
      </c>
      <c r="D234" s="105" t="str">
        <f>IF(TRUE = TRUE, "Yes", "No")</f>
        <v>Yes</v>
      </c>
      <c r="E234" s="105" t="s">
        <v>5202</v>
      </c>
      <c r="F234" s="105"/>
      <c r="G234" s="105" t="str">
        <f>CHOOSE((0+1), "3", "1", "1")</f>
        <v>3</v>
      </c>
      <c r="H234" s="242" t="str">
        <f>CHOOSE((0+1), "--", "2", "3")</f>
        <v>--</v>
      </c>
      <c r="I234" s="105">
        <v>80</v>
      </c>
      <c r="J234" s="105">
        <v>125</v>
      </c>
      <c r="K234" s="105">
        <v>0</v>
      </c>
      <c r="L234" s="105">
        <v>0</v>
      </c>
      <c r="M234" s="243">
        <f>ROUND(0, 1)</f>
        <v>0</v>
      </c>
      <c r="N234" s="242">
        <f>ROUND(0, 1)</f>
        <v>0</v>
      </c>
      <c r="O234" s="242">
        <f>ROUND(0, 1)</f>
        <v>0</v>
      </c>
      <c r="P234" s="242">
        <f>ROUND(0, 1)</f>
        <v>0</v>
      </c>
      <c r="Q234" s="105"/>
      <c r="R234" s="53" t="s">
        <v>5649</v>
      </c>
    </row>
    <row r="235" spans="1:18">
      <c r="A235" s="105" t="s">
        <v>5650</v>
      </c>
      <c r="B235" s="127">
        <f>ROUND(0.400000006, 3)</f>
        <v>0.4</v>
      </c>
      <c r="C235" s="105" t="str">
        <f>FIXED(100, 1)</f>
        <v>100.0</v>
      </c>
      <c r="D235" s="105" t="str">
        <f>IF(TRUE = TRUE, "Yes", "No")</f>
        <v>Yes</v>
      </c>
      <c r="E235" s="105" t="s">
        <v>5202</v>
      </c>
      <c r="F235" s="105"/>
      <c r="G235" s="105" t="str">
        <f>CHOOSE((0+1), "3", "1", "1")</f>
        <v>3</v>
      </c>
      <c r="H235" s="242" t="str">
        <f>CHOOSE((0+1), "--", "2", "3")</f>
        <v>--</v>
      </c>
      <c r="I235" s="105">
        <v>80</v>
      </c>
      <c r="J235" s="105">
        <v>125</v>
      </c>
      <c r="K235" s="105">
        <v>0</v>
      </c>
      <c r="L235" s="105">
        <v>0</v>
      </c>
      <c r="M235" s="243">
        <f>ROUND(0, 1)</f>
        <v>0</v>
      </c>
      <c r="N235" s="242">
        <f>ROUND(0, 1)</f>
        <v>0</v>
      </c>
      <c r="O235" s="242">
        <f>ROUND(0, 1)</f>
        <v>0</v>
      </c>
      <c r="P235" s="242">
        <f>ROUND(0, 1)</f>
        <v>0</v>
      </c>
      <c r="Q235" s="105"/>
      <c r="R235" s="53" t="s">
        <v>5651</v>
      </c>
    </row>
    <row r="236" spans="1:18">
      <c r="A236" s="105" t="s">
        <v>5652</v>
      </c>
      <c r="B236" s="127">
        <f>ROUND(10, 3)</f>
        <v>10</v>
      </c>
      <c r="C236" s="105" t="str">
        <f>FIXED(100, 1)</f>
        <v>100.0</v>
      </c>
      <c r="D236" s="105" t="str">
        <f>IF(TRUE = TRUE, "Yes", "No")</f>
        <v>Yes</v>
      </c>
      <c r="E236" s="105" t="s">
        <v>5202</v>
      </c>
      <c r="F236" s="105"/>
      <c r="G236" s="105" t="str">
        <f>CHOOSE((0+1), "3", "1", "1")</f>
        <v>3</v>
      </c>
      <c r="H236" s="242" t="str">
        <f>CHOOSE((0+1), "--", "2", "3")</f>
        <v>--</v>
      </c>
      <c r="I236" s="105">
        <v>80</v>
      </c>
      <c r="J236" s="105">
        <v>125</v>
      </c>
      <c r="K236" s="105">
        <v>0</v>
      </c>
      <c r="L236" s="105">
        <v>0</v>
      </c>
      <c r="M236" s="243">
        <f>ROUND(0, 1)</f>
        <v>0</v>
      </c>
      <c r="N236" s="242">
        <f>ROUND(0, 1)</f>
        <v>0</v>
      </c>
      <c r="O236" s="242">
        <f>ROUND(0, 1)</f>
        <v>0</v>
      </c>
      <c r="P236" s="242">
        <f>ROUND(0, 1)</f>
        <v>0</v>
      </c>
      <c r="Q236" s="105"/>
      <c r="R236" s="53" t="s">
        <v>5653</v>
      </c>
    </row>
    <row r="237" spans="1:18">
      <c r="A237" s="105" t="s">
        <v>5654</v>
      </c>
      <c r="B237" s="127">
        <f>ROUND(10, 3)</f>
        <v>10</v>
      </c>
      <c r="C237" s="105" t="str">
        <f>FIXED(100, 1)</f>
        <v>100.0</v>
      </c>
      <c r="D237" s="105" t="str">
        <f>IF(TRUE = TRUE, "Yes", "No")</f>
        <v>Yes</v>
      </c>
      <c r="E237" s="105" t="s">
        <v>5202</v>
      </c>
      <c r="F237" s="105"/>
      <c r="G237" s="105" t="str">
        <f>CHOOSE((0+1), "3", "1", "1")</f>
        <v>3</v>
      </c>
      <c r="H237" s="242" t="str">
        <f>CHOOSE((0+1), "--", "2", "3")</f>
        <v>--</v>
      </c>
      <c r="I237" s="105">
        <v>80</v>
      </c>
      <c r="J237" s="105">
        <v>125</v>
      </c>
      <c r="K237" s="105">
        <v>0</v>
      </c>
      <c r="L237" s="105">
        <v>0</v>
      </c>
      <c r="M237" s="243">
        <f>ROUND(0, 1)</f>
        <v>0</v>
      </c>
      <c r="N237" s="242">
        <f>ROUND(0, 1)</f>
        <v>0</v>
      </c>
      <c r="O237" s="242">
        <f>ROUND(0, 1)</f>
        <v>0</v>
      </c>
      <c r="P237" s="242">
        <f>ROUND(0, 1)</f>
        <v>0</v>
      </c>
      <c r="Q237" s="105"/>
      <c r="R237" s="53" t="s">
        <v>5655</v>
      </c>
    </row>
    <row r="238" spans="1:18">
      <c r="A238" s="105" t="s">
        <v>5656</v>
      </c>
      <c r="B238" s="127">
        <f>ROUND(10, 3)</f>
        <v>10</v>
      </c>
      <c r="C238" s="105" t="str">
        <f>FIXED(100, 1)</f>
        <v>100.0</v>
      </c>
      <c r="D238" s="105" t="str">
        <f>IF(TRUE = TRUE, "Yes", "No")</f>
        <v>Yes</v>
      </c>
      <c r="E238" s="105" t="s">
        <v>5202</v>
      </c>
      <c r="F238" s="105"/>
      <c r="G238" s="105" t="str">
        <f>CHOOSE((0+1), "3", "1", "1")</f>
        <v>3</v>
      </c>
      <c r="H238" s="242" t="str">
        <f>CHOOSE((0+1), "--", "2", "3")</f>
        <v>--</v>
      </c>
      <c r="I238" s="105">
        <v>80</v>
      </c>
      <c r="J238" s="105">
        <v>125</v>
      </c>
      <c r="K238" s="105">
        <v>0</v>
      </c>
      <c r="L238" s="105">
        <v>0</v>
      </c>
      <c r="M238" s="243">
        <f>ROUND(0, 1)</f>
        <v>0</v>
      </c>
      <c r="N238" s="242">
        <f>ROUND(0, 1)</f>
        <v>0</v>
      </c>
      <c r="O238" s="242">
        <f>ROUND(0, 1)</f>
        <v>0</v>
      </c>
      <c r="P238" s="242">
        <f>ROUND(0, 1)</f>
        <v>0</v>
      </c>
      <c r="Q238" s="105"/>
      <c r="R238" s="53" t="s">
        <v>5657</v>
      </c>
    </row>
    <row r="239" spans="1:18">
      <c r="A239" s="105" t="s">
        <v>5658</v>
      </c>
      <c r="B239" s="127">
        <f>ROUND(10, 3)</f>
        <v>10</v>
      </c>
      <c r="C239" s="105" t="str">
        <f>FIXED(100, 1)</f>
        <v>100.0</v>
      </c>
      <c r="D239" s="105" t="str">
        <f>IF(TRUE = TRUE, "Yes", "No")</f>
        <v>Yes</v>
      </c>
      <c r="E239" s="105" t="s">
        <v>5202</v>
      </c>
      <c r="F239" s="105"/>
      <c r="G239" s="105" t="str">
        <f>CHOOSE((0+1), "3", "1", "1")</f>
        <v>3</v>
      </c>
      <c r="H239" s="242" t="str">
        <f>CHOOSE((0+1), "--", "2", "3")</f>
        <v>--</v>
      </c>
      <c r="I239" s="105">
        <v>80</v>
      </c>
      <c r="J239" s="105">
        <v>125</v>
      </c>
      <c r="K239" s="105">
        <v>0</v>
      </c>
      <c r="L239" s="105">
        <v>0</v>
      </c>
      <c r="M239" s="243">
        <f>ROUND(0, 1)</f>
        <v>0</v>
      </c>
      <c r="N239" s="242">
        <f>ROUND(0, 1)</f>
        <v>0</v>
      </c>
      <c r="O239" s="242">
        <f>ROUND(0, 1)</f>
        <v>0</v>
      </c>
      <c r="P239" s="242">
        <f>ROUND(0, 1)</f>
        <v>0</v>
      </c>
      <c r="Q239" s="105"/>
      <c r="R239" s="53" t="s">
        <v>5659</v>
      </c>
    </row>
    <row r="240" spans="1:18">
      <c r="A240" s="105" t="s">
        <v>5660</v>
      </c>
      <c r="B240" s="127">
        <f>ROUND(0.400000006, 3)</f>
        <v>0.4</v>
      </c>
      <c r="C240" s="105" t="str">
        <f>FIXED(100, 1)</f>
        <v>100.0</v>
      </c>
      <c r="D240" s="105" t="str">
        <f>IF(TRUE = TRUE, "Yes", "No")</f>
        <v>Yes</v>
      </c>
      <c r="E240" s="105" t="s">
        <v>5202</v>
      </c>
      <c r="F240" s="105"/>
      <c r="G240" s="105" t="str">
        <f>CHOOSE((0+1), "3", "1", "1")</f>
        <v>3</v>
      </c>
      <c r="H240" s="242" t="str">
        <f>CHOOSE((0+1), "--", "2", "3")</f>
        <v>--</v>
      </c>
      <c r="I240" s="105">
        <v>80</v>
      </c>
      <c r="J240" s="105">
        <v>125</v>
      </c>
      <c r="K240" s="105">
        <v>0</v>
      </c>
      <c r="L240" s="105">
        <v>0</v>
      </c>
      <c r="M240" s="243">
        <f>ROUND(0, 1)</f>
        <v>0</v>
      </c>
      <c r="N240" s="242">
        <f>ROUND(0, 1)</f>
        <v>0</v>
      </c>
      <c r="O240" s="242">
        <f>ROUND(0, 1)</f>
        <v>0</v>
      </c>
      <c r="P240" s="242">
        <f>ROUND(0, 1)</f>
        <v>0</v>
      </c>
      <c r="Q240" s="105"/>
      <c r="R240" s="53" t="s">
        <v>5661</v>
      </c>
    </row>
    <row r="241" spans="1:18">
      <c r="A241" s="105" t="s">
        <v>5662</v>
      </c>
      <c r="B241" s="127">
        <f>ROUND(0.400000006, 3)</f>
        <v>0.4</v>
      </c>
      <c r="C241" s="105" t="str">
        <f>FIXED(100, 1)</f>
        <v>100.0</v>
      </c>
      <c r="D241" s="105" t="str">
        <f>IF(TRUE = TRUE, "Yes", "No")</f>
        <v>Yes</v>
      </c>
      <c r="E241" s="105" t="s">
        <v>5202</v>
      </c>
      <c r="F241" s="105"/>
      <c r="G241" s="105" t="str">
        <f>CHOOSE((0+1), "3", "1", "1")</f>
        <v>3</v>
      </c>
      <c r="H241" s="242" t="str">
        <f>CHOOSE((0+1), "--", "2", "3")</f>
        <v>--</v>
      </c>
      <c r="I241" s="105">
        <v>80</v>
      </c>
      <c r="J241" s="105">
        <v>125</v>
      </c>
      <c r="K241" s="105">
        <v>0</v>
      </c>
      <c r="L241" s="105">
        <v>0</v>
      </c>
      <c r="M241" s="243">
        <f>ROUND(0, 1)</f>
        <v>0</v>
      </c>
      <c r="N241" s="242">
        <f>ROUND(0, 1)</f>
        <v>0</v>
      </c>
      <c r="O241" s="242">
        <f>ROUND(0, 1)</f>
        <v>0</v>
      </c>
      <c r="P241" s="242">
        <f>ROUND(0, 1)</f>
        <v>0</v>
      </c>
      <c r="Q241" s="105"/>
      <c r="R241" s="53" t="s">
        <v>5663</v>
      </c>
    </row>
    <row r="242" spans="1:18">
      <c r="A242" s="105" t="s">
        <v>5664</v>
      </c>
      <c r="B242" s="127">
        <f>ROUND(10, 3)</f>
        <v>10</v>
      </c>
      <c r="C242" s="105" t="str">
        <f>FIXED(100, 1)</f>
        <v>100.0</v>
      </c>
      <c r="D242" s="105" t="str">
        <f>IF(TRUE = TRUE, "Yes", "No")</f>
        <v>Yes</v>
      </c>
      <c r="E242" s="105" t="s">
        <v>5202</v>
      </c>
      <c r="F242" s="105"/>
      <c r="G242" s="105" t="str">
        <f>CHOOSE((0+1), "3", "1", "1")</f>
        <v>3</v>
      </c>
      <c r="H242" s="242" t="str">
        <f>CHOOSE((0+1), "--", "2", "3")</f>
        <v>--</v>
      </c>
      <c r="I242" s="105">
        <v>80</v>
      </c>
      <c r="J242" s="105">
        <v>125</v>
      </c>
      <c r="K242" s="105">
        <v>0</v>
      </c>
      <c r="L242" s="105">
        <v>0</v>
      </c>
      <c r="M242" s="243">
        <f>ROUND(0, 1)</f>
        <v>0</v>
      </c>
      <c r="N242" s="242">
        <f>ROUND(0, 1)</f>
        <v>0</v>
      </c>
      <c r="O242" s="242">
        <f>ROUND(0, 1)</f>
        <v>0</v>
      </c>
      <c r="P242" s="242">
        <f>ROUND(0, 1)</f>
        <v>0</v>
      </c>
      <c r="Q242" s="105"/>
      <c r="R242" s="53" t="s">
        <v>5665</v>
      </c>
    </row>
    <row r="243" spans="1:18">
      <c r="A243" s="105" t="s">
        <v>5666</v>
      </c>
      <c r="B243" s="127">
        <f>ROUND(10, 3)</f>
        <v>10</v>
      </c>
      <c r="C243" s="105" t="str">
        <f>FIXED(100, 1)</f>
        <v>100.0</v>
      </c>
      <c r="D243" s="105" t="str">
        <f>IF(TRUE = TRUE, "Yes", "No")</f>
        <v>Yes</v>
      </c>
      <c r="E243" s="105" t="s">
        <v>5202</v>
      </c>
      <c r="F243" s="105"/>
      <c r="G243" s="105" t="str">
        <f>CHOOSE((0+1), "3", "1", "1")</f>
        <v>3</v>
      </c>
      <c r="H243" s="242" t="str">
        <f>CHOOSE((0+1), "--", "2", "3")</f>
        <v>--</v>
      </c>
      <c r="I243" s="105">
        <v>80</v>
      </c>
      <c r="J243" s="105">
        <v>125</v>
      </c>
      <c r="K243" s="105">
        <v>0</v>
      </c>
      <c r="L243" s="105">
        <v>0</v>
      </c>
      <c r="M243" s="243">
        <f>ROUND(0, 1)</f>
        <v>0</v>
      </c>
      <c r="N243" s="242">
        <f>ROUND(0, 1)</f>
        <v>0</v>
      </c>
      <c r="O243" s="242">
        <f>ROUND(0, 1)</f>
        <v>0</v>
      </c>
      <c r="P243" s="242">
        <f>ROUND(0, 1)</f>
        <v>0</v>
      </c>
      <c r="Q243" s="105"/>
      <c r="R243" s="53" t="s">
        <v>5667</v>
      </c>
    </row>
    <row r="244" spans="1:18">
      <c r="A244" s="105" t="s">
        <v>5668</v>
      </c>
      <c r="B244" s="127">
        <f>ROUND(10, 3)</f>
        <v>10</v>
      </c>
      <c r="C244" s="105" t="str">
        <f>FIXED(100, 1)</f>
        <v>100.0</v>
      </c>
      <c r="D244" s="105" t="str">
        <f>IF(TRUE = TRUE, "Yes", "No")</f>
        <v>Yes</v>
      </c>
      <c r="E244" s="105" t="s">
        <v>5202</v>
      </c>
      <c r="F244" s="105"/>
      <c r="G244" s="105" t="str">
        <f>CHOOSE((0+1), "3", "1", "1")</f>
        <v>3</v>
      </c>
      <c r="H244" s="242" t="str">
        <f>CHOOSE((0+1), "--", "2", "3")</f>
        <v>--</v>
      </c>
      <c r="I244" s="105">
        <v>80</v>
      </c>
      <c r="J244" s="105">
        <v>125</v>
      </c>
      <c r="K244" s="105">
        <v>0</v>
      </c>
      <c r="L244" s="105">
        <v>0</v>
      </c>
      <c r="M244" s="243">
        <f>ROUND(0, 1)</f>
        <v>0</v>
      </c>
      <c r="N244" s="242">
        <f>ROUND(0, 1)</f>
        <v>0</v>
      </c>
      <c r="O244" s="242">
        <f>ROUND(0, 1)</f>
        <v>0</v>
      </c>
      <c r="P244" s="242">
        <f>ROUND(0, 1)</f>
        <v>0</v>
      </c>
      <c r="Q244" s="105"/>
      <c r="R244" s="53" t="s">
        <v>5669</v>
      </c>
    </row>
    <row r="245" spans="1:18">
      <c r="A245" s="105" t="s">
        <v>5670</v>
      </c>
      <c r="B245" s="127">
        <f>ROUND(10, 3)</f>
        <v>10</v>
      </c>
      <c r="C245" s="105" t="str">
        <f>FIXED(100, 1)</f>
        <v>100.0</v>
      </c>
      <c r="D245" s="105" t="str">
        <f>IF(TRUE = TRUE, "Yes", "No")</f>
        <v>Yes</v>
      </c>
      <c r="E245" s="105" t="s">
        <v>5202</v>
      </c>
      <c r="F245" s="105"/>
      <c r="G245" s="105" t="str">
        <f>CHOOSE((0+1), "3", "1", "1")</f>
        <v>3</v>
      </c>
      <c r="H245" s="242" t="str">
        <f>CHOOSE((0+1), "--", "2", "3")</f>
        <v>--</v>
      </c>
      <c r="I245" s="105">
        <v>80</v>
      </c>
      <c r="J245" s="105">
        <v>125</v>
      </c>
      <c r="K245" s="105">
        <v>0</v>
      </c>
      <c r="L245" s="105">
        <v>0</v>
      </c>
      <c r="M245" s="243">
        <f>ROUND(0, 1)</f>
        <v>0</v>
      </c>
      <c r="N245" s="242">
        <f>ROUND(0, 1)</f>
        <v>0</v>
      </c>
      <c r="O245" s="242">
        <f>ROUND(0, 1)</f>
        <v>0</v>
      </c>
      <c r="P245" s="242">
        <f>ROUND(0, 1)</f>
        <v>0</v>
      </c>
      <c r="Q245" s="105"/>
      <c r="R245" s="53" t="s">
        <v>5671</v>
      </c>
    </row>
    <row r="246" spans="1:18">
      <c r="A246" s="105" t="s">
        <v>5672</v>
      </c>
      <c r="B246" s="127">
        <f>ROUND(0.400000006, 3)</f>
        <v>0.4</v>
      </c>
      <c r="C246" s="105" t="str">
        <f>FIXED(100, 1)</f>
        <v>100.0</v>
      </c>
      <c r="D246" s="105" t="str">
        <f>IF(TRUE = TRUE, "Yes", "No")</f>
        <v>Yes</v>
      </c>
      <c r="E246" s="105" t="s">
        <v>5202</v>
      </c>
      <c r="F246" s="105"/>
      <c r="G246" s="105" t="str">
        <f>CHOOSE((0+1), "3", "1", "1")</f>
        <v>3</v>
      </c>
      <c r="H246" s="242" t="str">
        <f>CHOOSE((0+1), "--", "2", "3")</f>
        <v>--</v>
      </c>
      <c r="I246" s="105">
        <v>80</v>
      </c>
      <c r="J246" s="105">
        <v>125</v>
      </c>
      <c r="K246" s="105">
        <v>0</v>
      </c>
      <c r="L246" s="105">
        <v>0</v>
      </c>
      <c r="M246" s="243">
        <f>ROUND(0, 1)</f>
        <v>0</v>
      </c>
      <c r="N246" s="242">
        <f>ROUND(0, 1)</f>
        <v>0</v>
      </c>
      <c r="O246" s="242">
        <f>ROUND(0, 1)</f>
        <v>0</v>
      </c>
      <c r="P246" s="242">
        <f>ROUND(0, 1)</f>
        <v>0</v>
      </c>
      <c r="Q246" s="105"/>
      <c r="R246" s="53" t="s">
        <v>5673</v>
      </c>
    </row>
    <row r="247" spans="1:18">
      <c r="A247" s="105" t="s">
        <v>5674</v>
      </c>
      <c r="B247" s="127">
        <f>ROUND(0.400000006, 3)</f>
        <v>0.4</v>
      </c>
      <c r="C247" s="105" t="str">
        <f>FIXED(100, 1)</f>
        <v>100.0</v>
      </c>
      <c r="D247" s="105" t="str">
        <f>IF(TRUE = TRUE, "Yes", "No")</f>
        <v>Yes</v>
      </c>
      <c r="E247" s="105" t="s">
        <v>5202</v>
      </c>
      <c r="F247" s="105"/>
      <c r="G247" s="105" t="str">
        <f>CHOOSE((0+1), "3", "1", "1")</f>
        <v>3</v>
      </c>
      <c r="H247" s="242" t="str">
        <f>CHOOSE((0+1), "--", "2", "3")</f>
        <v>--</v>
      </c>
      <c r="I247" s="105">
        <v>80</v>
      </c>
      <c r="J247" s="105">
        <v>125</v>
      </c>
      <c r="K247" s="105">
        <v>0</v>
      </c>
      <c r="L247" s="105">
        <v>0</v>
      </c>
      <c r="M247" s="243">
        <f>ROUND(0, 1)</f>
        <v>0</v>
      </c>
      <c r="N247" s="242">
        <f>ROUND(0, 1)</f>
        <v>0</v>
      </c>
      <c r="O247" s="242">
        <f>ROUND(0, 1)</f>
        <v>0</v>
      </c>
      <c r="P247" s="242">
        <f>ROUND(0, 1)</f>
        <v>0</v>
      </c>
      <c r="Q247" s="105"/>
      <c r="R247" s="53" t="s">
        <v>5675</v>
      </c>
    </row>
    <row r="248" spans="1:18">
      <c r="A248" s="105" t="s">
        <v>5676</v>
      </c>
      <c r="B248" s="127">
        <f>ROUND(10, 3)</f>
        <v>10</v>
      </c>
      <c r="C248" s="105" t="str">
        <f>FIXED(100, 1)</f>
        <v>100.0</v>
      </c>
      <c r="D248" s="105" t="str">
        <f>IF(TRUE = TRUE, "Yes", "No")</f>
        <v>Yes</v>
      </c>
      <c r="E248" s="105" t="s">
        <v>5202</v>
      </c>
      <c r="F248" s="105"/>
      <c r="G248" s="105" t="str">
        <f>CHOOSE((0+1), "3", "1", "1")</f>
        <v>3</v>
      </c>
      <c r="H248" s="242" t="str">
        <f>CHOOSE((0+1), "--", "2", "3")</f>
        <v>--</v>
      </c>
      <c r="I248" s="105">
        <v>80</v>
      </c>
      <c r="J248" s="105">
        <v>125</v>
      </c>
      <c r="K248" s="105">
        <v>0</v>
      </c>
      <c r="L248" s="105">
        <v>0</v>
      </c>
      <c r="M248" s="243">
        <f>ROUND(0, 1)</f>
        <v>0</v>
      </c>
      <c r="N248" s="242">
        <f>ROUND(0, 1)</f>
        <v>0</v>
      </c>
      <c r="O248" s="242">
        <f>ROUND(0, 1)</f>
        <v>0</v>
      </c>
      <c r="P248" s="242">
        <f>ROUND(0, 1)</f>
        <v>0</v>
      </c>
      <c r="Q248" s="105"/>
      <c r="R248" s="53" t="s">
        <v>5677</v>
      </c>
    </row>
    <row r="249" spans="1:18">
      <c r="A249" s="105" t="s">
        <v>5678</v>
      </c>
      <c r="B249" s="127">
        <f>ROUND(10, 3)</f>
        <v>10</v>
      </c>
      <c r="C249" s="105" t="str">
        <f>FIXED(100, 1)</f>
        <v>100.0</v>
      </c>
      <c r="D249" s="105" t="str">
        <f>IF(TRUE = TRUE, "Yes", "No")</f>
        <v>Yes</v>
      </c>
      <c r="E249" s="105" t="s">
        <v>5202</v>
      </c>
      <c r="F249" s="105"/>
      <c r="G249" s="105" t="str">
        <f>CHOOSE((0+1), "3", "1", "1")</f>
        <v>3</v>
      </c>
      <c r="H249" s="242" t="str">
        <f>CHOOSE((0+1), "--", "2", "3")</f>
        <v>--</v>
      </c>
      <c r="I249" s="105">
        <v>80</v>
      </c>
      <c r="J249" s="105">
        <v>125</v>
      </c>
      <c r="K249" s="105">
        <v>0</v>
      </c>
      <c r="L249" s="105">
        <v>0</v>
      </c>
      <c r="M249" s="243">
        <f>ROUND(0, 1)</f>
        <v>0</v>
      </c>
      <c r="N249" s="242">
        <f>ROUND(0, 1)</f>
        <v>0</v>
      </c>
      <c r="O249" s="242">
        <f>ROUND(0, 1)</f>
        <v>0</v>
      </c>
      <c r="P249" s="242">
        <f>ROUND(0, 1)</f>
        <v>0</v>
      </c>
      <c r="Q249" s="105"/>
      <c r="R249" s="53" t="s">
        <v>5679</v>
      </c>
    </row>
    <row r="250" spans="1:18">
      <c r="A250" s="105" t="s">
        <v>5680</v>
      </c>
      <c r="B250" s="127">
        <f>ROUND(0.400000006, 3)</f>
        <v>0.4</v>
      </c>
      <c r="C250" s="105" t="str">
        <f>FIXED(100, 1)</f>
        <v>100.0</v>
      </c>
      <c r="D250" s="105" t="str">
        <f>IF(TRUE = TRUE, "Yes", "No")</f>
        <v>Yes</v>
      </c>
      <c r="E250" s="105" t="s">
        <v>5202</v>
      </c>
      <c r="F250" s="105"/>
      <c r="G250" s="105" t="str">
        <f>CHOOSE((0+1), "3", "1", "1")</f>
        <v>3</v>
      </c>
      <c r="H250" s="242" t="str">
        <f>CHOOSE((0+1), "--", "2", "3")</f>
        <v>--</v>
      </c>
      <c r="I250" s="105">
        <v>80</v>
      </c>
      <c r="J250" s="105">
        <v>125</v>
      </c>
      <c r="K250" s="105">
        <v>0</v>
      </c>
      <c r="L250" s="105">
        <v>0</v>
      </c>
      <c r="M250" s="243">
        <f>ROUND(0, 1)</f>
        <v>0</v>
      </c>
      <c r="N250" s="242">
        <f>ROUND(0, 1)</f>
        <v>0</v>
      </c>
      <c r="O250" s="242">
        <f>ROUND(0, 1)</f>
        <v>0</v>
      </c>
      <c r="P250" s="242">
        <f>ROUND(0, 1)</f>
        <v>0</v>
      </c>
      <c r="Q250" s="105"/>
      <c r="R250" s="53" t="s">
        <v>5681</v>
      </c>
    </row>
    <row r="251" spans="1:18">
      <c r="A251" s="105" t="s">
        <v>5682</v>
      </c>
      <c r="B251" s="127">
        <f>ROUND(0.400000006, 3)</f>
        <v>0.4</v>
      </c>
      <c r="C251" s="105" t="str">
        <f>FIXED(100, 1)</f>
        <v>100.0</v>
      </c>
      <c r="D251" s="105" t="str">
        <f>IF(TRUE = TRUE, "Yes", "No")</f>
        <v>Yes</v>
      </c>
      <c r="E251" s="105" t="s">
        <v>5202</v>
      </c>
      <c r="F251" s="105"/>
      <c r="G251" s="105" t="str">
        <f>CHOOSE((0+1), "3", "1", "1")</f>
        <v>3</v>
      </c>
      <c r="H251" s="242" t="str">
        <f>CHOOSE((0+1), "--", "2", "3")</f>
        <v>--</v>
      </c>
      <c r="I251" s="105">
        <v>80</v>
      </c>
      <c r="J251" s="105">
        <v>125</v>
      </c>
      <c r="K251" s="105">
        <v>0</v>
      </c>
      <c r="L251" s="105">
        <v>0</v>
      </c>
      <c r="M251" s="243">
        <f>ROUND(0, 1)</f>
        <v>0</v>
      </c>
      <c r="N251" s="242">
        <f>ROUND(0, 1)</f>
        <v>0</v>
      </c>
      <c r="O251" s="242">
        <f>ROUND(0, 1)</f>
        <v>0</v>
      </c>
      <c r="P251" s="242">
        <f>ROUND(0, 1)</f>
        <v>0</v>
      </c>
      <c r="Q251" s="105"/>
      <c r="R251" s="53" t="s">
        <v>5683</v>
      </c>
    </row>
    <row r="252" spans="1:18">
      <c r="A252" s="105" t="s">
        <v>5684</v>
      </c>
      <c r="B252" s="127">
        <f>ROUND(10, 3)</f>
        <v>10</v>
      </c>
      <c r="C252" s="105" t="str">
        <f>FIXED(100, 1)</f>
        <v>100.0</v>
      </c>
      <c r="D252" s="105" t="str">
        <f>IF(TRUE = TRUE, "Yes", "No")</f>
        <v>Yes</v>
      </c>
      <c r="E252" s="105" t="s">
        <v>5202</v>
      </c>
      <c r="F252" s="105"/>
      <c r="G252" s="105" t="str">
        <f>CHOOSE((0+1), "3", "1", "1")</f>
        <v>3</v>
      </c>
      <c r="H252" s="242" t="str">
        <f>CHOOSE((0+1), "--", "2", "3")</f>
        <v>--</v>
      </c>
      <c r="I252" s="105">
        <v>80</v>
      </c>
      <c r="J252" s="105">
        <v>125</v>
      </c>
      <c r="K252" s="105">
        <v>0</v>
      </c>
      <c r="L252" s="105">
        <v>0</v>
      </c>
      <c r="M252" s="243">
        <f>ROUND(0, 1)</f>
        <v>0</v>
      </c>
      <c r="N252" s="242">
        <f>ROUND(0, 1)</f>
        <v>0</v>
      </c>
      <c r="O252" s="242">
        <f>ROUND(0, 1)</f>
        <v>0</v>
      </c>
      <c r="P252" s="242">
        <f>ROUND(0, 1)</f>
        <v>0</v>
      </c>
      <c r="Q252" s="105"/>
      <c r="R252" s="53" t="s">
        <v>5685</v>
      </c>
    </row>
    <row r="253" spans="1:18">
      <c r="A253" s="105" t="s">
        <v>5686</v>
      </c>
      <c r="B253" s="127">
        <f>ROUND(10, 3)</f>
        <v>10</v>
      </c>
      <c r="C253" s="105" t="str">
        <f>FIXED(100, 1)</f>
        <v>100.0</v>
      </c>
      <c r="D253" s="105" t="str">
        <f>IF(TRUE = TRUE, "Yes", "No")</f>
        <v>Yes</v>
      </c>
      <c r="E253" s="105" t="s">
        <v>5202</v>
      </c>
      <c r="F253" s="105"/>
      <c r="G253" s="105" t="str">
        <f>CHOOSE((0+1), "3", "1", "1")</f>
        <v>3</v>
      </c>
      <c r="H253" s="242" t="str">
        <f>CHOOSE((0+1), "--", "2", "3")</f>
        <v>--</v>
      </c>
      <c r="I253" s="105">
        <v>80</v>
      </c>
      <c r="J253" s="105">
        <v>125</v>
      </c>
      <c r="K253" s="105">
        <v>0</v>
      </c>
      <c r="L253" s="105">
        <v>0</v>
      </c>
      <c r="M253" s="243">
        <f>ROUND(0, 1)</f>
        <v>0</v>
      </c>
      <c r="N253" s="242">
        <f>ROUND(0, 1)</f>
        <v>0</v>
      </c>
      <c r="O253" s="242">
        <f>ROUND(0, 1)</f>
        <v>0</v>
      </c>
      <c r="P253" s="242">
        <f>ROUND(0, 1)</f>
        <v>0</v>
      </c>
      <c r="Q253" s="105"/>
      <c r="R253" s="53" t="s">
        <v>5687</v>
      </c>
    </row>
    <row r="254" spans="1:18">
      <c r="A254" s="105" t="s">
        <v>5688</v>
      </c>
      <c r="B254" s="127">
        <f>ROUND(10, 3)</f>
        <v>10</v>
      </c>
      <c r="C254" s="105" t="str">
        <f>FIXED(100, 1)</f>
        <v>100.0</v>
      </c>
      <c r="D254" s="105" t="str">
        <f>IF(TRUE = TRUE, "Yes", "No")</f>
        <v>Yes</v>
      </c>
      <c r="E254" s="105" t="s">
        <v>5202</v>
      </c>
      <c r="F254" s="105"/>
      <c r="G254" s="105" t="str">
        <f>CHOOSE((0+1), "3", "1", "1")</f>
        <v>3</v>
      </c>
      <c r="H254" s="242" t="str">
        <f>CHOOSE((0+1), "--", "2", "3")</f>
        <v>--</v>
      </c>
      <c r="I254" s="105">
        <v>80</v>
      </c>
      <c r="J254" s="105">
        <v>125</v>
      </c>
      <c r="K254" s="105">
        <v>0</v>
      </c>
      <c r="L254" s="105">
        <v>0</v>
      </c>
      <c r="M254" s="243">
        <f>ROUND(0, 1)</f>
        <v>0</v>
      </c>
      <c r="N254" s="242">
        <f>ROUND(0, 1)</f>
        <v>0</v>
      </c>
      <c r="O254" s="242">
        <f>ROUND(0, 1)</f>
        <v>0</v>
      </c>
      <c r="P254" s="242">
        <f>ROUND(0, 1)</f>
        <v>0</v>
      </c>
      <c r="Q254" s="105"/>
      <c r="R254" s="53" t="s">
        <v>5689</v>
      </c>
    </row>
    <row r="255" spans="1:18">
      <c r="A255" s="105" t="s">
        <v>5690</v>
      </c>
      <c r="B255" s="127">
        <f>ROUND(10, 3)</f>
        <v>10</v>
      </c>
      <c r="C255" s="105" t="str">
        <f>FIXED(100, 1)</f>
        <v>100.0</v>
      </c>
      <c r="D255" s="105" t="str">
        <f>IF(TRUE = TRUE, "Yes", "No")</f>
        <v>Yes</v>
      </c>
      <c r="E255" s="105" t="s">
        <v>5202</v>
      </c>
      <c r="F255" s="105"/>
      <c r="G255" s="105" t="str">
        <f>CHOOSE((0+1), "3", "1", "1")</f>
        <v>3</v>
      </c>
      <c r="H255" s="242" t="str">
        <f>CHOOSE((0+1), "--", "2", "3")</f>
        <v>--</v>
      </c>
      <c r="I255" s="105">
        <v>80</v>
      </c>
      <c r="J255" s="105">
        <v>125</v>
      </c>
      <c r="K255" s="105">
        <v>0</v>
      </c>
      <c r="L255" s="105">
        <v>0</v>
      </c>
      <c r="M255" s="243">
        <f>ROUND(0, 1)</f>
        <v>0</v>
      </c>
      <c r="N255" s="242">
        <f>ROUND(0, 1)</f>
        <v>0</v>
      </c>
      <c r="O255" s="242">
        <f>ROUND(0, 1)</f>
        <v>0</v>
      </c>
      <c r="P255" s="242">
        <f>ROUND(0, 1)</f>
        <v>0</v>
      </c>
      <c r="Q255" s="105"/>
      <c r="R255" s="53" t="s">
        <v>5691</v>
      </c>
    </row>
    <row r="256" spans="1:18">
      <c r="A256" s="105" t="s">
        <v>5692</v>
      </c>
      <c r="B256" s="127">
        <f>ROUND(10, 3)</f>
        <v>10</v>
      </c>
      <c r="C256" s="105" t="str">
        <f>FIXED(100, 1)</f>
        <v>100.0</v>
      </c>
      <c r="D256" s="105" t="str">
        <f>IF(TRUE = TRUE, "Yes", "No")</f>
        <v>Yes</v>
      </c>
      <c r="E256" s="105" t="s">
        <v>5202</v>
      </c>
      <c r="F256" s="105"/>
      <c r="G256" s="105" t="str">
        <f>CHOOSE((0+1), "3", "1", "1")</f>
        <v>3</v>
      </c>
      <c r="H256" s="242" t="str">
        <f>CHOOSE((0+1), "--", "2", "3")</f>
        <v>--</v>
      </c>
      <c r="I256" s="105">
        <v>80</v>
      </c>
      <c r="J256" s="105">
        <v>125</v>
      </c>
      <c r="K256" s="105">
        <v>0</v>
      </c>
      <c r="L256" s="105">
        <v>0</v>
      </c>
      <c r="M256" s="243">
        <f>ROUND(0, 1)</f>
        <v>0</v>
      </c>
      <c r="N256" s="242">
        <f>ROUND(0, 1)</f>
        <v>0</v>
      </c>
      <c r="O256" s="242">
        <f>ROUND(0, 1)</f>
        <v>0</v>
      </c>
      <c r="P256" s="242">
        <f>ROUND(0, 1)</f>
        <v>0</v>
      </c>
      <c r="Q256" s="105"/>
      <c r="R256" s="53" t="s">
        <v>5693</v>
      </c>
    </row>
    <row r="257" spans="1:18">
      <c r="A257" s="105" t="s">
        <v>5694</v>
      </c>
      <c r="B257" s="127">
        <f>ROUND(10, 3)</f>
        <v>10</v>
      </c>
      <c r="C257" s="105" t="str">
        <f>FIXED(100, 1)</f>
        <v>100.0</v>
      </c>
      <c r="D257" s="105" t="str">
        <f>IF(TRUE = TRUE, "Yes", "No")</f>
        <v>Yes</v>
      </c>
      <c r="E257" s="105" t="s">
        <v>5202</v>
      </c>
      <c r="F257" s="105"/>
      <c r="G257" s="105" t="str">
        <f>CHOOSE((0+1), "3", "1", "1")</f>
        <v>3</v>
      </c>
      <c r="H257" s="242" t="str">
        <f>CHOOSE((0+1), "--", "2", "3")</f>
        <v>--</v>
      </c>
      <c r="I257" s="105">
        <v>80</v>
      </c>
      <c r="J257" s="105">
        <v>125</v>
      </c>
      <c r="K257" s="105">
        <v>0</v>
      </c>
      <c r="L257" s="105">
        <v>0</v>
      </c>
      <c r="M257" s="243">
        <f>ROUND(0, 1)</f>
        <v>0</v>
      </c>
      <c r="N257" s="242">
        <f>ROUND(0, 1)</f>
        <v>0</v>
      </c>
      <c r="O257" s="242">
        <f>ROUND(0, 1)</f>
        <v>0</v>
      </c>
      <c r="P257" s="242">
        <f>ROUND(0, 1)</f>
        <v>0</v>
      </c>
      <c r="Q257" s="105"/>
      <c r="R257" s="53" t="s">
        <v>5695</v>
      </c>
    </row>
    <row r="258" spans="1:18">
      <c r="A258" s="105" t="s">
        <v>5696</v>
      </c>
      <c r="B258" s="127">
        <f>ROUND(10, 3)</f>
        <v>10</v>
      </c>
      <c r="C258" s="105" t="str">
        <f>FIXED(100, 1)</f>
        <v>100.0</v>
      </c>
      <c r="D258" s="105" t="str">
        <f>IF(TRUE = TRUE, "Yes", "No")</f>
        <v>Yes</v>
      </c>
      <c r="E258" s="105" t="s">
        <v>5202</v>
      </c>
      <c r="F258" s="105"/>
      <c r="G258" s="105" t="str">
        <f>CHOOSE((0+1), "3", "1", "1")</f>
        <v>3</v>
      </c>
      <c r="H258" s="242" t="str">
        <f>CHOOSE((0+1), "--", "2", "3")</f>
        <v>--</v>
      </c>
      <c r="I258" s="105">
        <v>80</v>
      </c>
      <c r="J258" s="105">
        <v>125</v>
      </c>
      <c r="K258" s="105">
        <v>0</v>
      </c>
      <c r="L258" s="105">
        <v>0</v>
      </c>
      <c r="M258" s="243">
        <f>ROUND(0, 1)</f>
        <v>0</v>
      </c>
      <c r="N258" s="242">
        <f>ROUND(0, 1)</f>
        <v>0</v>
      </c>
      <c r="O258" s="242">
        <f>ROUND(0, 1)</f>
        <v>0</v>
      </c>
      <c r="P258" s="242">
        <f>ROUND(0, 1)</f>
        <v>0</v>
      </c>
      <c r="Q258" s="105"/>
      <c r="R258" s="53" t="s">
        <v>5697</v>
      </c>
    </row>
    <row r="259" spans="1:18">
      <c r="A259" s="105" t="s">
        <v>5698</v>
      </c>
      <c r="B259" s="127">
        <f>ROUND(10, 3)</f>
        <v>10</v>
      </c>
      <c r="C259" s="105" t="str">
        <f>FIXED(100, 1)</f>
        <v>100.0</v>
      </c>
      <c r="D259" s="105" t="str">
        <f>IF(TRUE = TRUE, "Yes", "No")</f>
        <v>Yes</v>
      </c>
      <c r="E259" s="105" t="s">
        <v>5202</v>
      </c>
      <c r="F259" s="105"/>
      <c r="G259" s="105" t="str">
        <f>CHOOSE((0+1), "3", "1", "1")</f>
        <v>3</v>
      </c>
      <c r="H259" s="242" t="str">
        <f>CHOOSE((0+1), "--", "2", "3")</f>
        <v>--</v>
      </c>
      <c r="I259" s="105">
        <v>80</v>
      </c>
      <c r="J259" s="105">
        <v>125</v>
      </c>
      <c r="K259" s="105">
        <v>0</v>
      </c>
      <c r="L259" s="105">
        <v>0</v>
      </c>
      <c r="M259" s="243">
        <f>ROUND(0, 1)</f>
        <v>0</v>
      </c>
      <c r="N259" s="242">
        <f>ROUND(0, 1)</f>
        <v>0</v>
      </c>
      <c r="O259" s="242">
        <f>ROUND(0, 1)</f>
        <v>0</v>
      </c>
      <c r="P259" s="242">
        <f>ROUND(0, 1)</f>
        <v>0</v>
      </c>
      <c r="Q259" s="105"/>
      <c r="R259" s="53" t="s">
        <v>5699</v>
      </c>
    </row>
    <row r="260" spans="1:18">
      <c r="A260" s="105" t="s">
        <v>5700</v>
      </c>
      <c r="B260" s="127">
        <f>ROUND(10, 3)</f>
        <v>10</v>
      </c>
      <c r="C260" s="105" t="str">
        <f>FIXED(100, 1)</f>
        <v>100.0</v>
      </c>
      <c r="D260" s="105" t="str">
        <f>IF(TRUE = TRUE, "Yes", "No")</f>
        <v>Yes</v>
      </c>
      <c r="E260" s="105" t="s">
        <v>5202</v>
      </c>
      <c r="F260" s="105"/>
      <c r="G260" s="105" t="str">
        <f>CHOOSE((0+1), "3", "1", "1")</f>
        <v>3</v>
      </c>
      <c r="H260" s="242" t="str">
        <f>CHOOSE((0+1), "--", "2", "3")</f>
        <v>--</v>
      </c>
      <c r="I260" s="105">
        <v>80</v>
      </c>
      <c r="J260" s="105">
        <v>125</v>
      </c>
      <c r="K260" s="105">
        <v>0</v>
      </c>
      <c r="L260" s="105">
        <v>0</v>
      </c>
      <c r="M260" s="243">
        <f>ROUND(0, 1)</f>
        <v>0</v>
      </c>
      <c r="N260" s="242">
        <f>ROUND(0, 1)</f>
        <v>0</v>
      </c>
      <c r="O260" s="242">
        <f>ROUND(0, 1)</f>
        <v>0</v>
      </c>
      <c r="P260" s="242">
        <f>ROUND(0, 1)</f>
        <v>0</v>
      </c>
      <c r="Q260" s="105"/>
      <c r="R260" s="53" t="s">
        <v>5701</v>
      </c>
    </row>
    <row r="261" spans="1:18">
      <c r="A261" s="105" t="s">
        <v>5702</v>
      </c>
      <c r="B261" s="127">
        <f>ROUND(10, 3)</f>
        <v>10</v>
      </c>
      <c r="C261" s="105" t="str">
        <f>FIXED(100, 1)</f>
        <v>100.0</v>
      </c>
      <c r="D261" s="105" t="str">
        <f>IF(TRUE = TRUE, "Yes", "No")</f>
        <v>Yes</v>
      </c>
      <c r="E261" s="105" t="s">
        <v>5202</v>
      </c>
      <c r="F261" s="105"/>
      <c r="G261" s="105" t="str">
        <f>CHOOSE((0+1), "3", "1", "1")</f>
        <v>3</v>
      </c>
      <c r="H261" s="242" t="str">
        <f>CHOOSE((0+1), "--", "2", "3")</f>
        <v>--</v>
      </c>
      <c r="I261" s="105">
        <v>80</v>
      </c>
      <c r="J261" s="105">
        <v>125</v>
      </c>
      <c r="K261" s="105">
        <v>0</v>
      </c>
      <c r="L261" s="105">
        <v>0</v>
      </c>
      <c r="M261" s="243">
        <f>ROUND(0, 1)</f>
        <v>0</v>
      </c>
      <c r="N261" s="242">
        <f>ROUND(0, 1)</f>
        <v>0</v>
      </c>
      <c r="O261" s="242">
        <f>ROUND(0, 1)</f>
        <v>0</v>
      </c>
      <c r="P261" s="242">
        <f>ROUND(0, 1)</f>
        <v>0</v>
      </c>
      <c r="Q261" s="105"/>
      <c r="R261" s="53" t="s">
        <v>5703</v>
      </c>
    </row>
    <row r="262" spans="1:18">
      <c r="A262" s="105" t="s">
        <v>5704</v>
      </c>
      <c r="B262" s="127">
        <f>ROUND(10, 3)</f>
        <v>10</v>
      </c>
      <c r="C262" s="105" t="str">
        <f>FIXED(100, 1)</f>
        <v>100.0</v>
      </c>
      <c r="D262" s="105" t="str">
        <f>IF(TRUE = TRUE, "Yes", "No")</f>
        <v>Yes</v>
      </c>
      <c r="E262" s="105" t="s">
        <v>5202</v>
      </c>
      <c r="F262" s="105"/>
      <c r="G262" s="105" t="str">
        <f>CHOOSE((0+1), "3", "1", "1")</f>
        <v>3</v>
      </c>
      <c r="H262" s="242" t="str">
        <f>CHOOSE((0+1), "--", "2", "3")</f>
        <v>--</v>
      </c>
      <c r="I262" s="105">
        <v>80</v>
      </c>
      <c r="J262" s="105">
        <v>125</v>
      </c>
      <c r="K262" s="105">
        <v>0</v>
      </c>
      <c r="L262" s="105">
        <v>0</v>
      </c>
      <c r="M262" s="243">
        <f>ROUND(0, 1)</f>
        <v>0</v>
      </c>
      <c r="N262" s="242">
        <f>ROUND(0, 1)</f>
        <v>0</v>
      </c>
      <c r="O262" s="242">
        <f>ROUND(0, 1)</f>
        <v>0</v>
      </c>
      <c r="P262" s="242">
        <f>ROUND(0, 1)</f>
        <v>0</v>
      </c>
      <c r="Q262" s="105"/>
      <c r="R262" s="53" t="s">
        <v>5705</v>
      </c>
    </row>
    <row r="263" spans="1:18">
      <c r="A263" s="105" t="s">
        <v>5706</v>
      </c>
      <c r="B263" s="127">
        <f>ROUND(10, 3)</f>
        <v>10</v>
      </c>
      <c r="C263" s="105" t="str">
        <f>FIXED(100, 1)</f>
        <v>100.0</v>
      </c>
      <c r="D263" s="105" t="str">
        <f>IF(TRUE = TRUE, "Yes", "No")</f>
        <v>Yes</v>
      </c>
      <c r="E263" s="105" t="s">
        <v>5202</v>
      </c>
      <c r="F263" s="105"/>
      <c r="G263" s="105" t="str">
        <f>CHOOSE((0+1), "3", "1", "1")</f>
        <v>3</v>
      </c>
      <c r="H263" s="242" t="str">
        <f>CHOOSE((0+1), "--", "2", "3")</f>
        <v>--</v>
      </c>
      <c r="I263" s="105">
        <v>80</v>
      </c>
      <c r="J263" s="105">
        <v>125</v>
      </c>
      <c r="K263" s="105">
        <v>0</v>
      </c>
      <c r="L263" s="105">
        <v>0</v>
      </c>
      <c r="M263" s="243">
        <f>ROUND(0, 1)</f>
        <v>0</v>
      </c>
      <c r="N263" s="242">
        <f>ROUND(0, 1)</f>
        <v>0</v>
      </c>
      <c r="O263" s="242">
        <f>ROUND(0, 1)</f>
        <v>0</v>
      </c>
      <c r="P263" s="242">
        <f>ROUND(0, 1)</f>
        <v>0</v>
      </c>
      <c r="Q263" s="105"/>
      <c r="R263" s="53" t="s">
        <v>5707</v>
      </c>
    </row>
    <row r="264" spans="1:18">
      <c r="A264" s="105" t="s">
        <v>5708</v>
      </c>
      <c r="B264" s="127">
        <f>ROUND(10, 3)</f>
        <v>10</v>
      </c>
      <c r="C264" s="105" t="str">
        <f>FIXED(100, 1)</f>
        <v>100.0</v>
      </c>
      <c r="D264" s="105" t="str">
        <f>IF(TRUE = TRUE, "Yes", "No")</f>
        <v>Yes</v>
      </c>
      <c r="E264" s="105" t="s">
        <v>5202</v>
      </c>
      <c r="F264" s="105"/>
      <c r="G264" s="105" t="str">
        <f>CHOOSE((0+1), "3", "1", "1")</f>
        <v>3</v>
      </c>
      <c r="H264" s="242" t="str">
        <f>CHOOSE((0+1), "--", "2", "3")</f>
        <v>--</v>
      </c>
      <c r="I264" s="105">
        <v>80</v>
      </c>
      <c r="J264" s="105">
        <v>125</v>
      </c>
      <c r="K264" s="105">
        <v>0</v>
      </c>
      <c r="L264" s="105">
        <v>0</v>
      </c>
      <c r="M264" s="243">
        <f>ROUND(0, 1)</f>
        <v>0</v>
      </c>
      <c r="N264" s="242">
        <f>ROUND(0, 1)</f>
        <v>0</v>
      </c>
      <c r="O264" s="242">
        <f>ROUND(0, 1)</f>
        <v>0</v>
      </c>
      <c r="P264" s="242">
        <f>ROUND(0, 1)</f>
        <v>0</v>
      </c>
      <c r="Q264" s="105"/>
      <c r="R264" s="53" t="s">
        <v>5709</v>
      </c>
    </row>
    <row r="265" spans="1:18">
      <c r="A265" s="105" t="s">
        <v>5710</v>
      </c>
      <c r="B265" s="127">
        <f>ROUND(10, 3)</f>
        <v>10</v>
      </c>
      <c r="C265" s="105" t="str">
        <f>FIXED(100, 1)</f>
        <v>100.0</v>
      </c>
      <c r="D265" s="105" t="str">
        <f>IF(TRUE = TRUE, "Yes", "No")</f>
        <v>Yes</v>
      </c>
      <c r="E265" s="105" t="s">
        <v>5202</v>
      </c>
      <c r="F265" s="105"/>
      <c r="G265" s="105" t="str">
        <f>CHOOSE((0+1), "3", "1", "1")</f>
        <v>3</v>
      </c>
      <c r="H265" s="242" t="str">
        <f>CHOOSE((0+1), "--", "2", "3")</f>
        <v>--</v>
      </c>
      <c r="I265" s="105">
        <v>80</v>
      </c>
      <c r="J265" s="105">
        <v>125</v>
      </c>
      <c r="K265" s="105">
        <v>0</v>
      </c>
      <c r="L265" s="105">
        <v>0</v>
      </c>
      <c r="M265" s="243">
        <f>ROUND(0, 1)</f>
        <v>0</v>
      </c>
      <c r="N265" s="242">
        <f>ROUND(0, 1)</f>
        <v>0</v>
      </c>
      <c r="O265" s="242">
        <f>ROUND(0, 1)</f>
        <v>0</v>
      </c>
      <c r="P265" s="242">
        <f>ROUND(0, 1)</f>
        <v>0</v>
      </c>
      <c r="Q265" s="105"/>
      <c r="R265" s="53" t="s">
        <v>5711</v>
      </c>
    </row>
    <row r="266" spans="1:18">
      <c r="A266" s="105" t="s">
        <v>5712</v>
      </c>
      <c r="B266" s="127">
        <f>ROUND(10, 3)</f>
        <v>10</v>
      </c>
      <c r="C266" s="105" t="str">
        <f>FIXED(100, 1)</f>
        <v>100.0</v>
      </c>
      <c r="D266" s="105" t="str">
        <f>IF(TRUE = TRUE, "Yes", "No")</f>
        <v>Yes</v>
      </c>
      <c r="E266" s="105" t="s">
        <v>5202</v>
      </c>
      <c r="F266" s="105"/>
      <c r="G266" s="105" t="str">
        <f>CHOOSE((0+1), "3", "1", "1")</f>
        <v>3</v>
      </c>
      <c r="H266" s="242" t="str">
        <f>CHOOSE((0+1), "--", "2", "3")</f>
        <v>--</v>
      </c>
      <c r="I266" s="105">
        <v>80</v>
      </c>
      <c r="J266" s="105">
        <v>125</v>
      </c>
      <c r="K266" s="105">
        <v>0</v>
      </c>
      <c r="L266" s="105">
        <v>0</v>
      </c>
      <c r="M266" s="243">
        <f>ROUND(0, 1)</f>
        <v>0</v>
      </c>
      <c r="N266" s="242">
        <f>ROUND(0, 1)</f>
        <v>0</v>
      </c>
      <c r="O266" s="242">
        <f>ROUND(0, 1)</f>
        <v>0</v>
      </c>
      <c r="P266" s="242">
        <f>ROUND(0, 1)</f>
        <v>0</v>
      </c>
      <c r="Q266" s="105"/>
      <c r="R266" s="53" t="s">
        <v>5713</v>
      </c>
    </row>
    <row r="267" spans="1:18">
      <c r="A267" s="105" t="s">
        <v>5714</v>
      </c>
      <c r="B267" s="127">
        <f>ROUND(0.400000006, 3)</f>
        <v>0.4</v>
      </c>
      <c r="C267" s="105" t="str">
        <f>FIXED(100, 1)</f>
        <v>100.0</v>
      </c>
      <c r="D267" s="105" t="str">
        <f>IF(TRUE = TRUE, "Yes", "No")</f>
        <v>Yes</v>
      </c>
      <c r="E267" s="105" t="s">
        <v>5202</v>
      </c>
      <c r="F267" s="105"/>
      <c r="G267" s="105" t="str">
        <f>CHOOSE((0+1), "3", "1", "1")</f>
        <v>3</v>
      </c>
      <c r="H267" s="242" t="str">
        <f>CHOOSE((0+1), "--", "2", "3")</f>
        <v>--</v>
      </c>
      <c r="I267" s="105">
        <v>80</v>
      </c>
      <c r="J267" s="105">
        <v>125</v>
      </c>
      <c r="K267" s="105">
        <v>0</v>
      </c>
      <c r="L267" s="105">
        <v>0</v>
      </c>
      <c r="M267" s="243">
        <f>ROUND(0, 1)</f>
        <v>0</v>
      </c>
      <c r="N267" s="242">
        <f>ROUND(0, 1)</f>
        <v>0</v>
      </c>
      <c r="O267" s="242">
        <f>ROUND(0, 1)</f>
        <v>0</v>
      </c>
      <c r="P267" s="242">
        <f>ROUND(0, 1)</f>
        <v>0</v>
      </c>
      <c r="Q267" s="105"/>
      <c r="R267" s="53" t="s">
        <v>5715</v>
      </c>
    </row>
    <row r="268" spans="1:18">
      <c r="A268" s="105" t="s">
        <v>5716</v>
      </c>
      <c r="B268" s="127">
        <f>ROUND(0.400000006, 3)</f>
        <v>0.4</v>
      </c>
      <c r="C268" s="105" t="str">
        <f>FIXED(100, 1)</f>
        <v>100.0</v>
      </c>
      <c r="D268" s="105" t="str">
        <f>IF(TRUE = TRUE, "Yes", "No")</f>
        <v>Yes</v>
      </c>
      <c r="E268" s="105" t="s">
        <v>5202</v>
      </c>
      <c r="F268" s="105"/>
      <c r="G268" s="105" t="str">
        <f>CHOOSE((0+1), "3", "1", "1")</f>
        <v>3</v>
      </c>
      <c r="H268" s="242" t="str">
        <f>CHOOSE((0+1), "--", "2", "3")</f>
        <v>--</v>
      </c>
      <c r="I268" s="105">
        <v>80</v>
      </c>
      <c r="J268" s="105">
        <v>125</v>
      </c>
      <c r="K268" s="105">
        <v>0</v>
      </c>
      <c r="L268" s="105">
        <v>0</v>
      </c>
      <c r="M268" s="243">
        <f>ROUND(0, 1)</f>
        <v>0</v>
      </c>
      <c r="N268" s="242">
        <f>ROUND(0, 1)</f>
        <v>0</v>
      </c>
      <c r="O268" s="242">
        <f>ROUND(0, 1)</f>
        <v>0</v>
      </c>
      <c r="P268" s="242">
        <f>ROUND(0, 1)</f>
        <v>0</v>
      </c>
      <c r="Q268" s="105"/>
      <c r="R268" s="53" t="s">
        <v>5717</v>
      </c>
    </row>
    <row r="269" spans="1:18">
      <c r="A269" s="105" t="s">
        <v>5718</v>
      </c>
      <c r="B269" s="127">
        <f>ROUND(0.400000006, 3)</f>
        <v>0.4</v>
      </c>
      <c r="C269" s="105" t="str">
        <f>FIXED(100, 1)</f>
        <v>100.0</v>
      </c>
      <c r="D269" s="105" t="str">
        <f>IF(TRUE = TRUE, "Yes", "No")</f>
        <v>Yes</v>
      </c>
      <c r="E269" s="105" t="s">
        <v>5202</v>
      </c>
      <c r="F269" s="105"/>
      <c r="G269" s="105" t="str">
        <f>CHOOSE((0+1), "3", "1", "1")</f>
        <v>3</v>
      </c>
      <c r="H269" s="242" t="str">
        <f>CHOOSE((0+1), "--", "2", "3")</f>
        <v>--</v>
      </c>
      <c r="I269" s="105">
        <v>80</v>
      </c>
      <c r="J269" s="105">
        <v>125</v>
      </c>
      <c r="K269" s="105">
        <v>0</v>
      </c>
      <c r="L269" s="105">
        <v>0</v>
      </c>
      <c r="M269" s="243">
        <f>ROUND(0, 1)</f>
        <v>0</v>
      </c>
      <c r="N269" s="242">
        <f>ROUND(0, 1)</f>
        <v>0</v>
      </c>
      <c r="O269" s="242">
        <f>ROUND(0, 1)</f>
        <v>0</v>
      </c>
      <c r="P269" s="242">
        <f>ROUND(0, 1)</f>
        <v>0</v>
      </c>
      <c r="Q269" s="105"/>
      <c r="R269" s="53" t="s">
        <v>5719</v>
      </c>
    </row>
    <row r="270" spans="1:18">
      <c r="A270" s="105" t="s">
        <v>5720</v>
      </c>
      <c r="B270" s="127">
        <f>ROUND(0.400000006, 3)</f>
        <v>0.4</v>
      </c>
      <c r="C270" s="105" t="str">
        <f>FIXED(100, 1)</f>
        <v>100.0</v>
      </c>
      <c r="D270" s="105" t="str">
        <f>IF(TRUE = TRUE, "Yes", "No")</f>
        <v>Yes</v>
      </c>
      <c r="E270" s="105" t="s">
        <v>5202</v>
      </c>
      <c r="F270" s="105"/>
      <c r="G270" s="105" t="str">
        <f>CHOOSE((0+1), "3", "1", "1")</f>
        <v>3</v>
      </c>
      <c r="H270" s="242" t="str">
        <f>CHOOSE((0+1), "--", "2", "3")</f>
        <v>--</v>
      </c>
      <c r="I270" s="105">
        <v>80</v>
      </c>
      <c r="J270" s="105">
        <v>125</v>
      </c>
      <c r="K270" s="105">
        <v>0</v>
      </c>
      <c r="L270" s="105">
        <v>0</v>
      </c>
      <c r="M270" s="243">
        <f>ROUND(0, 1)</f>
        <v>0</v>
      </c>
      <c r="N270" s="242">
        <f>ROUND(0, 1)</f>
        <v>0</v>
      </c>
      <c r="O270" s="242">
        <f>ROUND(0, 1)</f>
        <v>0</v>
      </c>
      <c r="P270" s="242">
        <f>ROUND(0, 1)</f>
        <v>0</v>
      </c>
      <c r="Q270" s="105"/>
      <c r="R270" s="53" t="s">
        <v>5721</v>
      </c>
    </row>
    <row r="271" spans="1:18">
      <c r="A271" s="105" t="s">
        <v>5722</v>
      </c>
      <c r="B271" s="127">
        <f>ROUND(0.400000006, 3)</f>
        <v>0.4</v>
      </c>
      <c r="C271" s="105" t="str">
        <f>FIXED(100, 1)</f>
        <v>100.0</v>
      </c>
      <c r="D271" s="105" t="str">
        <f>IF(TRUE = TRUE, "Yes", "No")</f>
        <v>Yes</v>
      </c>
      <c r="E271" s="105" t="s">
        <v>5202</v>
      </c>
      <c r="F271" s="105"/>
      <c r="G271" s="105" t="str">
        <f>CHOOSE((0+1), "3", "1", "1")</f>
        <v>3</v>
      </c>
      <c r="H271" s="242" t="str">
        <f>CHOOSE((0+1), "--", "2", "3")</f>
        <v>--</v>
      </c>
      <c r="I271" s="105">
        <v>80</v>
      </c>
      <c r="J271" s="105">
        <v>125</v>
      </c>
      <c r="K271" s="105">
        <v>0</v>
      </c>
      <c r="L271" s="105">
        <v>0</v>
      </c>
      <c r="M271" s="243">
        <f>ROUND(0, 1)</f>
        <v>0</v>
      </c>
      <c r="N271" s="242">
        <f>ROUND(0, 1)</f>
        <v>0</v>
      </c>
      <c r="O271" s="242">
        <f>ROUND(0, 1)</f>
        <v>0</v>
      </c>
      <c r="P271" s="242">
        <f>ROUND(0, 1)</f>
        <v>0</v>
      </c>
      <c r="Q271" s="105"/>
      <c r="R271" s="53" t="s">
        <v>5723</v>
      </c>
    </row>
    <row r="272" spans="1:18">
      <c r="A272" s="105" t="s">
        <v>5724</v>
      </c>
      <c r="B272" s="127">
        <f>ROUND(0.400000006, 3)</f>
        <v>0.4</v>
      </c>
      <c r="C272" s="105" t="str">
        <f>FIXED(100, 1)</f>
        <v>100.0</v>
      </c>
      <c r="D272" s="105" t="str">
        <f>IF(TRUE = TRUE, "Yes", "No")</f>
        <v>Yes</v>
      </c>
      <c r="E272" s="105" t="s">
        <v>5202</v>
      </c>
      <c r="F272" s="105"/>
      <c r="G272" s="105" t="str">
        <f>CHOOSE((0+1), "3", "1", "1")</f>
        <v>3</v>
      </c>
      <c r="H272" s="242" t="str">
        <f>CHOOSE((0+1), "--", "2", "3")</f>
        <v>--</v>
      </c>
      <c r="I272" s="105">
        <v>80</v>
      </c>
      <c r="J272" s="105">
        <v>125</v>
      </c>
      <c r="K272" s="105">
        <v>0</v>
      </c>
      <c r="L272" s="105">
        <v>0</v>
      </c>
      <c r="M272" s="243">
        <f>ROUND(0, 1)</f>
        <v>0</v>
      </c>
      <c r="N272" s="242">
        <f>ROUND(0, 1)</f>
        <v>0</v>
      </c>
      <c r="O272" s="242">
        <f>ROUND(0, 1)</f>
        <v>0</v>
      </c>
      <c r="P272" s="242">
        <f>ROUND(0, 1)</f>
        <v>0</v>
      </c>
      <c r="Q272" s="105"/>
      <c r="R272" s="53" t="s">
        <v>5725</v>
      </c>
    </row>
    <row r="273" spans="1:18">
      <c r="A273" s="105" t="s">
        <v>5726</v>
      </c>
      <c r="B273" s="127">
        <f>ROUND(10, 3)</f>
        <v>10</v>
      </c>
      <c r="C273" s="105" t="str">
        <f>FIXED(100, 1)</f>
        <v>100.0</v>
      </c>
      <c r="D273" s="105" t="str">
        <f>IF(TRUE = TRUE, "Yes", "No")</f>
        <v>Yes</v>
      </c>
      <c r="E273" s="105" t="s">
        <v>5202</v>
      </c>
      <c r="F273" s="105"/>
      <c r="G273" s="105" t="str">
        <f>CHOOSE((0+1), "3", "1", "1")</f>
        <v>3</v>
      </c>
      <c r="H273" s="242" t="str">
        <f>CHOOSE((0+1), "--", "2", "3")</f>
        <v>--</v>
      </c>
      <c r="I273" s="105">
        <v>80</v>
      </c>
      <c r="J273" s="105">
        <v>125</v>
      </c>
      <c r="K273" s="105">
        <v>0</v>
      </c>
      <c r="L273" s="105">
        <v>0</v>
      </c>
      <c r="M273" s="243">
        <f>ROUND(0, 1)</f>
        <v>0</v>
      </c>
      <c r="N273" s="242">
        <f>ROUND(0, 1)</f>
        <v>0</v>
      </c>
      <c r="O273" s="242">
        <f>ROUND(0, 1)</f>
        <v>0</v>
      </c>
      <c r="P273" s="242">
        <f>ROUND(0, 1)</f>
        <v>0</v>
      </c>
      <c r="Q273" s="105"/>
      <c r="R273" s="53" t="s">
        <v>5727</v>
      </c>
    </row>
    <row r="274" spans="1:18">
      <c r="A274" s="105" t="s">
        <v>5728</v>
      </c>
      <c r="B274" s="127">
        <f>ROUND(10, 3)</f>
        <v>10</v>
      </c>
      <c r="C274" s="105" t="str">
        <f>FIXED(100, 1)</f>
        <v>100.0</v>
      </c>
      <c r="D274" s="105" t="str">
        <f>IF(TRUE = TRUE, "Yes", "No")</f>
        <v>Yes</v>
      </c>
      <c r="E274" s="105" t="s">
        <v>5202</v>
      </c>
      <c r="F274" s="105"/>
      <c r="G274" s="105" t="str">
        <f>CHOOSE((0+1), "3", "1", "1")</f>
        <v>3</v>
      </c>
      <c r="H274" s="242" t="str">
        <f>CHOOSE((0+1), "--", "2", "3")</f>
        <v>--</v>
      </c>
      <c r="I274" s="105">
        <v>80</v>
      </c>
      <c r="J274" s="105">
        <v>125</v>
      </c>
      <c r="K274" s="105">
        <v>0</v>
      </c>
      <c r="L274" s="105">
        <v>0</v>
      </c>
      <c r="M274" s="243">
        <f>ROUND(0, 1)</f>
        <v>0</v>
      </c>
      <c r="N274" s="242">
        <f>ROUND(0, 1)</f>
        <v>0</v>
      </c>
      <c r="O274" s="242">
        <f>ROUND(0, 1)</f>
        <v>0</v>
      </c>
      <c r="P274" s="242">
        <f>ROUND(0, 1)</f>
        <v>0</v>
      </c>
      <c r="Q274" s="105"/>
      <c r="R274" s="53" t="s">
        <v>5729</v>
      </c>
    </row>
    <row r="275" spans="1:18">
      <c r="A275" s="105" t="s">
        <v>5730</v>
      </c>
      <c r="B275" s="127">
        <f>ROUND(0.400000006, 3)</f>
        <v>0.4</v>
      </c>
      <c r="C275" s="105" t="str">
        <f>FIXED(100, 1)</f>
        <v>100.0</v>
      </c>
      <c r="D275" s="105" t="str">
        <f>IF(TRUE = TRUE, "Yes", "No")</f>
        <v>Yes</v>
      </c>
      <c r="E275" s="105" t="s">
        <v>5202</v>
      </c>
      <c r="F275" s="105"/>
      <c r="G275" s="105" t="str">
        <f>CHOOSE((0+1), "3", "1", "1")</f>
        <v>3</v>
      </c>
      <c r="H275" s="242" t="str">
        <f>CHOOSE((0+1), "--", "2", "3")</f>
        <v>--</v>
      </c>
      <c r="I275" s="105">
        <v>80</v>
      </c>
      <c r="J275" s="105">
        <v>125</v>
      </c>
      <c r="K275" s="105">
        <v>0</v>
      </c>
      <c r="L275" s="105">
        <v>0</v>
      </c>
      <c r="M275" s="243">
        <f>ROUND(0, 1)</f>
        <v>0</v>
      </c>
      <c r="N275" s="242">
        <f>ROUND(0, 1)</f>
        <v>0</v>
      </c>
      <c r="O275" s="242">
        <f>ROUND(0, 1)</f>
        <v>0</v>
      </c>
      <c r="P275" s="242">
        <f>ROUND(0, 1)</f>
        <v>0</v>
      </c>
      <c r="Q275" s="105"/>
      <c r="R275" s="53" t="s">
        <v>5731</v>
      </c>
    </row>
    <row r="276" spans="1:18">
      <c r="A276" s="105" t="s">
        <v>5732</v>
      </c>
      <c r="B276" s="127">
        <f>ROUND(0.400000006, 3)</f>
        <v>0.4</v>
      </c>
      <c r="C276" s="105" t="str">
        <f>FIXED(100, 1)</f>
        <v>100.0</v>
      </c>
      <c r="D276" s="105" t="str">
        <f>IF(TRUE = TRUE, "Yes", "No")</f>
        <v>Yes</v>
      </c>
      <c r="E276" s="105" t="s">
        <v>5202</v>
      </c>
      <c r="F276" s="105"/>
      <c r="G276" s="105" t="str">
        <f>CHOOSE((0+1), "3", "1", "1")</f>
        <v>3</v>
      </c>
      <c r="H276" s="242" t="str">
        <f>CHOOSE((0+1), "--", "2", "3")</f>
        <v>--</v>
      </c>
      <c r="I276" s="105">
        <v>80</v>
      </c>
      <c r="J276" s="105">
        <v>125</v>
      </c>
      <c r="K276" s="105">
        <v>0</v>
      </c>
      <c r="L276" s="105">
        <v>0</v>
      </c>
      <c r="M276" s="243">
        <f>ROUND(0, 1)</f>
        <v>0</v>
      </c>
      <c r="N276" s="242">
        <f>ROUND(0, 1)</f>
        <v>0</v>
      </c>
      <c r="O276" s="242">
        <f>ROUND(0, 1)</f>
        <v>0</v>
      </c>
      <c r="P276" s="242">
        <f>ROUND(0, 1)</f>
        <v>0</v>
      </c>
      <c r="Q276" s="105"/>
      <c r="R276" s="53" t="s">
        <v>5733</v>
      </c>
    </row>
    <row r="277" spans="1:18">
      <c r="A277" s="105" t="s">
        <v>5734</v>
      </c>
      <c r="B277" s="127">
        <f>ROUND(0.400000006, 3)</f>
        <v>0.4</v>
      </c>
      <c r="C277" s="105" t="str">
        <f>FIXED(100, 1)</f>
        <v>100.0</v>
      </c>
      <c r="D277" s="105" t="str">
        <f>IF(TRUE = TRUE, "Yes", "No")</f>
        <v>Yes</v>
      </c>
      <c r="E277" s="105" t="s">
        <v>5202</v>
      </c>
      <c r="F277" s="105"/>
      <c r="G277" s="105" t="str">
        <f>CHOOSE((0+1), "3", "1", "1")</f>
        <v>3</v>
      </c>
      <c r="H277" s="242" t="str">
        <f>CHOOSE((0+1), "--", "2", "3")</f>
        <v>--</v>
      </c>
      <c r="I277" s="105">
        <v>80</v>
      </c>
      <c r="J277" s="105">
        <v>125</v>
      </c>
      <c r="K277" s="105">
        <v>0</v>
      </c>
      <c r="L277" s="105">
        <v>0</v>
      </c>
      <c r="M277" s="243">
        <f>ROUND(0, 1)</f>
        <v>0</v>
      </c>
      <c r="N277" s="242">
        <f>ROUND(0, 1)</f>
        <v>0</v>
      </c>
      <c r="O277" s="242">
        <f>ROUND(0, 1)</f>
        <v>0</v>
      </c>
      <c r="P277" s="242">
        <f>ROUND(0, 1)</f>
        <v>0</v>
      </c>
      <c r="Q277" s="105"/>
      <c r="R277" s="53" t="s">
        <v>5735</v>
      </c>
    </row>
    <row r="278" spans="1:18">
      <c r="A278" s="105" t="s">
        <v>5736</v>
      </c>
      <c r="B278" s="127">
        <f>ROUND(0.400000006, 3)</f>
        <v>0.4</v>
      </c>
      <c r="C278" s="105" t="str">
        <f>FIXED(100, 1)</f>
        <v>100.0</v>
      </c>
      <c r="D278" s="105" t="str">
        <f>IF(TRUE = TRUE, "Yes", "No")</f>
        <v>Yes</v>
      </c>
      <c r="E278" s="105" t="s">
        <v>5202</v>
      </c>
      <c r="F278" s="105"/>
      <c r="G278" s="105" t="str">
        <f>CHOOSE((0+1), "3", "1", "1")</f>
        <v>3</v>
      </c>
      <c r="H278" s="242" t="str">
        <f>CHOOSE((0+1), "--", "2", "3")</f>
        <v>--</v>
      </c>
      <c r="I278" s="105">
        <v>80</v>
      </c>
      <c r="J278" s="105">
        <v>125</v>
      </c>
      <c r="K278" s="105">
        <v>0</v>
      </c>
      <c r="L278" s="105">
        <v>0</v>
      </c>
      <c r="M278" s="243">
        <f>ROUND(0, 1)</f>
        <v>0</v>
      </c>
      <c r="N278" s="242">
        <f>ROUND(0, 1)</f>
        <v>0</v>
      </c>
      <c r="O278" s="242">
        <f>ROUND(0, 1)</f>
        <v>0</v>
      </c>
      <c r="P278" s="242">
        <f>ROUND(0, 1)</f>
        <v>0</v>
      </c>
      <c r="Q278" s="105"/>
      <c r="R278" s="53" t="s">
        <v>5737</v>
      </c>
    </row>
    <row r="279" spans="1:18">
      <c r="A279" s="105" t="s">
        <v>5738</v>
      </c>
      <c r="B279" s="127">
        <f>ROUND(0.400000006, 3)</f>
        <v>0.4</v>
      </c>
      <c r="C279" s="105" t="str">
        <f>FIXED(100, 1)</f>
        <v>100.0</v>
      </c>
      <c r="D279" s="105" t="str">
        <f>IF(TRUE = TRUE, "Yes", "No")</f>
        <v>Yes</v>
      </c>
      <c r="E279" s="105" t="s">
        <v>5202</v>
      </c>
      <c r="F279" s="105"/>
      <c r="G279" s="105" t="str">
        <f>CHOOSE((0+1), "3", "1", "1")</f>
        <v>3</v>
      </c>
      <c r="H279" s="242" t="str">
        <f>CHOOSE((0+1), "--", "2", "3")</f>
        <v>--</v>
      </c>
      <c r="I279" s="105">
        <v>80</v>
      </c>
      <c r="J279" s="105">
        <v>125</v>
      </c>
      <c r="K279" s="105">
        <v>0</v>
      </c>
      <c r="L279" s="105">
        <v>0</v>
      </c>
      <c r="M279" s="243">
        <f>ROUND(0, 1)</f>
        <v>0</v>
      </c>
      <c r="N279" s="242">
        <f>ROUND(0, 1)</f>
        <v>0</v>
      </c>
      <c r="O279" s="242">
        <f>ROUND(0, 1)</f>
        <v>0</v>
      </c>
      <c r="P279" s="242">
        <f>ROUND(0, 1)</f>
        <v>0</v>
      </c>
      <c r="Q279" s="105"/>
      <c r="R279" s="53" t="s">
        <v>5739</v>
      </c>
    </row>
    <row r="280" spans="1:18">
      <c r="A280" s="105" t="s">
        <v>5740</v>
      </c>
      <c r="B280" s="127">
        <f>ROUND(0.400000006, 3)</f>
        <v>0.4</v>
      </c>
      <c r="C280" s="105" t="str">
        <f>FIXED(100, 1)</f>
        <v>100.0</v>
      </c>
      <c r="D280" s="105" t="str">
        <f>IF(TRUE = TRUE, "Yes", "No")</f>
        <v>Yes</v>
      </c>
      <c r="E280" s="105" t="s">
        <v>5202</v>
      </c>
      <c r="F280" s="105"/>
      <c r="G280" s="105" t="str">
        <f>CHOOSE((0+1), "3", "1", "1")</f>
        <v>3</v>
      </c>
      <c r="H280" s="242" t="str">
        <f>CHOOSE((0+1), "--", "2", "3")</f>
        <v>--</v>
      </c>
      <c r="I280" s="105">
        <v>80</v>
      </c>
      <c r="J280" s="105">
        <v>125</v>
      </c>
      <c r="K280" s="105">
        <v>0</v>
      </c>
      <c r="L280" s="105">
        <v>0</v>
      </c>
      <c r="M280" s="243">
        <f>ROUND(0, 1)</f>
        <v>0</v>
      </c>
      <c r="N280" s="242">
        <f>ROUND(0, 1)</f>
        <v>0</v>
      </c>
      <c r="O280" s="242">
        <f>ROUND(0, 1)</f>
        <v>0</v>
      </c>
      <c r="P280" s="242">
        <f>ROUND(0, 1)</f>
        <v>0</v>
      </c>
      <c r="Q280" s="105"/>
      <c r="R280" s="53" t="s">
        <v>5741</v>
      </c>
    </row>
    <row r="281" spans="1:18">
      <c r="A281" s="105" t="s">
        <v>5742</v>
      </c>
      <c r="B281" s="127">
        <f>ROUND(0.400000006, 3)</f>
        <v>0.4</v>
      </c>
      <c r="C281" s="105" t="str">
        <f>FIXED(100, 1)</f>
        <v>100.0</v>
      </c>
      <c r="D281" s="105" t="str">
        <f>IF(TRUE = TRUE, "Yes", "No")</f>
        <v>Yes</v>
      </c>
      <c r="E281" s="105" t="s">
        <v>5202</v>
      </c>
      <c r="F281" s="105"/>
      <c r="G281" s="105" t="str">
        <f>CHOOSE((0+1), "3", "1", "1")</f>
        <v>3</v>
      </c>
      <c r="H281" s="242" t="str">
        <f>CHOOSE((0+1), "--", "2", "3")</f>
        <v>--</v>
      </c>
      <c r="I281" s="105">
        <v>80</v>
      </c>
      <c r="J281" s="105">
        <v>125</v>
      </c>
      <c r="K281" s="105">
        <v>0</v>
      </c>
      <c r="L281" s="105">
        <v>0</v>
      </c>
      <c r="M281" s="243">
        <f>ROUND(0, 1)</f>
        <v>0</v>
      </c>
      <c r="N281" s="242">
        <f>ROUND(0, 1)</f>
        <v>0</v>
      </c>
      <c r="O281" s="242">
        <f>ROUND(0, 1)</f>
        <v>0</v>
      </c>
      <c r="P281" s="242">
        <f>ROUND(0, 1)</f>
        <v>0</v>
      </c>
      <c r="Q281" s="105"/>
      <c r="R281" s="53" t="s">
        <v>5743</v>
      </c>
    </row>
    <row r="282" spans="1:18">
      <c r="A282" s="105" t="s">
        <v>5744</v>
      </c>
      <c r="B282" s="127">
        <f>ROUND(0.400000006, 3)</f>
        <v>0.4</v>
      </c>
      <c r="C282" s="105" t="str">
        <f>FIXED(100, 1)</f>
        <v>100.0</v>
      </c>
      <c r="D282" s="105" t="str">
        <f>IF(TRUE = TRUE, "Yes", "No")</f>
        <v>Yes</v>
      </c>
      <c r="E282" s="105" t="s">
        <v>5202</v>
      </c>
      <c r="F282" s="105"/>
      <c r="G282" s="105" t="str">
        <f>CHOOSE((0+1), "3", "1", "1")</f>
        <v>3</v>
      </c>
      <c r="H282" s="242" t="str">
        <f>CHOOSE((0+1), "--", "2", "3")</f>
        <v>--</v>
      </c>
      <c r="I282" s="105">
        <v>80</v>
      </c>
      <c r="J282" s="105">
        <v>125</v>
      </c>
      <c r="K282" s="105">
        <v>0</v>
      </c>
      <c r="L282" s="105">
        <v>0</v>
      </c>
      <c r="M282" s="243">
        <f>ROUND(0, 1)</f>
        <v>0</v>
      </c>
      <c r="N282" s="242">
        <f>ROUND(0, 1)</f>
        <v>0</v>
      </c>
      <c r="O282" s="242">
        <f>ROUND(0, 1)</f>
        <v>0</v>
      </c>
      <c r="P282" s="242">
        <f>ROUND(0, 1)</f>
        <v>0</v>
      </c>
      <c r="Q282" s="105"/>
      <c r="R282" s="53" t="s">
        <v>5745</v>
      </c>
    </row>
    <row r="283" spans="1:18">
      <c r="A283" s="105" t="s">
        <v>5746</v>
      </c>
      <c r="B283" s="127">
        <f>ROUND(0.400000006, 3)</f>
        <v>0.4</v>
      </c>
      <c r="C283" s="105" t="str">
        <f>FIXED(100, 1)</f>
        <v>100.0</v>
      </c>
      <c r="D283" s="105" t="str">
        <f>IF(TRUE = TRUE, "Yes", "No")</f>
        <v>Yes</v>
      </c>
      <c r="E283" s="105" t="s">
        <v>5202</v>
      </c>
      <c r="F283" s="105"/>
      <c r="G283" s="105" t="str">
        <f>CHOOSE((0+1), "3", "1", "1")</f>
        <v>3</v>
      </c>
      <c r="H283" s="242" t="str">
        <f>CHOOSE((0+1), "--", "2", "3")</f>
        <v>--</v>
      </c>
      <c r="I283" s="105">
        <v>80</v>
      </c>
      <c r="J283" s="105">
        <v>125</v>
      </c>
      <c r="K283" s="105">
        <v>0</v>
      </c>
      <c r="L283" s="105">
        <v>0</v>
      </c>
      <c r="M283" s="243">
        <f>ROUND(0, 1)</f>
        <v>0</v>
      </c>
      <c r="N283" s="242">
        <f>ROUND(0, 1)</f>
        <v>0</v>
      </c>
      <c r="O283" s="242">
        <f>ROUND(0, 1)</f>
        <v>0</v>
      </c>
      <c r="P283" s="242">
        <f>ROUND(0, 1)</f>
        <v>0</v>
      </c>
      <c r="Q283" s="105"/>
      <c r="R283" s="53" t="s">
        <v>5747</v>
      </c>
    </row>
    <row r="284" spans="1:18">
      <c r="A284" s="105" t="s">
        <v>5748</v>
      </c>
      <c r="B284" s="127">
        <f>ROUND(0.400000006, 3)</f>
        <v>0.4</v>
      </c>
      <c r="C284" s="105" t="str">
        <f>FIXED(100, 1)</f>
        <v>100.0</v>
      </c>
      <c r="D284" s="105" t="str">
        <f>IF(TRUE = TRUE, "Yes", "No")</f>
        <v>Yes</v>
      </c>
      <c r="E284" s="105" t="s">
        <v>5202</v>
      </c>
      <c r="F284" s="105"/>
      <c r="G284" s="105" t="str">
        <f>CHOOSE((0+1), "3", "1", "1")</f>
        <v>3</v>
      </c>
      <c r="H284" s="242" t="str">
        <f>CHOOSE((0+1), "--", "2", "3")</f>
        <v>--</v>
      </c>
      <c r="I284" s="105">
        <v>80</v>
      </c>
      <c r="J284" s="105">
        <v>125</v>
      </c>
      <c r="K284" s="105">
        <v>0</v>
      </c>
      <c r="L284" s="105">
        <v>0</v>
      </c>
      <c r="M284" s="243">
        <f>ROUND(0, 1)</f>
        <v>0</v>
      </c>
      <c r="N284" s="242">
        <f>ROUND(0, 1)</f>
        <v>0</v>
      </c>
      <c r="O284" s="242">
        <f>ROUND(0, 1)</f>
        <v>0</v>
      </c>
      <c r="P284" s="242">
        <f>ROUND(0, 1)</f>
        <v>0</v>
      </c>
      <c r="Q284" s="105"/>
      <c r="R284" s="53" t="s">
        <v>5749</v>
      </c>
    </row>
    <row r="285" spans="1:18">
      <c r="A285" s="105" t="s">
        <v>5750</v>
      </c>
      <c r="B285" s="127">
        <f>ROUND(0.400000006, 3)</f>
        <v>0.4</v>
      </c>
      <c r="C285" s="105" t="str">
        <f>FIXED(100, 1)</f>
        <v>100.0</v>
      </c>
      <c r="D285" s="105" t="str">
        <f>IF(TRUE = TRUE, "Yes", "No")</f>
        <v>Yes</v>
      </c>
      <c r="E285" s="105" t="s">
        <v>5202</v>
      </c>
      <c r="F285" s="105"/>
      <c r="G285" s="105" t="str">
        <f>CHOOSE((0+1), "3", "1", "1")</f>
        <v>3</v>
      </c>
      <c r="H285" s="242" t="str">
        <f>CHOOSE((0+1), "--", "2", "3")</f>
        <v>--</v>
      </c>
      <c r="I285" s="105">
        <v>80</v>
      </c>
      <c r="J285" s="105">
        <v>125</v>
      </c>
      <c r="K285" s="105">
        <v>0</v>
      </c>
      <c r="L285" s="105">
        <v>0</v>
      </c>
      <c r="M285" s="243">
        <f>ROUND(0, 1)</f>
        <v>0</v>
      </c>
      <c r="N285" s="242">
        <f>ROUND(0, 1)</f>
        <v>0</v>
      </c>
      <c r="O285" s="242">
        <f>ROUND(0, 1)</f>
        <v>0</v>
      </c>
      <c r="P285" s="242">
        <f>ROUND(0, 1)</f>
        <v>0</v>
      </c>
      <c r="Q285" s="105"/>
      <c r="R285" s="53" t="s">
        <v>5751</v>
      </c>
    </row>
    <row r="286" spans="1:18">
      <c r="A286" s="105" t="s">
        <v>5752</v>
      </c>
      <c r="B286" s="127">
        <f>ROUND(0.400000006, 3)</f>
        <v>0.4</v>
      </c>
      <c r="C286" s="105" t="str">
        <f>FIXED(100, 1)</f>
        <v>100.0</v>
      </c>
      <c r="D286" s="105" t="str">
        <f>IF(TRUE = TRUE, "Yes", "No")</f>
        <v>Yes</v>
      </c>
      <c r="E286" s="105" t="s">
        <v>5202</v>
      </c>
      <c r="F286" s="105"/>
      <c r="G286" s="105" t="str">
        <f>CHOOSE((0+1), "3", "1", "1")</f>
        <v>3</v>
      </c>
      <c r="H286" s="242" t="str">
        <f>CHOOSE((0+1), "--", "2", "3")</f>
        <v>--</v>
      </c>
      <c r="I286" s="105">
        <v>80</v>
      </c>
      <c r="J286" s="105">
        <v>125</v>
      </c>
      <c r="K286" s="105">
        <v>0</v>
      </c>
      <c r="L286" s="105">
        <v>0</v>
      </c>
      <c r="M286" s="243">
        <f>ROUND(0, 1)</f>
        <v>0</v>
      </c>
      <c r="N286" s="242">
        <f>ROUND(0, 1)</f>
        <v>0</v>
      </c>
      <c r="O286" s="242">
        <f>ROUND(0, 1)</f>
        <v>0</v>
      </c>
      <c r="P286" s="242">
        <f>ROUND(0, 1)</f>
        <v>0</v>
      </c>
      <c r="Q286" s="105"/>
      <c r="R286" s="53" t="s">
        <v>5753</v>
      </c>
    </row>
    <row r="287" spans="1:18">
      <c r="A287" s="105" t="s">
        <v>5754</v>
      </c>
      <c r="B287" s="127">
        <f>ROUND(0.400000006, 3)</f>
        <v>0.4</v>
      </c>
      <c r="C287" s="105" t="str">
        <f>FIXED(100, 1)</f>
        <v>100.0</v>
      </c>
      <c r="D287" s="105" t="str">
        <f>IF(TRUE = TRUE, "Yes", "No")</f>
        <v>Yes</v>
      </c>
      <c r="E287" s="105" t="s">
        <v>5202</v>
      </c>
      <c r="F287" s="105"/>
      <c r="G287" s="105" t="str">
        <f>CHOOSE((0+1), "3", "1", "1")</f>
        <v>3</v>
      </c>
      <c r="H287" s="242" t="str">
        <f>CHOOSE((0+1), "--", "2", "3")</f>
        <v>--</v>
      </c>
      <c r="I287" s="105">
        <v>80</v>
      </c>
      <c r="J287" s="105">
        <v>125</v>
      </c>
      <c r="K287" s="105">
        <v>0</v>
      </c>
      <c r="L287" s="105">
        <v>0</v>
      </c>
      <c r="M287" s="243">
        <f>ROUND(0, 1)</f>
        <v>0</v>
      </c>
      <c r="N287" s="242">
        <f>ROUND(0, 1)</f>
        <v>0</v>
      </c>
      <c r="O287" s="242">
        <f>ROUND(0, 1)</f>
        <v>0</v>
      </c>
      <c r="P287" s="242">
        <f>ROUND(0, 1)</f>
        <v>0</v>
      </c>
      <c r="Q287" s="105"/>
      <c r="R287" s="53" t="s">
        <v>5755</v>
      </c>
    </row>
    <row r="288" spans="1:18">
      <c r="A288" s="105" t="s">
        <v>5756</v>
      </c>
      <c r="B288" s="127">
        <f>ROUND(10, 3)</f>
        <v>10</v>
      </c>
      <c r="C288" s="105" t="str">
        <f>FIXED(100, 1)</f>
        <v>100.0</v>
      </c>
      <c r="D288" s="105" t="str">
        <f>IF(TRUE = TRUE, "Yes", "No")</f>
        <v>Yes</v>
      </c>
      <c r="E288" s="105" t="s">
        <v>5202</v>
      </c>
      <c r="F288" s="105"/>
      <c r="G288" s="105" t="str">
        <f>CHOOSE((0+1), "3", "1", "1")</f>
        <v>3</v>
      </c>
      <c r="H288" s="242" t="str">
        <f>CHOOSE((0+1), "--", "2", "3")</f>
        <v>--</v>
      </c>
      <c r="I288" s="105">
        <v>80</v>
      </c>
      <c r="J288" s="105">
        <v>125</v>
      </c>
      <c r="K288" s="105">
        <v>0</v>
      </c>
      <c r="L288" s="105">
        <v>0</v>
      </c>
      <c r="M288" s="243">
        <f>ROUND(0, 1)</f>
        <v>0</v>
      </c>
      <c r="N288" s="242">
        <f>ROUND(0, 1)</f>
        <v>0</v>
      </c>
      <c r="O288" s="242">
        <f>ROUND(0, 1)</f>
        <v>0</v>
      </c>
      <c r="P288" s="242">
        <f>ROUND(0, 1)</f>
        <v>0</v>
      </c>
      <c r="Q288" s="105"/>
      <c r="R288" s="53" t="s">
        <v>5757</v>
      </c>
    </row>
    <row r="289" spans="1:18">
      <c r="A289" s="105" t="s">
        <v>5758</v>
      </c>
      <c r="B289" s="127">
        <f>ROUND(10, 3)</f>
        <v>10</v>
      </c>
      <c r="C289" s="105" t="str">
        <f>FIXED(100, 1)</f>
        <v>100.0</v>
      </c>
      <c r="D289" s="105" t="str">
        <f>IF(TRUE = TRUE, "Yes", "No")</f>
        <v>Yes</v>
      </c>
      <c r="E289" s="105" t="s">
        <v>5202</v>
      </c>
      <c r="F289" s="105"/>
      <c r="G289" s="105" t="str">
        <f>CHOOSE((0+1), "3", "1", "1")</f>
        <v>3</v>
      </c>
      <c r="H289" s="242" t="str">
        <f>CHOOSE((0+1), "--", "2", "3")</f>
        <v>--</v>
      </c>
      <c r="I289" s="105">
        <v>80</v>
      </c>
      <c r="J289" s="105">
        <v>125</v>
      </c>
      <c r="K289" s="105">
        <v>0</v>
      </c>
      <c r="L289" s="105">
        <v>0</v>
      </c>
      <c r="M289" s="243">
        <f>ROUND(0, 1)</f>
        <v>0</v>
      </c>
      <c r="N289" s="242">
        <f>ROUND(0, 1)</f>
        <v>0</v>
      </c>
      <c r="O289" s="242">
        <f>ROUND(0, 1)</f>
        <v>0</v>
      </c>
      <c r="P289" s="242">
        <f>ROUND(0, 1)</f>
        <v>0</v>
      </c>
      <c r="Q289" s="105"/>
      <c r="R289" s="53" t="s">
        <v>5759</v>
      </c>
    </row>
    <row r="290" spans="1:18">
      <c r="A290" s="105" t="s">
        <v>5760</v>
      </c>
      <c r="B290" s="127">
        <f>ROUND(10, 3)</f>
        <v>10</v>
      </c>
      <c r="C290" s="105" t="str">
        <f>FIXED(100, 1)</f>
        <v>100.0</v>
      </c>
      <c r="D290" s="105" t="str">
        <f>IF(TRUE = TRUE, "Yes", "No")</f>
        <v>Yes</v>
      </c>
      <c r="E290" s="105" t="s">
        <v>5202</v>
      </c>
      <c r="F290" s="105"/>
      <c r="G290" s="105" t="str">
        <f>CHOOSE((0+1), "3", "1", "1")</f>
        <v>3</v>
      </c>
      <c r="H290" s="242" t="str">
        <f>CHOOSE((0+1), "--", "2", "3")</f>
        <v>--</v>
      </c>
      <c r="I290" s="105">
        <v>80</v>
      </c>
      <c r="J290" s="105">
        <v>125</v>
      </c>
      <c r="K290" s="105">
        <v>0</v>
      </c>
      <c r="L290" s="105">
        <v>0</v>
      </c>
      <c r="M290" s="243">
        <f>ROUND(0, 1)</f>
        <v>0</v>
      </c>
      <c r="N290" s="242">
        <f>ROUND(0, 1)</f>
        <v>0</v>
      </c>
      <c r="O290" s="242">
        <f>ROUND(0, 1)</f>
        <v>0</v>
      </c>
      <c r="P290" s="242">
        <f>ROUND(0, 1)</f>
        <v>0</v>
      </c>
      <c r="Q290" s="105"/>
      <c r="R290" s="53" t="s">
        <v>5761</v>
      </c>
    </row>
    <row r="291" spans="1:18">
      <c r="A291" s="105" t="s">
        <v>5762</v>
      </c>
      <c r="B291" s="127">
        <f>ROUND(10, 3)</f>
        <v>10</v>
      </c>
      <c r="C291" s="105" t="str">
        <f>FIXED(100, 1)</f>
        <v>100.0</v>
      </c>
      <c r="D291" s="105" t="str">
        <f>IF(TRUE = TRUE, "Yes", "No")</f>
        <v>Yes</v>
      </c>
      <c r="E291" s="105" t="s">
        <v>5202</v>
      </c>
      <c r="F291" s="105"/>
      <c r="G291" s="105" t="str">
        <f>CHOOSE((0+1), "3", "1", "1")</f>
        <v>3</v>
      </c>
      <c r="H291" s="242" t="str">
        <f>CHOOSE((0+1), "--", "2", "3")</f>
        <v>--</v>
      </c>
      <c r="I291" s="105">
        <v>80</v>
      </c>
      <c r="J291" s="105">
        <v>125</v>
      </c>
      <c r="K291" s="105">
        <v>0</v>
      </c>
      <c r="L291" s="105">
        <v>0</v>
      </c>
      <c r="M291" s="243">
        <f>ROUND(0, 1)</f>
        <v>0</v>
      </c>
      <c r="N291" s="242">
        <f>ROUND(0, 1)</f>
        <v>0</v>
      </c>
      <c r="O291" s="242">
        <f>ROUND(0, 1)</f>
        <v>0</v>
      </c>
      <c r="P291" s="242">
        <f>ROUND(0, 1)</f>
        <v>0</v>
      </c>
      <c r="Q291" s="105"/>
      <c r="R291" s="53" t="s">
        <v>5763</v>
      </c>
    </row>
    <row r="292" spans="1:18">
      <c r="A292" s="105" t="s">
        <v>5764</v>
      </c>
      <c r="B292" s="127">
        <f>ROUND(10, 3)</f>
        <v>10</v>
      </c>
      <c r="C292" s="105" t="str">
        <f>FIXED(100, 1)</f>
        <v>100.0</v>
      </c>
      <c r="D292" s="105" t="str">
        <f>IF(TRUE = TRUE, "Yes", "No")</f>
        <v>Yes</v>
      </c>
      <c r="E292" s="105" t="s">
        <v>5202</v>
      </c>
      <c r="F292" s="105"/>
      <c r="G292" s="105" t="str">
        <f>CHOOSE((0+1), "3", "1", "1")</f>
        <v>3</v>
      </c>
      <c r="H292" s="242" t="str">
        <f>CHOOSE((0+1), "--", "2", "3")</f>
        <v>--</v>
      </c>
      <c r="I292" s="105">
        <v>80</v>
      </c>
      <c r="J292" s="105">
        <v>125</v>
      </c>
      <c r="K292" s="105">
        <v>0</v>
      </c>
      <c r="L292" s="105">
        <v>0</v>
      </c>
      <c r="M292" s="243">
        <f>ROUND(0, 1)</f>
        <v>0</v>
      </c>
      <c r="N292" s="242">
        <f>ROUND(0, 1)</f>
        <v>0</v>
      </c>
      <c r="O292" s="242">
        <f>ROUND(0, 1)</f>
        <v>0</v>
      </c>
      <c r="P292" s="242">
        <f>ROUND(0, 1)</f>
        <v>0</v>
      </c>
      <c r="Q292" s="105"/>
      <c r="R292" s="53" t="s">
        <v>5765</v>
      </c>
    </row>
    <row r="293" spans="1:18">
      <c r="A293" s="105" t="s">
        <v>5766</v>
      </c>
      <c r="B293" s="127">
        <f>ROUND(10, 3)</f>
        <v>10</v>
      </c>
      <c r="C293" s="105" t="str">
        <f>FIXED(100, 1)</f>
        <v>100.0</v>
      </c>
      <c r="D293" s="105" t="str">
        <f>IF(TRUE = TRUE, "Yes", "No")</f>
        <v>Yes</v>
      </c>
      <c r="E293" s="105" t="s">
        <v>5202</v>
      </c>
      <c r="F293" s="105"/>
      <c r="G293" s="105" t="str">
        <f>CHOOSE((0+1), "3", "1", "1")</f>
        <v>3</v>
      </c>
      <c r="H293" s="242" t="str">
        <f>CHOOSE((0+1), "--", "2", "3")</f>
        <v>--</v>
      </c>
      <c r="I293" s="105">
        <v>80</v>
      </c>
      <c r="J293" s="105">
        <v>125</v>
      </c>
      <c r="K293" s="105">
        <v>0</v>
      </c>
      <c r="L293" s="105">
        <v>0</v>
      </c>
      <c r="M293" s="243">
        <f>ROUND(0, 1)</f>
        <v>0</v>
      </c>
      <c r="N293" s="242">
        <f>ROUND(0, 1)</f>
        <v>0</v>
      </c>
      <c r="O293" s="242">
        <f>ROUND(0, 1)</f>
        <v>0</v>
      </c>
      <c r="P293" s="242">
        <f>ROUND(0, 1)</f>
        <v>0</v>
      </c>
      <c r="Q293" s="105"/>
      <c r="R293" s="53" t="s">
        <v>5767</v>
      </c>
    </row>
    <row r="294" spans="1:18">
      <c r="A294" s="105" t="s">
        <v>5768</v>
      </c>
      <c r="B294" s="127">
        <f>ROUND(10, 3)</f>
        <v>10</v>
      </c>
      <c r="C294" s="105" t="str">
        <f>FIXED(100, 1)</f>
        <v>100.0</v>
      </c>
      <c r="D294" s="105" t="str">
        <f>IF(TRUE = TRUE, "Yes", "No")</f>
        <v>Yes</v>
      </c>
      <c r="E294" s="105" t="s">
        <v>5202</v>
      </c>
      <c r="F294" s="105"/>
      <c r="G294" s="105" t="str">
        <f>CHOOSE((0+1), "3", "1", "1")</f>
        <v>3</v>
      </c>
      <c r="H294" s="242" t="str">
        <f>CHOOSE((0+1), "--", "2", "3")</f>
        <v>--</v>
      </c>
      <c r="I294" s="105">
        <v>80</v>
      </c>
      <c r="J294" s="105">
        <v>125</v>
      </c>
      <c r="K294" s="105">
        <v>0</v>
      </c>
      <c r="L294" s="105">
        <v>0</v>
      </c>
      <c r="M294" s="243">
        <f>ROUND(0, 1)</f>
        <v>0</v>
      </c>
      <c r="N294" s="242">
        <f>ROUND(0, 1)</f>
        <v>0</v>
      </c>
      <c r="O294" s="242">
        <f>ROUND(0, 1)</f>
        <v>0</v>
      </c>
      <c r="P294" s="242">
        <f>ROUND(0, 1)</f>
        <v>0</v>
      </c>
      <c r="Q294" s="105"/>
      <c r="R294" s="53" t="s">
        <v>5769</v>
      </c>
    </row>
    <row r="295" spans="1:18">
      <c r="A295" s="247"/>
      <c r="R295" s="249"/>
    </row>
    <row r="296" spans="1:18">
      <c r="A296" s="247"/>
      <c r="R296" s="249"/>
    </row>
    <row r="297" spans="1:18">
      <c r="A297" s="247"/>
      <c r="R297" s="249"/>
    </row>
    <row r="298" spans="1:18">
      <c r="A298" s="247"/>
      <c r="R298" s="249"/>
    </row>
    <row r="299" spans="1:18">
      <c r="A299" s="248"/>
      <c r="R299" s="249"/>
    </row>
    <row r="300" spans="1:18">
      <c r="A300" s="248"/>
      <c r="R300" s="249"/>
    </row>
    <row r="301" spans="1:18">
      <c r="A301" s="248"/>
      <c r="R301" s="249"/>
    </row>
    <row r="302" spans="1:18">
      <c r="A302" s="248"/>
      <c r="R302" s="249"/>
    </row>
    <row r="303" spans="1:18">
      <c r="A303" s="248"/>
      <c r="R303" s="249"/>
    </row>
    <row r="304" spans="1:18">
      <c r="A304" s="248"/>
      <c r="R304" s="249"/>
    </row>
  </sheetData>
  <sheetProtection sheet="1" objects="1" scenarios="1"/>
  <protectedRanges>
    <protectedRange sqref="R7:R10" name="Range1"/>
  </protectedRanges>
  <mergeCells count="26">
    <mergeCell ref="C1:P1"/>
    <mergeCell ref="C2:P2"/>
    <mergeCell ref="C3:M3"/>
    <mergeCell ref="C4:M4"/>
    <mergeCell ref="E7:E9"/>
    <mergeCell ref="P7:P9"/>
    <mergeCell ref="O3:P3"/>
    <mergeCell ref="O4:P4"/>
    <mergeCell ref="O7:O9"/>
    <mergeCell ref="I7:I9"/>
    <mergeCell ref="H7:H9"/>
    <mergeCell ref="Q1:Q4"/>
    <mergeCell ref="A5:N5"/>
    <mergeCell ref="A7:A9"/>
    <mergeCell ref="B7:B9"/>
    <mergeCell ref="C7:C9"/>
    <mergeCell ref="D7:D9"/>
    <mergeCell ref="M7:M9"/>
    <mergeCell ref="F7:F9"/>
    <mergeCell ref="G7:G9"/>
    <mergeCell ref="R7:R9"/>
    <mergeCell ref="J7:J9"/>
    <mergeCell ref="L7:L9"/>
    <mergeCell ref="K7:K9"/>
    <mergeCell ref="N7:N9"/>
    <mergeCell ref="Q7:Q9"/>
  </mergeCells>
  <phoneticPr fontId="2" type="noConversion"/>
  <dataValidations disablePrompts="1" count="2">
    <dataValidation type="list" allowBlank="1" showInputMessage="1" showErrorMessage="1" sqref="AP10:IT10">
      <formula1>AN11:AN304</formula1>
    </dataValidation>
    <dataValidation type="list" allowBlank="1" showInputMessage="1" showErrorMessage="1" sqref="IU10:IV10">
      <formula1>F11:IS304</formula1>
    </dataValidation>
  </dataValidations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304"/>
  <sheetViews>
    <sheetView workbookViewId="0">
      <pane xSplit="1" ySplit="9" topLeftCell="AF10" activePane="bottomRight" state="frozen"/>
      <selection pane="topRight" activeCell="B1" sqref="B1"/>
      <selection pane="bottomLeft" activeCell="A10" sqref="A10"/>
      <selection pane="bottomRight" activeCell="A11" sqref="A11:AM79"/>
    </sheetView>
  </sheetViews>
  <sheetFormatPr defaultColWidth="9.1796875" defaultRowHeight="12.5"/>
  <cols>
    <col min="1" max="1" width="20" style="57" customWidth="1"/>
    <col min="2" max="2" width="10" style="57" customWidth="1"/>
    <col min="3" max="3" width="18" style="57" customWidth="1"/>
    <col min="4" max="4" width="14.7265625" style="57" customWidth="1"/>
    <col min="5" max="5" width="19" style="57" customWidth="1"/>
    <col min="6" max="6" width="6.7265625" style="57" customWidth="1"/>
    <col min="7" max="7" width="11" style="57" customWidth="1"/>
    <col min="8" max="8" width="12.7265625" style="57" customWidth="1"/>
    <col min="9" max="9" width="11.26953125" style="57" customWidth="1"/>
    <col min="10" max="10" width="14" style="57" customWidth="1"/>
    <col min="11" max="11" width="10.7265625" style="57" customWidth="1"/>
    <col min="12" max="12" width="9.1796875" style="57"/>
    <col min="13" max="13" width="16.1796875" style="57" customWidth="1"/>
    <col min="14" max="14" width="12" style="57" customWidth="1"/>
    <col min="15" max="15" width="10.26953125" style="57" customWidth="1"/>
    <col min="16" max="16" width="7.81640625" style="57" customWidth="1"/>
    <col min="17" max="17" width="11.1796875" style="57" customWidth="1"/>
    <col min="18" max="18" width="7.81640625" style="57" customWidth="1"/>
    <col min="19" max="19" width="7.81640625" style="255" customWidth="1"/>
    <col min="20" max="20" width="13.54296875" style="57" customWidth="1"/>
    <col min="21" max="21" width="11.7265625" style="57" customWidth="1"/>
    <col min="22" max="22" width="8.81640625" style="57" customWidth="1"/>
    <col min="23" max="23" width="14" style="57" customWidth="1"/>
    <col min="24" max="24" width="12.7265625" style="57" customWidth="1"/>
    <col min="25" max="25" width="12.453125" style="57" customWidth="1"/>
    <col min="26" max="26" width="9.7265625" style="57" customWidth="1"/>
    <col min="27" max="27" width="12.26953125" style="57" customWidth="1"/>
    <col min="28" max="28" width="10.7265625" style="57" customWidth="1"/>
    <col min="29" max="31" width="9.1796875" style="57"/>
    <col min="32" max="32" width="14.26953125" style="57" customWidth="1"/>
    <col min="33" max="33" width="10.453125" style="57" customWidth="1"/>
    <col min="34" max="34" width="11.7265625" style="57" customWidth="1"/>
    <col min="35" max="35" width="28.453125" style="57" customWidth="1"/>
    <col min="36" max="36" width="29.1796875" style="57" customWidth="1"/>
    <col min="37" max="37" width="13.1796875" style="57" bestFit="1" customWidth="1"/>
    <col min="38" max="38" width="27.453125" style="57" customWidth="1"/>
    <col min="39" max="39" width="49.7265625" style="57" customWidth="1"/>
    <col min="40" max="40" width="12.81640625" style="57" bestFit="1" customWidth="1"/>
    <col min="41" max="42" width="13.1796875" style="57" bestFit="1" customWidth="1"/>
    <col min="43" max="43" width="12.81640625" style="57" bestFit="1" customWidth="1"/>
    <col min="44" max="44" width="13.1796875" style="57" bestFit="1" customWidth="1"/>
    <col min="45" max="45" width="12.81640625" style="57" bestFit="1" customWidth="1"/>
    <col min="46" max="46" width="13.1796875" style="57" bestFit="1" customWidth="1"/>
    <col min="47" max="47" width="12.81640625" style="57" bestFit="1" customWidth="1"/>
    <col min="48" max="48" width="13.1796875" style="57" bestFit="1" customWidth="1"/>
    <col min="49" max="49" width="12.81640625" style="57" bestFit="1" customWidth="1"/>
    <col min="50" max="50" width="12.54296875" style="57" customWidth="1"/>
    <col min="51" max="16384" width="9.1796875" style="57"/>
  </cols>
  <sheetData>
    <row r="1" spans="1:50" ht="14">
      <c r="A1" s="83"/>
      <c r="B1" s="84" t="s">
        <v>1507</v>
      </c>
      <c r="C1" s="137">
        <f>_FormulaHelpers_!B43</f>
        <v>0</v>
      </c>
      <c r="D1" s="138"/>
      <c r="E1" s="138"/>
      <c r="F1" s="138"/>
      <c r="G1" s="138"/>
      <c r="H1" s="138"/>
      <c r="I1" s="138"/>
      <c r="J1" s="138"/>
      <c r="K1" s="138"/>
      <c r="L1" s="139"/>
      <c r="M1" s="250"/>
      <c r="N1" s="251"/>
      <c r="O1" s="86"/>
      <c r="P1" s="86"/>
      <c r="Q1" s="86"/>
      <c r="R1" s="86"/>
      <c r="S1" s="252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spans="1:50" ht="14">
      <c r="A2" s="87"/>
      <c r="B2" s="84" t="s">
        <v>1508</v>
      </c>
      <c r="C2" s="140">
        <f>_FormulaHelpers_!B44</f>
        <v>0</v>
      </c>
      <c r="D2" s="141"/>
      <c r="E2" s="141"/>
      <c r="F2" s="141"/>
      <c r="G2" s="141"/>
      <c r="H2" s="141"/>
      <c r="I2" s="141"/>
      <c r="J2" s="141"/>
      <c r="K2" s="141"/>
      <c r="L2" s="142"/>
      <c r="M2" s="253"/>
      <c r="N2" s="254"/>
    </row>
    <row r="3" spans="1:50" ht="14">
      <c r="A3" s="87"/>
      <c r="B3" s="84" t="s">
        <v>1794</v>
      </c>
      <c r="C3" s="140">
        <f>_FormulaHelpers_!B45</f>
        <v>0</v>
      </c>
      <c r="D3" s="141"/>
      <c r="E3" s="141"/>
      <c r="F3" s="141"/>
      <c r="G3" s="141"/>
      <c r="H3" s="141"/>
      <c r="I3" s="142"/>
      <c r="J3" s="84" t="s">
        <v>1510</v>
      </c>
      <c r="K3" s="132" t="str">
        <f>_FormulaHelpers_!B48</f>
        <v>Base</v>
      </c>
      <c r="L3" s="132"/>
      <c r="M3" s="253"/>
      <c r="N3" s="254"/>
    </row>
    <row r="4" spans="1:50" ht="14">
      <c r="A4" s="88"/>
      <c r="B4" s="84" t="s">
        <v>1509</v>
      </c>
      <c r="C4" s="143">
        <f>_FormulaHelpers_!B46</f>
        <v>45703</v>
      </c>
      <c r="D4" s="144"/>
      <c r="E4" s="144"/>
      <c r="F4" s="144"/>
      <c r="G4" s="144"/>
      <c r="H4" s="144"/>
      <c r="I4" s="145"/>
      <c r="J4" s="84" t="s">
        <v>1795</v>
      </c>
      <c r="K4" s="132" t="str">
        <f>_FormulaHelpers_!B52</f>
        <v>Normal</v>
      </c>
      <c r="L4" s="132"/>
      <c r="M4" s="256"/>
      <c r="N4" s="257"/>
    </row>
    <row r="5" spans="1:50" ht="18.75" customHeight="1">
      <c r="A5" s="134" t="s">
        <v>536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86"/>
      <c r="P5" s="86"/>
      <c r="Q5" s="86"/>
      <c r="R5" s="86"/>
      <c r="S5" s="252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</row>
    <row r="7" spans="1:50" s="114" customFormat="1" ht="15" customHeight="1">
      <c r="A7" s="176" t="s">
        <v>1922</v>
      </c>
      <c r="B7" s="176" t="s">
        <v>4616</v>
      </c>
      <c r="C7" s="176" t="s">
        <v>2230</v>
      </c>
      <c r="D7" s="146" t="s">
        <v>2152</v>
      </c>
      <c r="E7" s="176" t="s">
        <v>1512</v>
      </c>
      <c r="F7" s="176" t="s">
        <v>1602</v>
      </c>
      <c r="G7" s="176" t="s">
        <v>4697</v>
      </c>
      <c r="H7" s="176" t="s">
        <v>2241</v>
      </c>
      <c r="I7" s="176" t="s">
        <v>2242</v>
      </c>
      <c r="J7" s="258" t="s">
        <v>537</v>
      </c>
      <c r="K7" s="258" t="s">
        <v>1802</v>
      </c>
      <c r="L7" s="258" t="s">
        <v>538</v>
      </c>
      <c r="M7" s="258" t="s">
        <v>539</v>
      </c>
      <c r="N7" s="258" t="s">
        <v>540</v>
      </c>
      <c r="O7" s="258" t="s">
        <v>541</v>
      </c>
      <c r="P7" s="258" t="s">
        <v>542</v>
      </c>
      <c r="Q7" s="258" t="s">
        <v>543</v>
      </c>
      <c r="R7" s="258" t="s">
        <v>544</v>
      </c>
      <c r="S7" s="259" t="s">
        <v>545</v>
      </c>
      <c r="T7" s="258" t="s">
        <v>546</v>
      </c>
      <c r="U7" s="258" t="s">
        <v>547</v>
      </c>
      <c r="V7" s="258" t="s">
        <v>548</v>
      </c>
      <c r="W7" s="258" t="s">
        <v>4765</v>
      </c>
      <c r="X7" s="176" t="s">
        <v>549</v>
      </c>
      <c r="Y7" s="176" t="s">
        <v>550</v>
      </c>
      <c r="Z7" s="176" t="s">
        <v>552</v>
      </c>
      <c r="AA7" s="176" t="s">
        <v>553</v>
      </c>
      <c r="AB7" s="176"/>
      <c r="AC7" s="176" t="s">
        <v>559</v>
      </c>
      <c r="AD7" s="176"/>
      <c r="AE7" s="176"/>
      <c r="AF7" s="176"/>
      <c r="AG7" s="176"/>
      <c r="AH7" s="176"/>
      <c r="AI7" s="176" t="s">
        <v>561</v>
      </c>
      <c r="AJ7" s="176"/>
      <c r="AK7" s="176"/>
      <c r="AL7" s="176" t="s">
        <v>12</v>
      </c>
      <c r="AM7" s="146" t="s">
        <v>2223</v>
      </c>
      <c r="AN7" s="61"/>
      <c r="AO7" s="61"/>
      <c r="AP7" s="61"/>
      <c r="AQ7" s="172"/>
      <c r="AR7" s="173"/>
      <c r="AS7" s="172"/>
      <c r="AT7" s="173"/>
      <c r="AU7" s="172"/>
      <c r="AV7" s="173"/>
      <c r="AW7" s="172"/>
      <c r="AX7" s="173"/>
    </row>
    <row r="8" spans="1:50" s="114" customFormat="1" ht="15" customHeight="1">
      <c r="A8" s="176"/>
      <c r="B8" s="176"/>
      <c r="C8" s="176"/>
      <c r="D8" s="147"/>
      <c r="E8" s="176"/>
      <c r="F8" s="176"/>
      <c r="G8" s="176"/>
      <c r="H8" s="176"/>
      <c r="I8" s="176"/>
      <c r="J8" s="258"/>
      <c r="K8" s="258"/>
      <c r="L8" s="258"/>
      <c r="M8" s="258"/>
      <c r="N8" s="258"/>
      <c r="O8" s="258"/>
      <c r="P8" s="258"/>
      <c r="Q8" s="258"/>
      <c r="R8" s="258"/>
      <c r="S8" s="259"/>
      <c r="T8" s="258"/>
      <c r="U8" s="258"/>
      <c r="V8" s="258"/>
      <c r="W8" s="258"/>
      <c r="X8" s="176"/>
      <c r="Y8" s="176"/>
      <c r="Z8" s="176"/>
      <c r="AA8" s="176" t="s">
        <v>554</v>
      </c>
      <c r="AB8" s="176" t="s">
        <v>555</v>
      </c>
      <c r="AC8" s="176" t="s">
        <v>558</v>
      </c>
      <c r="AD8" s="176"/>
      <c r="AE8" s="176"/>
      <c r="AF8" s="176" t="s">
        <v>560</v>
      </c>
      <c r="AG8" s="176"/>
      <c r="AH8" s="176"/>
      <c r="AI8" s="146" t="s">
        <v>370</v>
      </c>
      <c r="AJ8" s="176" t="s">
        <v>2249</v>
      </c>
      <c r="AK8" s="176"/>
      <c r="AL8" s="176"/>
      <c r="AM8" s="147"/>
      <c r="AN8" s="62" t="s">
        <v>2295</v>
      </c>
      <c r="AO8" s="63" t="s">
        <v>2296</v>
      </c>
      <c r="AP8" s="63" t="s">
        <v>2297</v>
      </c>
      <c r="AQ8" s="174" t="s">
        <v>2286</v>
      </c>
      <c r="AR8" s="175"/>
      <c r="AS8" s="174" t="s">
        <v>2287</v>
      </c>
      <c r="AT8" s="175"/>
      <c r="AU8" s="174" t="s">
        <v>2288</v>
      </c>
      <c r="AV8" s="175"/>
      <c r="AW8" s="174" t="s">
        <v>2298</v>
      </c>
      <c r="AX8" s="175"/>
    </row>
    <row r="9" spans="1:50" s="114" customFormat="1" ht="15" customHeight="1">
      <c r="A9" s="176"/>
      <c r="B9" s="176"/>
      <c r="C9" s="176"/>
      <c r="D9" s="148"/>
      <c r="E9" s="176"/>
      <c r="F9" s="176"/>
      <c r="G9" s="176"/>
      <c r="H9" s="176"/>
      <c r="I9" s="176"/>
      <c r="J9" s="258"/>
      <c r="K9" s="258"/>
      <c r="L9" s="258"/>
      <c r="M9" s="258"/>
      <c r="N9" s="258"/>
      <c r="O9" s="258"/>
      <c r="P9" s="258"/>
      <c r="Q9" s="258"/>
      <c r="R9" s="258"/>
      <c r="S9" s="259"/>
      <c r="T9" s="258"/>
      <c r="U9" s="258"/>
      <c r="V9" s="258"/>
      <c r="W9" s="258" t="s">
        <v>4765</v>
      </c>
      <c r="X9" s="176"/>
      <c r="Y9" s="176"/>
      <c r="Z9" s="176"/>
      <c r="AA9" s="176"/>
      <c r="AB9" s="176"/>
      <c r="AC9" s="113" t="s">
        <v>556</v>
      </c>
      <c r="AD9" s="113" t="s">
        <v>1612</v>
      </c>
      <c r="AE9" s="113" t="s">
        <v>557</v>
      </c>
      <c r="AF9" s="113" t="s">
        <v>556</v>
      </c>
      <c r="AG9" s="113" t="s">
        <v>1612</v>
      </c>
      <c r="AH9" s="113" t="s">
        <v>557</v>
      </c>
      <c r="AI9" s="148"/>
      <c r="AJ9" s="113" t="s">
        <v>2167</v>
      </c>
      <c r="AK9" s="113" t="s">
        <v>2166</v>
      </c>
      <c r="AL9" s="176"/>
      <c r="AM9" s="148"/>
      <c r="AN9" s="59"/>
      <c r="AO9" s="59"/>
      <c r="AP9" s="59"/>
      <c r="AQ9" s="59" t="s">
        <v>2289</v>
      </c>
      <c r="AR9" s="59" t="s">
        <v>2290</v>
      </c>
      <c r="AS9" s="59" t="s">
        <v>2291</v>
      </c>
      <c r="AT9" s="59" t="s">
        <v>2292</v>
      </c>
      <c r="AU9" s="59" t="s">
        <v>2293</v>
      </c>
      <c r="AV9" s="59" t="s">
        <v>2294</v>
      </c>
      <c r="AW9" s="59" t="s">
        <v>2293</v>
      </c>
      <c r="AX9" s="59" t="s">
        <v>2294</v>
      </c>
    </row>
    <row r="10" spans="1:50" ht="15" hidden="1" customHeight="1">
      <c r="A10" s="105" t="s">
        <v>1853</v>
      </c>
      <c r="B10" s="105" t="s">
        <v>2248</v>
      </c>
      <c r="C10" s="105" t="s">
        <v>2231</v>
      </c>
      <c r="D10" s="105" t="s">
        <v>2153</v>
      </c>
      <c r="E10" s="105" t="s">
        <v>1854</v>
      </c>
      <c r="F10" s="127" t="s">
        <v>4693</v>
      </c>
      <c r="G10" s="127" t="s">
        <v>4696</v>
      </c>
      <c r="H10" s="105" t="s">
        <v>2267</v>
      </c>
      <c r="I10" s="105" t="s">
        <v>2268</v>
      </c>
      <c r="J10" s="242" t="s">
        <v>588</v>
      </c>
      <c r="K10" s="105">
        <f>Frequency</f>
        <v>60</v>
      </c>
      <c r="L10" s="260" t="s">
        <v>589</v>
      </c>
      <c r="M10" s="260" t="s">
        <v>590</v>
      </c>
      <c r="N10" s="260" t="s">
        <v>591</v>
      </c>
      <c r="O10" s="260" t="s">
        <v>592</v>
      </c>
      <c r="P10" s="242" t="s">
        <v>593</v>
      </c>
      <c r="Q10" s="242" t="s">
        <v>594</v>
      </c>
      <c r="R10" s="242" t="s">
        <v>595</v>
      </c>
      <c r="S10" s="261" t="s">
        <v>4705</v>
      </c>
      <c r="T10" s="260" t="s">
        <v>596</v>
      </c>
      <c r="U10" s="260" t="s">
        <v>588</v>
      </c>
      <c r="V10" s="260" t="s">
        <v>597</v>
      </c>
      <c r="W10" s="260" t="s">
        <v>4855</v>
      </c>
      <c r="X10" s="260" t="s">
        <v>5019</v>
      </c>
      <c r="Y10" s="127" t="s">
        <v>551</v>
      </c>
      <c r="Z10" s="127" t="s">
        <v>565</v>
      </c>
      <c r="AA10" s="127" t="s">
        <v>566</v>
      </c>
      <c r="AB10" s="127" t="s">
        <v>567</v>
      </c>
      <c r="AC10" s="127" t="s">
        <v>568</v>
      </c>
      <c r="AD10" s="127" t="s">
        <v>569</v>
      </c>
      <c r="AE10" s="127" t="s">
        <v>570</v>
      </c>
      <c r="AF10" s="127" t="s">
        <v>5055</v>
      </c>
      <c r="AG10" s="262" t="s">
        <v>5056</v>
      </c>
      <c r="AH10" s="127" t="s">
        <v>5057</v>
      </c>
      <c r="AI10" s="105" t="s">
        <v>2250</v>
      </c>
      <c r="AJ10" s="105" t="s">
        <v>5058</v>
      </c>
      <c r="AK10" s="105" t="s">
        <v>5059</v>
      </c>
      <c r="AL10" s="60" t="s">
        <v>571</v>
      </c>
      <c r="AM10" s="244" t="s">
        <v>2224</v>
      </c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</row>
    <row r="11" spans="1:50">
      <c r="A11" s="105" t="s">
        <v>5770</v>
      </c>
      <c r="B11" s="105">
        <v>1</v>
      </c>
      <c r="C11" s="105" t="str">
        <f>IF(TRUE = TRUE, "Yes", "No")</f>
        <v>Yes</v>
      </c>
      <c r="D11" s="105" t="s">
        <v>5202</v>
      </c>
      <c r="E11" s="105"/>
      <c r="F11" s="127" t="str">
        <f>IF(0 = 0, "3", "1")</f>
        <v>3</v>
      </c>
      <c r="G11" s="127" t="str">
        <f>IF(0 = 1, CHOOSE((3-1),  "2", "3"), "--")</f>
        <v>--</v>
      </c>
      <c r="H11" s="105" t="str">
        <f>IF(TRIM("BUS_CNODE_JCT__1324") = "", "BUS_CNODE_JCT__1324", "BUS_CNODE_JCT__1324")</f>
        <v>BUS_CNODE_JCT__1324</v>
      </c>
      <c r="I11" s="105" t="str">
        <f>IF(TRIM("BUS_CNODE_JCT__1325") = "", "BUS_CNODE_JCT__1325", "BUS_CNODE_JCT__1325")</f>
        <v>BUS_CNODE_JCT__1325</v>
      </c>
      <c r="J11" s="242"/>
      <c r="K11" s="105">
        <v>60</v>
      </c>
      <c r="L11" s="260"/>
      <c r="M11" s="260"/>
      <c r="N11" s="260"/>
      <c r="O11" s="260"/>
      <c r="P11" s="242"/>
      <c r="Q11" s="242"/>
      <c r="R11" s="242"/>
      <c r="S11" s="261" t="s">
        <v>5771</v>
      </c>
      <c r="T11" s="260"/>
      <c r="U11" s="260"/>
      <c r="V11" s="260"/>
      <c r="W11" s="260"/>
      <c r="X11" s="260">
        <f>ROUND(19, 7)</f>
        <v>19</v>
      </c>
      <c r="Y11" s="127">
        <v>0</v>
      </c>
      <c r="Z11" s="127">
        <f>ROUND(0,2)</f>
        <v>0</v>
      </c>
      <c r="AA11" s="127">
        <f>ROUND(75, 1)</f>
        <v>75</v>
      </c>
      <c r="AB11" s="127">
        <f>ROUND(75, 1)</f>
        <v>75</v>
      </c>
      <c r="AC11" s="127">
        <f>ROUND(0.342999995, 3)</f>
        <v>0.34300000000000003</v>
      </c>
      <c r="AD11" s="127">
        <f>ROUND(0.115000002, 3)</f>
        <v>0.115</v>
      </c>
      <c r="AE11" s="127">
        <f>ROUND(0, 5)</f>
        <v>0</v>
      </c>
      <c r="AF11" s="127">
        <f>IF(0 = 0,ROUND(0.545369983, 3),"--")</f>
        <v>0.54500000000000004</v>
      </c>
      <c r="AG11" s="262">
        <f>IF(0 = 0,ROUND(0.292100012, 3),"--")</f>
        <v>0.29199999999999998</v>
      </c>
      <c r="AH11" s="127">
        <f>IF(0 = 0,ROUND(0, 5),"--")</f>
        <v>0</v>
      </c>
      <c r="AI11" s="105" t="str">
        <f>IF(0 = 0, "Ohms per", "Ohms")</f>
        <v>Ohms per</v>
      </c>
      <c r="AJ11" s="105">
        <f>IF(0 = 0,1000,"--")</f>
        <v>1000</v>
      </c>
      <c r="AK11" s="105" t="str">
        <f>IF(0 = 0,CHOOSE((0 + 1), "ft", "mile", "m", "km"),"--")</f>
        <v>ft</v>
      </c>
      <c r="AL11" s="60"/>
      <c r="AM11" s="53" t="s">
        <v>5772</v>
      </c>
    </row>
    <row r="12" spans="1:50">
      <c r="A12" s="105" t="s">
        <v>5773</v>
      </c>
      <c r="B12" s="105">
        <v>1</v>
      </c>
      <c r="C12" s="105" t="str">
        <f>IF(TRUE = TRUE, "Yes", "No")</f>
        <v>Yes</v>
      </c>
      <c r="D12" s="105" t="s">
        <v>5202</v>
      </c>
      <c r="E12" s="105"/>
      <c r="F12" s="127" t="str">
        <f>IF(0 = 0, "3", "1")</f>
        <v>3</v>
      </c>
      <c r="G12" s="127" t="str">
        <f>IF(0 = 1, CHOOSE((3-1),  "2", "3"), "--")</f>
        <v>--</v>
      </c>
      <c r="H12" s="105" t="str">
        <f>IF(TRIM("BUS_CNODE_JCT__1326") = "", "BUS_CNODE_JCT__1326", "BUS_CNODE_JCT__1326")</f>
        <v>BUS_CNODE_JCT__1326</v>
      </c>
      <c r="I12" s="105" t="str">
        <f>IF(TRIM("BUS_CNODE_JCT__1327") = "", "BUS_CNODE_JCT__1327", "BUS_CNODE_JCT__1327")</f>
        <v>BUS_CNODE_JCT__1327</v>
      </c>
      <c r="J12" s="242"/>
      <c r="K12" s="105">
        <v>60</v>
      </c>
      <c r="L12" s="260"/>
      <c r="M12" s="260"/>
      <c r="N12" s="260"/>
      <c r="O12" s="260"/>
      <c r="P12" s="242"/>
      <c r="Q12" s="242"/>
      <c r="R12" s="242"/>
      <c r="S12" s="261" t="s">
        <v>5771</v>
      </c>
      <c r="T12" s="260"/>
      <c r="U12" s="260"/>
      <c r="V12" s="260"/>
      <c r="W12" s="260"/>
      <c r="X12" s="260">
        <f>ROUND(8, 7)</f>
        <v>8</v>
      </c>
      <c r="Y12" s="127">
        <v>0</v>
      </c>
      <c r="Z12" s="127">
        <f>ROUND(0,2)</f>
        <v>0</v>
      </c>
      <c r="AA12" s="127">
        <f>ROUND(75, 1)</f>
        <v>75</v>
      </c>
      <c r="AB12" s="127">
        <f>ROUND(75, 1)</f>
        <v>75</v>
      </c>
      <c r="AC12" s="127">
        <f>ROUND(0.342999995, 3)</f>
        <v>0.34300000000000003</v>
      </c>
      <c r="AD12" s="127">
        <f>ROUND(0.115000002, 3)</f>
        <v>0.115</v>
      </c>
      <c r="AE12" s="127">
        <f>ROUND(0, 5)</f>
        <v>0</v>
      </c>
      <c r="AF12" s="127">
        <f>IF(0 = 0,ROUND(0.545369983, 3),"--")</f>
        <v>0.54500000000000004</v>
      </c>
      <c r="AG12" s="262">
        <f>IF(0 = 0,ROUND(0.292100012, 3),"--")</f>
        <v>0.29199999999999998</v>
      </c>
      <c r="AH12" s="127">
        <f>IF(0 = 0,ROUND(0, 5),"--")</f>
        <v>0</v>
      </c>
      <c r="AI12" s="105" t="str">
        <f>IF(0 = 0, "Ohms per", "Ohms")</f>
        <v>Ohms per</v>
      </c>
      <c r="AJ12" s="105">
        <f>IF(0 = 0,1000,"--")</f>
        <v>1000</v>
      </c>
      <c r="AK12" s="105" t="str">
        <f>IF(0 = 0,CHOOSE((0 + 1), "ft", "mile", "m", "km"),"--")</f>
        <v>ft</v>
      </c>
      <c r="AL12" s="60"/>
      <c r="AM12" s="53" t="s">
        <v>5774</v>
      </c>
    </row>
    <row r="13" spans="1:50">
      <c r="A13" s="105" t="s">
        <v>5775</v>
      </c>
      <c r="B13" s="105">
        <v>1</v>
      </c>
      <c r="C13" s="105" t="str">
        <f>IF(TRUE = TRUE, "Yes", "No")</f>
        <v>Yes</v>
      </c>
      <c r="D13" s="105" t="s">
        <v>5202</v>
      </c>
      <c r="E13" s="105"/>
      <c r="F13" s="127" t="str">
        <f>IF(0 = 0, "3", "1")</f>
        <v>3</v>
      </c>
      <c r="G13" s="127" t="str">
        <f>IF(0 = 1, CHOOSE((3-1),  "2", "3"), "--")</f>
        <v>--</v>
      </c>
      <c r="H13" s="105" t="str">
        <f>IF(TRIM("BUS_CNODE_JCT__1357") = "", "BUS_CNODE_JCT__1357", "BUS_CNODE_JCT__1357")</f>
        <v>BUS_CNODE_JCT__1357</v>
      </c>
      <c r="I13" s="105" t="str">
        <f>IF(TRIM("BUS_CNODE_JCT__1358") = "", "BUS_CNODE_JCT__1358", "BUS_CNODE_JCT__1358")</f>
        <v>BUS_CNODE_JCT__1358</v>
      </c>
      <c r="J13" s="242"/>
      <c r="K13" s="105">
        <v>60</v>
      </c>
      <c r="L13" s="260"/>
      <c r="M13" s="260"/>
      <c r="N13" s="260"/>
      <c r="O13" s="260"/>
      <c r="P13" s="242"/>
      <c r="Q13" s="242"/>
      <c r="R13" s="242"/>
      <c r="S13" s="261" t="s">
        <v>5771</v>
      </c>
      <c r="T13" s="260"/>
      <c r="U13" s="260"/>
      <c r="V13" s="260"/>
      <c r="W13" s="260"/>
      <c r="X13" s="260">
        <f>ROUND(5, 7)</f>
        <v>5</v>
      </c>
      <c r="Y13" s="127">
        <v>0</v>
      </c>
      <c r="Z13" s="127">
        <f>ROUND(0,2)</f>
        <v>0</v>
      </c>
      <c r="AA13" s="127">
        <f>ROUND(75, 1)</f>
        <v>75</v>
      </c>
      <c r="AB13" s="127">
        <f>ROUND(75, 1)</f>
        <v>75</v>
      </c>
      <c r="AC13" s="127">
        <f>ROUND(0.064000003, 3)</f>
        <v>6.4000000000000001E-2</v>
      </c>
      <c r="AD13" s="127">
        <f>ROUND(0.0892999992, 3)</f>
        <v>8.8999999999999996E-2</v>
      </c>
      <c r="AE13" s="127">
        <f>ROUND(0, 5)</f>
        <v>0</v>
      </c>
      <c r="AF13" s="127">
        <f>IF(0 = 0,ROUND(0.10176, 3),"--")</f>
        <v>0.10199999999999999</v>
      </c>
      <c r="AG13" s="262">
        <f>IF(0 = 0,ROUND(0.226822004, 3),"--")</f>
        <v>0.22700000000000001</v>
      </c>
      <c r="AH13" s="127">
        <f>IF(0 = 0,ROUND(0, 5),"--")</f>
        <v>0</v>
      </c>
      <c r="AI13" s="105" t="str">
        <f>IF(0 = 0, "Ohms per", "Ohms")</f>
        <v>Ohms per</v>
      </c>
      <c r="AJ13" s="105">
        <f>IF(0 = 0,1000,"--")</f>
        <v>1000</v>
      </c>
      <c r="AK13" s="105" t="str">
        <f>IF(0 = 0,CHOOSE((0 + 1), "ft", "mile", "m", "km"),"--")</f>
        <v>ft</v>
      </c>
      <c r="AL13" s="60"/>
      <c r="AM13" s="53" t="s">
        <v>5776</v>
      </c>
    </row>
    <row r="14" spans="1:50">
      <c r="A14" s="105" t="s">
        <v>5777</v>
      </c>
      <c r="B14" s="105">
        <v>1</v>
      </c>
      <c r="C14" s="105" t="str">
        <f>IF(TRUE = TRUE, "Yes", "No")</f>
        <v>Yes</v>
      </c>
      <c r="D14" s="105" t="s">
        <v>5202</v>
      </c>
      <c r="E14" s="105"/>
      <c r="F14" s="127" t="str">
        <f>IF(0 = 0, "3", "1")</f>
        <v>3</v>
      </c>
      <c r="G14" s="127" t="str">
        <f>IF(0 = 1, CHOOSE((3-1),  "2", "3"), "--")</f>
        <v>--</v>
      </c>
      <c r="H14" s="105" t="str">
        <f>IF(TRIM("BUS_CNODE_JCT__1341") = "", "BUS_CNODE_JCT__1341", "BUS_CNODE_JCT__1341")</f>
        <v>BUS_CNODE_JCT__1341</v>
      </c>
      <c r="I14" s="105" t="str">
        <f>IF(TRIM("BUS_CNODE_JCT__1342") = "", "BUS_CNODE_JCT__1342", "BUS_CNODE_JCT__1342")</f>
        <v>BUS_CNODE_JCT__1342</v>
      </c>
      <c r="J14" s="242"/>
      <c r="K14" s="105">
        <v>60</v>
      </c>
      <c r="L14" s="260"/>
      <c r="M14" s="260"/>
      <c r="N14" s="260"/>
      <c r="O14" s="260"/>
      <c r="P14" s="242"/>
      <c r="Q14" s="242"/>
      <c r="R14" s="242"/>
      <c r="S14" s="261" t="s">
        <v>5771</v>
      </c>
      <c r="T14" s="260"/>
      <c r="U14" s="260"/>
      <c r="V14" s="260"/>
      <c r="W14" s="260"/>
      <c r="X14" s="260">
        <f>ROUND(327, 7)</f>
        <v>327</v>
      </c>
      <c r="Y14" s="127">
        <v>0</v>
      </c>
      <c r="Z14" s="127">
        <f>ROUND(0,2)</f>
        <v>0</v>
      </c>
      <c r="AA14" s="127">
        <f>ROUND(75, 1)</f>
        <v>75</v>
      </c>
      <c r="AB14" s="127">
        <f>ROUND(75, 1)</f>
        <v>75</v>
      </c>
      <c r="AC14" s="127">
        <f>ROUND(0.342999995, 3)</f>
        <v>0.34300000000000003</v>
      </c>
      <c r="AD14" s="127">
        <f>ROUND(0.115000002, 3)</f>
        <v>0.115</v>
      </c>
      <c r="AE14" s="127">
        <f>ROUND(0, 5)</f>
        <v>0</v>
      </c>
      <c r="AF14" s="127">
        <f>IF(0 = 0,ROUND(0.545369983, 3),"--")</f>
        <v>0.54500000000000004</v>
      </c>
      <c r="AG14" s="262">
        <f>IF(0 = 0,ROUND(0.292100012, 3),"--")</f>
        <v>0.29199999999999998</v>
      </c>
      <c r="AH14" s="127">
        <f>IF(0 = 0,ROUND(0, 5),"--")</f>
        <v>0</v>
      </c>
      <c r="AI14" s="105" t="str">
        <f>IF(0 = 0, "Ohms per", "Ohms")</f>
        <v>Ohms per</v>
      </c>
      <c r="AJ14" s="105">
        <f>IF(0 = 0,1000,"--")</f>
        <v>1000</v>
      </c>
      <c r="AK14" s="105" t="str">
        <f>IF(0 = 0,CHOOSE((0 + 1), "ft", "mile", "m", "km"),"--")</f>
        <v>ft</v>
      </c>
      <c r="AL14" s="60"/>
      <c r="AM14" s="53" t="s">
        <v>5778</v>
      </c>
    </row>
    <row r="15" spans="1:50">
      <c r="A15" s="105" t="s">
        <v>5779</v>
      </c>
      <c r="B15" s="105">
        <v>1</v>
      </c>
      <c r="C15" s="105" t="str">
        <f>IF(TRUE = TRUE, "Yes", "No")</f>
        <v>Yes</v>
      </c>
      <c r="D15" s="105" t="s">
        <v>5202</v>
      </c>
      <c r="E15" s="105"/>
      <c r="F15" s="127" t="str">
        <f>IF(0 = 0, "3", "1")</f>
        <v>3</v>
      </c>
      <c r="G15" s="127" t="str">
        <f>IF(0 = 1, CHOOSE((3-1),  "2", "3"), "--")</f>
        <v>--</v>
      </c>
      <c r="H15" s="105" t="str">
        <f>IF(TRIM("BUS_CNODE_JCT__1343") = "", "BUS_CNODE_JCT__1343", "BUS_CNODE_JCT__1343")</f>
        <v>BUS_CNODE_JCT__1343</v>
      </c>
      <c r="I15" s="105" t="str">
        <f>IF(TRIM("BUS_平花苑#4变高压母线_239") = "", "BUS_平花苑#4变高压母线_239", "BUS_平花苑#4变高压母线_239")</f>
        <v>BUS_平花苑#4变高压母线_239</v>
      </c>
      <c r="J15" s="242"/>
      <c r="K15" s="105">
        <v>60</v>
      </c>
      <c r="L15" s="260"/>
      <c r="M15" s="260"/>
      <c r="N15" s="260"/>
      <c r="O15" s="260"/>
      <c r="P15" s="242"/>
      <c r="Q15" s="242"/>
      <c r="R15" s="242"/>
      <c r="S15" s="261" t="s">
        <v>5771</v>
      </c>
      <c r="T15" s="260"/>
      <c r="U15" s="260"/>
      <c r="V15" s="260"/>
      <c r="W15" s="260"/>
      <c r="X15" s="260">
        <f>ROUND(26, 7)</f>
        <v>26</v>
      </c>
      <c r="Y15" s="127">
        <v>0</v>
      </c>
      <c r="Z15" s="127">
        <f>ROUND(0,2)</f>
        <v>0</v>
      </c>
      <c r="AA15" s="127">
        <f>ROUND(75, 1)</f>
        <v>75</v>
      </c>
      <c r="AB15" s="127">
        <f>ROUND(75, 1)</f>
        <v>75</v>
      </c>
      <c r="AC15" s="127">
        <f>ROUND(0.342999995, 3)</f>
        <v>0.34300000000000003</v>
      </c>
      <c r="AD15" s="127">
        <f>ROUND(0.115000002, 3)</f>
        <v>0.115</v>
      </c>
      <c r="AE15" s="127">
        <f>ROUND(0, 5)</f>
        <v>0</v>
      </c>
      <c r="AF15" s="127">
        <f>IF(0 = 0,ROUND(0.545369983, 3),"--")</f>
        <v>0.54500000000000004</v>
      </c>
      <c r="AG15" s="262">
        <f>IF(0 = 0,ROUND(0.292100012, 3),"--")</f>
        <v>0.29199999999999998</v>
      </c>
      <c r="AH15" s="127">
        <f>IF(0 = 0,ROUND(0, 5),"--")</f>
        <v>0</v>
      </c>
      <c r="AI15" s="105" t="str">
        <f>IF(0 = 0, "Ohms per", "Ohms")</f>
        <v>Ohms per</v>
      </c>
      <c r="AJ15" s="105">
        <f>IF(0 = 0,1000,"--")</f>
        <v>1000</v>
      </c>
      <c r="AK15" s="105" t="str">
        <f>IF(0 = 0,CHOOSE((0 + 1), "ft", "mile", "m", "km"),"--")</f>
        <v>ft</v>
      </c>
      <c r="AL15" s="60"/>
      <c r="AM15" s="53" t="s">
        <v>5780</v>
      </c>
    </row>
    <row r="16" spans="1:50">
      <c r="A16" s="105" t="s">
        <v>5781</v>
      </c>
      <c r="B16" s="105">
        <v>1</v>
      </c>
      <c r="C16" s="105" t="str">
        <f>IF(TRUE = TRUE, "Yes", "No")</f>
        <v>Yes</v>
      </c>
      <c r="D16" s="105" t="s">
        <v>5202</v>
      </c>
      <c r="E16" s="105"/>
      <c r="F16" s="127" t="str">
        <f>IF(0 = 0, "3", "1")</f>
        <v>3</v>
      </c>
      <c r="G16" s="127" t="str">
        <f>IF(0 = 1, CHOOSE((3-1),  "2", "3"), "--")</f>
        <v>--</v>
      </c>
      <c r="H16" s="105" t="str">
        <f>IF(TRIM("BUS_CNODE_JCT__1354") = "", "BUS_CNODE_JCT__1354", "BUS_CNODE_JCT__1354")</f>
        <v>BUS_CNODE_JCT__1354</v>
      </c>
      <c r="I16" s="105" t="str">
        <f>IF(TRIM("BUS_平花苑#5变高压母线_237") = "", "BUS_平花苑#5变高压母线_237", "BUS_平花苑#5变高压母线_237")</f>
        <v>BUS_平花苑#5变高压母线_237</v>
      </c>
      <c r="J16" s="242"/>
      <c r="K16" s="105">
        <v>60</v>
      </c>
      <c r="L16" s="260"/>
      <c r="M16" s="260"/>
      <c r="N16" s="260"/>
      <c r="O16" s="260"/>
      <c r="P16" s="242"/>
      <c r="Q16" s="242"/>
      <c r="R16" s="242"/>
      <c r="S16" s="261" t="s">
        <v>5771</v>
      </c>
      <c r="T16" s="260"/>
      <c r="U16" s="260"/>
      <c r="V16" s="260"/>
      <c r="W16" s="260"/>
      <c r="X16" s="260">
        <f>ROUND(321, 7)</f>
        <v>321</v>
      </c>
      <c r="Y16" s="127">
        <v>0</v>
      </c>
      <c r="Z16" s="127">
        <f>ROUND(0,2)</f>
        <v>0</v>
      </c>
      <c r="AA16" s="127">
        <f>ROUND(75, 1)</f>
        <v>75</v>
      </c>
      <c r="AB16" s="127">
        <f>ROUND(75, 1)</f>
        <v>75</v>
      </c>
      <c r="AC16" s="127">
        <f>ROUND(0.342999995, 3)</f>
        <v>0.34300000000000003</v>
      </c>
      <c r="AD16" s="127">
        <f>ROUND(0.115000002, 3)</f>
        <v>0.115</v>
      </c>
      <c r="AE16" s="127">
        <f>ROUND(0, 5)</f>
        <v>0</v>
      </c>
      <c r="AF16" s="127">
        <f>IF(0 = 0,ROUND(0.545369983, 3),"--")</f>
        <v>0.54500000000000004</v>
      </c>
      <c r="AG16" s="262">
        <f>IF(0 = 0,ROUND(0.292100012, 3),"--")</f>
        <v>0.29199999999999998</v>
      </c>
      <c r="AH16" s="127">
        <f>IF(0 = 0,ROUND(0, 5),"--")</f>
        <v>0</v>
      </c>
      <c r="AI16" s="105" t="str">
        <f>IF(0 = 0, "Ohms per", "Ohms")</f>
        <v>Ohms per</v>
      </c>
      <c r="AJ16" s="105">
        <f>IF(0 = 0,1000,"--")</f>
        <v>1000</v>
      </c>
      <c r="AK16" s="105" t="str">
        <f>IF(0 = 0,CHOOSE((0 + 1), "ft", "mile", "m", "km"),"--")</f>
        <v>ft</v>
      </c>
      <c r="AL16" s="60"/>
      <c r="AM16" s="53" t="s">
        <v>5782</v>
      </c>
    </row>
    <row r="17" spans="1:39">
      <c r="A17" s="105" t="s">
        <v>5783</v>
      </c>
      <c r="B17" s="105">
        <v>1</v>
      </c>
      <c r="C17" s="105" t="str">
        <f>IF(TRUE = TRUE, "Yes", "No")</f>
        <v>Yes</v>
      </c>
      <c r="D17" s="105" t="s">
        <v>5202</v>
      </c>
      <c r="E17" s="105"/>
      <c r="F17" s="127" t="str">
        <f>IF(0 = 0, "3", "1")</f>
        <v>3</v>
      </c>
      <c r="G17" s="127" t="str">
        <f>IF(0 = 1, CHOOSE((3-1),  "2", "3"), "--")</f>
        <v>--</v>
      </c>
      <c r="H17" s="105" t="str">
        <f>IF(TRIM("BUS_CNODE_JCT__1373") = "", "BUS_CNODE_JCT__1373", "BUS_CNODE_JCT__1373")</f>
        <v>BUS_CNODE_JCT__1373</v>
      </c>
      <c r="I17" s="105" t="str">
        <f>IF(TRIM("BUS_平花苑#3变高压母线_238") = "", "BUS_平花苑#3变高压母线_238", "BUS_平花苑#3变高压母线_238")</f>
        <v>BUS_平花苑#3变高压母线_238</v>
      </c>
      <c r="J17" s="242"/>
      <c r="K17" s="105">
        <v>60</v>
      </c>
      <c r="L17" s="260"/>
      <c r="M17" s="260"/>
      <c r="N17" s="260"/>
      <c r="O17" s="260"/>
      <c r="P17" s="242"/>
      <c r="Q17" s="242"/>
      <c r="R17" s="242"/>
      <c r="S17" s="261" t="s">
        <v>5771</v>
      </c>
      <c r="T17" s="260"/>
      <c r="U17" s="260"/>
      <c r="V17" s="260"/>
      <c r="W17" s="260"/>
      <c r="X17" s="260">
        <f>ROUND(187, 7)</f>
        <v>187</v>
      </c>
      <c r="Y17" s="127">
        <v>0</v>
      </c>
      <c r="Z17" s="127">
        <f>ROUND(0,2)</f>
        <v>0</v>
      </c>
      <c r="AA17" s="127">
        <f>ROUND(75, 1)</f>
        <v>75</v>
      </c>
      <c r="AB17" s="127">
        <f>ROUND(75, 1)</f>
        <v>75</v>
      </c>
      <c r="AC17" s="127">
        <f>ROUND(0.342999995, 3)</f>
        <v>0.34300000000000003</v>
      </c>
      <c r="AD17" s="127">
        <f>ROUND(0.115000002, 3)</f>
        <v>0.115</v>
      </c>
      <c r="AE17" s="127">
        <f>ROUND(0, 5)</f>
        <v>0</v>
      </c>
      <c r="AF17" s="127">
        <f>IF(0 = 0,ROUND(0.545369983, 3),"--")</f>
        <v>0.54500000000000004</v>
      </c>
      <c r="AG17" s="262">
        <f>IF(0 = 0,ROUND(0.292100012, 3),"--")</f>
        <v>0.29199999999999998</v>
      </c>
      <c r="AH17" s="127">
        <f>IF(0 = 0,ROUND(0, 5),"--")</f>
        <v>0</v>
      </c>
      <c r="AI17" s="105" t="str">
        <f>IF(0 = 0, "Ohms per", "Ohms")</f>
        <v>Ohms per</v>
      </c>
      <c r="AJ17" s="105">
        <f>IF(0 = 0,1000,"--")</f>
        <v>1000</v>
      </c>
      <c r="AK17" s="105" t="str">
        <f>IF(0 = 0,CHOOSE((0 + 1), "ft", "mile", "m", "km"),"--")</f>
        <v>ft</v>
      </c>
      <c r="AL17" s="60"/>
      <c r="AM17" s="53" t="s">
        <v>5784</v>
      </c>
    </row>
    <row r="18" spans="1:39">
      <c r="A18" s="105" t="s">
        <v>5785</v>
      </c>
      <c r="B18" s="105">
        <v>1</v>
      </c>
      <c r="C18" s="105" t="str">
        <f>IF(TRUE = TRUE, "Yes", "No")</f>
        <v>Yes</v>
      </c>
      <c r="D18" s="105" t="s">
        <v>5202</v>
      </c>
      <c r="E18" s="105"/>
      <c r="F18" s="127" t="str">
        <f>IF(0 = 0, "3", "1")</f>
        <v>3</v>
      </c>
      <c r="G18" s="127" t="str">
        <f>IF(0 = 1, CHOOSE((3-1),  "2", "3"), "--")</f>
        <v>--</v>
      </c>
      <c r="H18" s="105" t="str">
        <f>IF(TRIM("BUS_CNODE_JCT__1287") = "", "BUS_CNODE_JCT__1287", "BUS_CNODE_JCT__1287")</f>
        <v>BUS_CNODE_JCT__1287</v>
      </c>
      <c r="I18" s="105" t="str">
        <f>IF(TRIM("BUS_CNODE_JCT__1285") = "", "BUS_CNODE_JCT__1285", "BUS_CNODE_JCT__1285")</f>
        <v>BUS_CNODE_JCT__1285</v>
      </c>
      <c r="J18" s="242"/>
      <c r="K18" s="105">
        <v>60</v>
      </c>
      <c r="L18" s="260"/>
      <c r="M18" s="260"/>
      <c r="N18" s="260"/>
      <c r="O18" s="260"/>
      <c r="P18" s="242"/>
      <c r="Q18" s="242"/>
      <c r="R18" s="242"/>
      <c r="S18" s="261" t="s">
        <v>5771</v>
      </c>
      <c r="T18" s="260"/>
      <c r="U18" s="260"/>
      <c r="V18" s="260"/>
      <c r="W18" s="260"/>
      <c r="X18" s="260">
        <f>ROUND(42, 7)</f>
        <v>42</v>
      </c>
      <c r="Y18" s="127">
        <v>0</v>
      </c>
      <c r="Z18" s="127">
        <f>ROUND(0,2)</f>
        <v>0</v>
      </c>
      <c r="AA18" s="127">
        <f>ROUND(75, 1)</f>
        <v>75</v>
      </c>
      <c r="AB18" s="127">
        <f>ROUND(75, 1)</f>
        <v>75</v>
      </c>
      <c r="AC18" s="127">
        <f>ROUND(0.064000003, 3)</f>
        <v>6.4000000000000001E-2</v>
      </c>
      <c r="AD18" s="127">
        <f>ROUND(0.0892999992, 3)</f>
        <v>8.8999999999999996E-2</v>
      </c>
      <c r="AE18" s="127">
        <f>ROUND(0, 5)</f>
        <v>0</v>
      </c>
      <c r="AF18" s="127">
        <f>IF(0 = 0,ROUND(0.10176, 3),"--")</f>
        <v>0.10199999999999999</v>
      </c>
      <c r="AG18" s="262">
        <f>IF(0 = 0,ROUND(0.226822004, 3),"--")</f>
        <v>0.22700000000000001</v>
      </c>
      <c r="AH18" s="127">
        <f>IF(0 = 0,ROUND(0, 5),"--")</f>
        <v>0</v>
      </c>
      <c r="AI18" s="105" t="str">
        <f>IF(0 = 0, "Ohms per", "Ohms")</f>
        <v>Ohms per</v>
      </c>
      <c r="AJ18" s="105">
        <f>IF(0 = 0,1000,"--")</f>
        <v>1000</v>
      </c>
      <c r="AK18" s="105" t="str">
        <f>IF(0 = 0,CHOOSE((0 + 1), "ft", "mile", "m", "km"),"--")</f>
        <v>ft</v>
      </c>
      <c r="AL18" s="60"/>
      <c r="AM18" s="53" t="s">
        <v>5786</v>
      </c>
    </row>
    <row r="19" spans="1:39">
      <c r="A19" s="105" t="s">
        <v>5787</v>
      </c>
      <c r="B19" s="105">
        <v>1</v>
      </c>
      <c r="C19" s="105" t="str">
        <f>IF(TRUE = TRUE, "Yes", "No")</f>
        <v>Yes</v>
      </c>
      <c r="D19" s="105" t="s">
        <v>5202</v>
      </c>
      <c r="E19" s="105"/>
      <c r="F19" s="127" t="str">
        <f>IF(0 = 0, "3", "1")</f>
        <v>3</v>
      </c>
      <c r="G19" s="127" t="str">
        <f>IF(0 = 1, CHOOSE((3-1),  "2", "3"), "--")</f>
        <v>--</v>
      </c>
      <c r="H19" s="105" t="str">
        <f>IF(TRIM("BUS_CNODE_JCT__1285") = "", "BUS_CNODE_JCT__1285", "BUS_CNODE_JCT__1285")</f>
        <v>BUS_CNODE_JCT__1285</v>
      </c>
      <c r="I19" s="105" t="str">
        <f>IF(TRIM("BUS_CNODE_JCT__1286") = "", "BUS_CNODE_JCT__1286", "BUS_CNODE_JCT__1286")</f>
        <v>BUS_CNODE_JCT__1286</v>
      </c>
      <c r="J19" s="242"/>
      <c r="K19" s="105">
        <v>60</v>
      </c>
      <c r="L19" s="260"/>
      <c r="M19" s="260"/>
      <c r="N19" s="260"/>
      <c r="O19" s="260"/>
      <c r="P19" s="242"/>
      <c r="Q19" s="242"/>
      <c r="R19" s="242"/>
      <c r="S19" s="261" t="s">
        <v>5771</v>
      </c>
      <c r="T19" s="260"/>
      <c r="U19" s="260"/>
      <c r="V19" s="260"/>
      <c r="W19" s="260"/>
      <c r="X19" s="260">
        <f>ROUND(241, 7)</f>
        <v>241</v>
      </c>
      <c r="Y19" s="127">
        <v>0</v>
      </c>
      <c r="Z19" s="127">
        <f>ROUND(0,2)</f>
        <v>0</v>
      </c>
      <c r="AA19" s="127">
        <f>ROUND(75, 1)</f>
        <v>75</v>
      </c>
      <c r="AB19" s="127">
        <f>ROUND(75, 1)</f>
        <v>75</v>
      </c>
      <c r="AC19" s="127">
        <f>ROUND(0.064000003, 3)</f>
        <v>6.4000000000000001E-2</v>
      </c>
      <c r="AD19" s="127">
        <f>ROUND(0.0892999992, 3)</f>
        <v>8.8999999999999996E-2</v>
      </c>
      <c r="AE19" s="127">
        <f>ROUND(0, 5)</f>
        <v>0</v>
      </c>
      <c r="AF19" s="127">
        <f>IF(0 = 0,ROUND(0.10176, 3),"--")</f>
        <v>0.10199999999999999</v>
      </c>
      <c r="AG19" s="262">
        <f>IF(0 = 0,ROUND(0.226822004, 3),"--")</f>
        <v>0.22700000000000001</v>
      </c>
      <c r="AH19" s="127">
        <f>IF(0 = 0,ROUND(0, 5),"--")</f>
        <v>0</v>
      </c>
      <c r="AI19" s="105" t="str">
        <f>IF(0 = 0, "Ohms per", "Ohms")</f>
        <v>Ohms per</v>
      </c>
      <c r="AJ19" s="105">
        <f>IF(0 = 0,1000,"--")</f>
        <v>1000</v>
      </c>
      <c r="AK19" s="105" t="str">
        <f>IF(0 = 0,CHOOSE((0 + 1), "ft", "mile", "m", "km"),"--")</f>
        <v>ft</v>
      </c>
      <c r="AL19" s="60"/>
      <c r="AM19" s="53" t="s">
        <v>5788</v>
      </c>
    </row>
    <row r="20" spans="1:39">
      <c r="A20" s="105" t="s">
        <v>5789</v>
      </c>
      <c r="B20" s="105">
        <v>1</v>
      </c>
      <c r="C20" s="105" t="str">
        <f>IF(TRUE = TRUE, "Yes", "No")</f>
        <v>Yes</v>
      </c>
      <c r="D20" s="105" t="s">
        <v>5202</v>
      </c>
      <c r="E20" s="105"/>
      <c r="F20" s="127" t="str">
        <f>IF(0 = 0, "3", "1")</f>
        <v>3</v>
      </c>
      <c r="G20" s="127" t="str">
        <f>IF(0 = 1, CHOOSE((3-1),  "2", "3"), "--")</f>
        <v>--</v>
      </c>
      <c r="H20" s="105" t="str">
        <f>IF(TRIM("BUS_CNODE_JCT__1298") = "", "BUS_CNODE_JCT__1298", "BUS_CNODE_JCT__1298")</f>
        <v>BUS_CNODE_JCT__1298</v>
      </c>
      <c r="I20" s="105" t="str">
        <f>IF(TRIM("BUS_CNODE_JCT__1296") = "", "BUS_CNODE_JCT__1296", "BUS_CNODE_JCT__1296")</f>
        <v>BUS_CNODE_JCT__1296</v>
      </c>
      <c r="J20" s="242"/>
      <c r="K20" s="105">
        <v>60</v>
      </c>
      <c r="L20" s="260"/>
      <c r="M20" s="260"/>
      <c r="N20" s="260"/>
      <c r="O20" s="260"/>
      <c r="P20" s="242"/>
      <c r="Q20" s="242"/>
      <c r="R20" s="242"/>
      <c r="S20" s="261" t="s">
        <v>5771</v>
      </c>
      <c r="T20" s="260"/>
      <c r="U20" s="260"/>
      <c r="V20" s="260"/>
      <c r="W20" s="260"/>
      <c r="X20" s="260">
        <f>ROUND(327, 7)</f>
        <v>327</v>
      </c>
      <c r="Y20" s="127">
        <v>0</v>
      </c>
      <c r="Z20" s="127">
        <f>ROUND(0,2)</f>
        <v>0</v>
      </c>
      <c r="AA20" s="127">
        <f>ROUND(75, 1)</f>
        <v>75</v>
      </c>
      <c r="AB20" s="127">
        <f>ROUND(75, 1)</f>
        <v>75</v>
      </c>
      <c r="AC20" s="127">
        <f>ROUND(0.064000003, 3)</f>
        <v>6.4000000000000001E-2</v>
      </c>
      <c r="AD20" s="127">
        <f>ROUND(0.0892999992, 3)</f>
        <v>8.8999999999999996E-2</v>
      </c>
      <c r="AE20" s="127">
        <f>ROUND(0, 5)</f>
        <v>0</v>
      </c>
      <c r="AF20" s="127">
        <f>IF(0 = 0,ROUND(0.10176, 3),"--")</f>
        <v>0.10199999999999999</v>
      </c>
      <c r="AG20" s="262">
        <f>IF(0 = 0,ROUND(0.226822004, 3),"--")</f>
        <v>0.22700000000000001</v>
      </c>
      <c r="AH20" s="127">
        <f>IF(0 = 0,ROUND(0, 5),"--")</f>
        <v>0</v>
      </c>
      <c r="AI20" s="105" t="str">
        <f>IF(0 = 0, "Ohms per", "Ohms")</f>
        <v>Ohms per</v>
      </c>
      <c r="AJ20" s="105">
        <f>IF(0 = 0,1000,"--")</f>
        <v>1000</v>
      </c>
      <c r="AK20" s="105" t="str">
        <f>IF(0 = 0,CHOOSE((0 + 1), "ft", "mile", "m", "km"),"--")</f>
        <v>ft</v>
      </c>
      <c r="AL20" s="60"/>
      <c r="AM20" s="53" t="s">
        <v>5790</v>
      </c>
    </row>
    <row r="21" spans="1:39">
      <c r="A21" s="105" t="s">
        <v>5791</v>
      </c>
      <c r="B21" s="105">
        <v>1</v>
      </c>
      <c r="C21" s="105" t="str">
        <f>IF(TRUE = TRUE, "Yes", "No")</f>
        <v>Yes</v>
      </c>
      <c r="D21" s="105" t="s">
        <v>5202</v>
      </c>
      <c r="E21" s="105"/>
      <c r="F21" s="127" t="str">
        <f>IF(0 = 0, "3", "1")</f>
        <v>3</v>
      </c>
      <c r="G21" s="127" t="str">
        <f>IF(0 = 1, CHOOSE((3-1),  "2", "3"), "--")</f>
        <v>--</v>
      </c>
      <c r="H21" s="105" t="str">
        <f>IF(TRIM("BUS_CNODE_JCT__1314") = "", "BUS_CNODE_JCT__1314", "BUS_CNODE_JCT__1314")</f>
        <v>BUS_CNODE_JCT__1314</v>
      </c>
      <c r="I21" s="105" t="str">
        <f>IF(TRIM("BUS_CNODE_JCT__1315") = "", "BUS_CNODE_JCT__1315", "BUS_CNODE_JCT__1315")</f>
        <v>BUS_CNODE_JCT__1315</v>
      </c>
      <c r="J21" s="242"/>
      <c r="K21" s="105">
        <v>60</v>
      </c>
      <c r="L21" s="260"/>
      <c r="M21" s="260"/>
      <c r="N21" s="260"/>
      <c r="O21" s="260"/>
      <c r="P21" s="242"/>
      <c r="Q21" s="242"/>
      <c r="R21" s="242"/>
      <c r="S21" s="261" t="s">
        <v>5771</v>
      </c>
      <c r="T21" s="260"/>
      <c r="U21" s="260"/>
      <c r="V21" s="260"/>
      <c r="W21" s="260"/>
      <c r="X21" s="260">
        <f>ROUND(163, 7)</f>
        <v>163</v>
      </c>
      <c r="Y21" s="127">
        <v>0</v>
      </c>
      <c r="Z21" s="127">
        <f>ROUND(0,2)</f>
        <v>0</v>
      </c>
      <c r="AA21" s="127">
        <f>ROUND(75, 1)</f>
        <v>75</v>
      </c>
      <c r="AB21" s="127">
        <f>ROUND(75, 1)</f>
        <v>75</v>
      </c>
      <c r="AC21" s="127">
        <f>ROUND(0.0599999987, 3)</f>
        <v>0.06</v>
      </c>
      <c r="AD21" s="127">
        <f>ROUND(0.0879999995, 3)</f>
        <v>8.7999999999999995E-2</v>
      </c>
      <c r="AE21" s="127">
        <f>ROUND(0, 5)</f>
        <v>0</v>
      </c>
      <c r="AF21" s="127">
        <f>IF(0 = 0,ROUND(0.100000001, 3),"--")</f>
        <v>0.1</v>
      </c>
      <c r="AG21" s="262">
        <f>IF(0 = 0,ROUND(0.209999993, 3),"--")</f>
        <v>0.21</v>
      </c>
      <c r="AH21" s="127">
        <f>IF(0 = 0,ROUND(0, 5),"--")</f>
        <v>0</v>
      </c>
      <c r="AI21" s="105" t="str">
        <f>IF(0 = 0, "Ohms per", "Ohms")</f>
        <v>Ohms per</v>
      </c>
      <c r="AJ21" s="105">
        <f>IF(0 = 0,1000,"--")</f>
        <v>1000</v>
      </c>
      <c r="AK21" s="105" t="str">
        <f>IF(0 = 0,CHOOSE((0 + 1), "ft", "mile", "m", "km"),"--")</f>
        <v>ft</v>
      </c>
      <c r="AL21" s="60"/>
      <c r="AM21" s="53" t="s">
        <v>5792</v>
      </c>
    </row>
    <row r="22" spans="1:39">
      <c r="A22" s="105" t="s">
        <v>5793</v>
      </c>
      <c r="B22" s="105">
        <v>1</v>
      </c>
      <c r="C22" s="105" t="str">
        <f>IF(TRUE = TRUE, "Yes", "No")</f>
        <v>Yes</v>
      </c>
      <c r="D22" s="105" t="s">
        <v>5202</v>
      </c>
      <c r="E22" s="105"/>
      <c r="F22" s="127" t="str">
        <f>IF(0 = 0, "3", "1")</f>
        <v>3</v>
      </c>
      <c r="G22" s="127" t="str">
        <f>IF(0 = 1, CHOOSE((3-1),  "2", "3"), "--")</f>
        <v>--</v>
      </c>
      <c r="H22" s="105" t="str">
        <f>IF(TRIM("BUS_CNODE_JCT__1298") = "", "BUS_CNODE_JCT__1298", "BUS_CNODE_JCT__1298")</f>
        <v>BUS_CNODE_JCT__1298</v>
      </c>
      <c r="I22" s="105" t="str">
        <f>IF(TRIM("BUS_CNODE_JCT__1299") = "", "BUS_CNODE_JCT__1299", "BUS_CNODE_JCT__1299")</f>
        <v>BUS_CNODE_JCT__1299</v>
      </c>
      <c r="J22" s="242"/>
      <c r="K22" s="105">
        <v>60</v>
      </c>
      <c r="L22" s="260"/>
      <c r="M22" s="260"/>
      <c r="N22" s="260"/>
      <c r="O22" s="260"/>
      <c r="P22" s="242"/>
      <c r="Q22" s="242"/>
      <c r="R22" s="242"/>
      <c r="S22" s="261" t="s">
        <v>5771</v>
      </c>
      <c r="T22" s="260"/>
      <c r="U22" s="260"/>
      <c r="V22" s="260"/>
      <c r="W22" s="260"/>
      <c r="X22" s="260">
        <f>ROUND(176, 7)</f>
        <v>176</v>
      </c>
      <c r="Y22" s="127">
        <v>0</v>
      </c>
      <c r="Z22" s="127">
        <f>ROUND(0,2)</f>
        <v>0</v>
      </c>
      <c r="AA22" s="127">
        <f>ROUND(75, 1)</f>
        <v>75</v>
      </c>
      <c r="AB22" s="127">
        <f>ROUND(75, 1)</f>
        <v>75</v>
      </c>
      <c r="AC22" s="127">
        <f>ROUND(0.342999995, 3)</f>
        <v>0.34300000000000003</v>
      </c>
      <c r="AD22" s="127">
        <f>ROUND(0.115000002, 3)</f>
        <v>0.115</v>
      </c>
      <c r="AE22" s="127">
        <f>ROUND(0, 5)</f>
        <v>0</v>
      </c>
      <c r="AF22" s="127">
        <f>IF(0 = 0,ROUND(0.545369983, 3),"--")</f>
        <v>0.54500000000000004</v>
      </c>
      <c r="AG22" s="262">
        <f>IF(0 = 0,ROUND(0.292100012, 3),"--")</f>
        <v>0.29199999999999998</v>
      </c>
      <c r="AH22" s="127">
        <f>IF(0 = 0,ROUND(0, 5),"--")</f>
        <v>0</v>
      </c>
      <c r="AI22" s="105" t="str">
        <f>IF(0 = 0, "Ohms per", "Ohms")</f>
        <v>Ohms per</v>
      </c>
      <c r="AJ22" s="105">
        <f>IF(0 = 0,1000,"--")</f>
        <v>1000</v>
      </c>
      <c r="AK22" s="105" t="str">
        <f>IF(0 = 0,CHOOSE((0 + 1), "ft", "mile", "m", "km"),"--")</f>
        <v>ft</v>
      </c>
      <c r="AL22" s="60"/>
      <c r="AM22" s="53" t="s">
        <v>5794</v>
      </c>
    </row>
    <row r="23" spans="1:39">
      <c r="A23" s="105" t="s">
        <v>5795</v>
      </c>
      <c r="B23" s="105">
        <v>1</v>
      </c>
      <c r="C23" s="105" t="str">
        <f>IF(TRUE = TRUE, "Yes", "No")</f>
        <v>Yes</v>
      </c>
      <c r="D23" s="105" t="s">
        <v>5202</v>
      </c>
      <c r="E23" s="105"/>
      <c r="F23" s="127" t="str">
        <f>IF(0 = 0, "3", "1")</f>
        <v>3</v>
      </c>
      <c r="G23" s="127" t="str">
        <f>IF(0 = 1, CHOOSE((3-1),  "2", "3"), "--")</f>
        <v>--</v>
      </c>
      <c r="H23" s="105" t="str">
        <f>IF(TRIM("BUS_CNODE_JCT__1366") = "", "BUS_CNODE_JCT__1366", "BUS_CNODE_JCT__1366")</f>
        <v>BUS_CNODE_JCT__1366</v>
      </c>
      <c r="I23" s="105" t="str">
        <f>IF(TRIM("BUS_CNODE_JCT__1367") = "", "BUS_CNODE_JCT__1367", "BUS_CNODE_JCT__1367")</f>
        <v>BUS_CNODE_JCT__1367</v>
      </c>
      <c r="J23" s="242"/>
      <c r="K23" s="105">
        <v>60</v>
      </c>
      <c r="L23" s="260"/>
      <c r="M23" s="260"/>
      <c r="N23" s="260"/>
      <c r="O23" s="260"/>
      <c r="P23" s="242"/>
      <c r="Q23" s="242"/>
      <c r="R23" s="242"/>
      <c r="S23" s="261" t="s">
        <v>5771</v>
      </c>
      <c r="T23" s="260"/>
      <c r="U23" s="260"/>
      <c r="V23" s="260"/>
      <c r="W23" s="260"/>
      <c r="X23" s="260">
        <f>ROUND(400, 7)</f>
        <v>400</v>
      </c>
      <c r="Y23" s="127">
        <v>0</v>
      </c>
      <c r="Z23" s="127">
        <f>ROUND(0,2)</f>
        <v>0</v>
      </c>
      <c r="AA23" s="127">
        <f>ROUND(75, 1)</f>
        <v>75</v>
      </c>
      <c r="AB23" s="127">
        <f>ROUND(75, 1)</f>
        <v>75</v>
      </c>
      <c r="AC23" s="127">
        <f>ROUND(0.064000003, 3)</f>
        <v>6.4000000000000001E-2</v>
      </c>
      <c r="AD23" s="127">
        <f>ROUND(0.0892999992, 3)</f>
        <v>8.8999999999999996E-2</v>
      </c>
      <c r="AE23" s="127">
        <f>ROUND(0, 5)</f>
        <v>0</v>
      </c>
      <c r="AF23" s="127">
        <f>IF(0 = 0,ROUND(0.10176, 3),"--")</f>
        <v>0.10199999999999999</v>
      </c>
      <c r="AG23" s="262">
        <f>IF(0 = 0,ROUND(0.226822004, 3),"--")</f>
        <v>0.22700000000000001</v>
      </c>
      <c r="AH23" s="127">
        <f>IF(0 = 0,ROUND(0, 5),"--")</f>
        <v>0</v>
      </c>
      <c r="AI23" s="105" t="str">
        <f>IF(0 = 0, "Ohms per", "Ohms")</f>
        <v>Ohms per</v>
      </c>
      <c r="AJ23" s="105">
        <f>IF(0 = 0,1000,"--")</f>
        <v>1000</v>
      </c>
      <c r="AK23" s="105" t="str">
        <f>IF(0 = 0,CHOOSE((0 + 1), "ft", "mile", "m", "km"),"--")</f>
        <v>ft</v>
      </c>
      <c r="AL23" s="60"/>
      <c r="AM23" s="53" t="s">
        <v>5796</v>
      </c>
    </row>
    <row r="24" spans="1:39">
      <c r="A24" s="105" t="s">
        <v>5797</v>
      </c>
      <c r="B24" s="105">
        <v>1</v>
      </c>
      <c r="C24" s="105" t="str">
        <f>IF(TRUE = TRUE, "Yes", "No")</f>
        <v>Yes</v>
      </c>
      <c r="D24" s="105" t="s">
        <v>5202</v>
      </c>
      <c r="E24" s="105"/>
      <c r="F24" s="127" t="str">
        <f>IF(0 = 0, "3", "1")</f>
        <v>3</v>
      </c>
      <c r="G24" s="127" t="str">
        <f>IF(0 = 1, CHOOSE((3-1),  "2", "3"), "--")</f>
        <v>--</v>
      </c>
      <c r="H24" s="105" t="str">
        <f>IF(TRIM("BUS_CNODE_JCT__1328") = "", "BUS_CNODE_JCT__1328", "BUS_CNODE_JCT__1328")</f>
        <v>BUS_CNODE_JCT__1328</v>
      </c>
      <c r="I24" s="105" t="str">
        <f>IF(TRIM("BUS_CNODE_JCT__1329") = "", "BUS_CNODE_JCT__1329", "BUS_CNODE_JCT__1329")</f>
        <v>BUS_CNODE_JCT__1329</v>
      </c>
      <c r="J24" s="242"/>
      <c r="K24" s="105">
        <v>60</v>
      </c>
      <c r="L24" s="260"/>
      <c r="M24" s="260"/>
      <c r="N24" s="260"/>
      <c r="O24" s="260"/>
      <c r="P24" s="242"/>
      <c r="Q24" s="242"/>
      <c r="R24" s="242"/>
      <c r="S24" s="261" t="s">
        <v>5771</v>
      </c>
      <c r="T24" s="260"/>
      <c r="U24" s="260"/>
      <c r="V24" s="260"/>
      <c r="W24" s="260"/>
      <c r="X24" s="260">
        <f>ROUND(211, 7)</f>
        <v>211</v>
      </c>
      <c r="Y24" s="127">
        <v>0</v>
      </c>
      <c r="Z24" s="127">
        <f>ROUND(0,2)</f>
        <v>0</v>
      </c>
      <c r="AA24" s="127">
        <f>ROUND(75, 1)</f>
        <v>75</v>
      </c>
      <c r="AB24" s="127">
        <f>ROUND(75, 1)</f>
        <v>75</v>
      </c>
      <c r="AC24" s="127">
        <f>ROUND(0.064000003, 3)</f>
        <v>6.4000000000000001E-2</v>
      </c>
      <c r="AD24" s="127">
        <f>ROUND(0.0892999992, 3)</f>
        <v>8.8999999999999996E-2</v>
      </c>
      <c r="AE24" s="127">
        <f>ROUND(0, 5)</f>
        <v>0</v>
      </c>
      <c r="AF24" s="127">
        <f>IF(0 = 0,ROUND(0.10176, 3),"--")</f>
        <v>0.10199999999999999</v>
      </c>
      <c r="AG24" s="262">
        <f>IF(0 = 0,ROUND(0.226822004, 3),"--")</f>
        <v>0.22700000000000001</v>
      </c>
      <c r="AH24" s="127">
        <f>IF(0 = 0,ROUND(0, 5),"--")</f>
        <v>0</v>
      </c>
      <c r="AI24" s="105" t="str">
        <f>IF(0 = 0, "Ohms per", "Ohms")</f>
        <v>Ohms per</v>
      </c>
      <c r="AJ24" s="105">
        <f>IF(0 = 0,1000,"--")</f>
        <v>1000</v>
      </c>
      <c r="AK24" s="105" t="str">
        <f>IF(0 = 0,CHOOSE((0 + 1), "ft", "mile", "m", "km"),"--")</f>
        <v>ft</v>
      </c>
      <c r="AL24" s="60"/>
      <c r="AM24" s="53" t="s">
        <v>5798</v>
      </c>
    </row>
    <row r="25" spans="1:39">
      <c r="A25" s="105" t="s">
        <v>5799</v>
      </c>
      <c r="B25" s="105">
        <v>1</v>
      </c>
      <c r="C25" s="105" t="str">
        <f>IF(TRUE = TRUE, "Yes", "No")</f>
        <v>Yes</v>
      </c>
      <c r="D25" s="105" t="s">
        <v>5202</v>
      </c>
      <c r="E25" s="105"/>
      <c r="F25" s="127" t="str">
        <f>IF(0 = 0, "3", "1")</f>
        <v>3</v>
      </c>
      <c r="G25" s="127" t="str">
        <f>IF(0 = 1, CHOOSE((3-1),  "2", "3"), "--")</f>
        <v>--</v>
      </c>
      <c r="H25" s="105" t="str">
        <f>IF(TRIM("BUS_CNODE_JCT__1288") = "", "BUS_CNODE_JCT__1288", "BUS_CNODE_JCT__1288")</f>
        <v>BUS_CNODE_JCT__1288</v>
      </c>
      <c r="I25" s="105" t="str">
        <f>IF(TRIM("BUS_CNODE_JCT__1289") = "", "BUS_CNODE_JCT__1289", "BUS_CNODE_JCT__1289")</f>
        <v>BUS_CNODE_JCT__1289</v>
      </c>
      <c r="J25" s="242"/>
      <c r="K25" s="105">
        <v>60</v>
      </c>
      <c r="L25" s="260"/>
      <c r="M25" s="260"/>
      <c r="N25" s="260"/>
      <c r="O25" s="260"/>
      <c r="P25" s="242"/>
      <c r="Q25" s="242"/>
      <c r="R25" s="242"/>
      <c r="S25" s="261" t="s">
        <v>5771</v>
      </c>
      <c r="T25" s="260"/>
      <c r="U25" s="260"/>
      <c r="V25" s="260"/>
      <c r="W25" s="260"/>
      <c r="X25" s="260">
        <f>ROUND(10, 7)</f>
        <v>10</v>
      </c>
      <c r="Y25" s="127">
        <v>0</v>
      </c>
      <c r="Z25" s="127">
        <f>ROUND(0,2)</f>
        <v>0</v>
      </c>
      <c r="AA25" s="127">
        <f>ROUND(75, 1)</f>
        <v>75</v>
      </c>
      <c r="AB25" s="127">
        <f>ROUND(75, 1)</f>
        <v>75</v>
      </c>
      <c r="AC25" s="127">
        <f>ROUND(0.064000003, 3)</f>
        <v>6.4000000000000001E-2</v>
      </c>
      <c r="AD25" s="127">
        <f>ROUND(0.0892999992, 3)</f>
        <v>8.8999999999999996E-2</v>
      </c>
      <c r="AE25" s="127">
        <f>ROUND(0, 5)</f>
        <v>0</v>
      </c>
      <c r="AF25" s="127">
        <f>IF(0 = 0,ROUND(0.10176, 3),"--")</f>
        <v>0.10199999999999999</v>
      </c>
      <c r="AG25" s="262">
        <f>IF(0 = 0,ROUND(0.226822004, 3),"--")</f>
        <v>0.22700000000000001</v>
      </c>
      <c r="AH25" s="127">
        <f>IF(0 = 0,ROUND(0, 5),"--")</f>
        <v>0</v>
      </c>
      <c r="AI25" s="105" t="str">
        <f>IF(0 = 0, "Ohms per", "Ohms")</f>
        <v>Ohms per</v>
      </c>
      <c r="AJ25" s="105">
        <f>IF(0 = 0,1000,"--")</f>
        <v>1000</v>
      </c>
      <c r="AK25" s="105" t="str">
        <f>IF(0 = 0,CHOOSE((0 + 1), "ft", "mile", "m", "km"),"--")</f>
        <v>ft</v>
      </c>
      <c r="AL25" s="60"/>
      <c r="AM25" s="53" t="s">
        <v>5800</v>
      </c>
    </row>
    <row r="26" spans="1:39">
      <c r="A26" s="105" t="s">
        <v>5801</v>
      </c>
      <c r="B26" s="105">
        <v>1</v>
      </c>
      <c r="C26" s="105" t="str">
        <f>IF(TRUE = TRUE, "Yes", "No")</f>
        <v>Yes</v>
      </c>
      <c r="D26" s="105" t="s">
        <v>5202</v>
      </c>
      <c r="E26" s="105"/>
      <c r="F26" s="127" t="str">
        <f>IF(0 = 0, "3", "1")</f>
        <v>3</v>
      </c>
      <c r="G26" s="127" t="str">
        <f>IF(0 = 1, CHOOSE((3-1),  "2", "3"), "--")</f>
        <v>--</v>
      </c>
      <c r="H26" s="105" t="str">
        <f>IF(TRIM("BUS_CNODE_JCT__1318") = "", "BUS_CNODE_JCT__1318", "BUS_CNODE_JCT__1318")</f>
        <v>BUS_CNODE_JCT__1318</v>
      </c>
      <c r="I26" s="105" t="str">
        <f>IF(TRIM("BUS_CNODE_JCT__1319") = "", "BUS_CNODE_JCT__1319", "BUS_CNODE_JCT__1319")</f>
        <v>BUS_CNODE_JCT__1319</v>
      </c>
      <c r="J26" s="242"/>
      <c r="K26" s="105">
        <v>60</v>
      </c>
      <c r="L26" s="260"/>
      <c r="M26" s="260"/>
      <c r="N26" s="260"/>
      <c r="O26" s="260"/>
      <c r="P26" s="242"/>
      <c r="Q26" s="242"/>
      <c r="R26" s="242"/>
      <c r="S26" s="261" t="s">
        <v>5771</v>
      </c>
      <c r="T26" s="260"/>
      <c r="U26" s="260"/>
      <c r="V26" s="260"/>
      <c r="W26" s="260"/>
      <c r="X26" s="260">
        <f>ROUND(179, 7)</f>
        <v>179</v>
      </c>
      <c r="Y26" s="127">
        <v>0</v>
      </c>
      <c r="Z26" s="127">
        <f>ROUND(0,2)</f>
        <v>0</v>
      </c>
      <c r="AA26" s="127">
        <f>ROUND(75, 1)</f>
        <v>75</v>
      </c>
      <c r="AB26" s="127">
        <f>ROUND(75, 1)</f>
        <v>75</v>
      </c>
      <c r="AC26" s="127">
        <f>ROUND(0.064000003, 3)</f>
        <v>6.4000000000000001E-2</v>
      </c>
      <c r="AD26" s="127">
        <f>ROUND(0.0892999992, 3)</f>
        <v>8.8999999999999996E-2</v>
      </c>
      <c r="AE26" s="127">
        <f>ROUND(0, 5)</f>
        <v>0</v>
      </c>
      <c r="AF26" s="127">
        <f>IF(0 = 0,ROUND(0.10176, 3),"--")</f>
        <v>0.10199999999999999</v>
      </c>
      <c r="AG26" s="262">
        <f>IF(0 = 0,ROUND(0.226822004, 3),"--")</f>
        <v>0.22700000000000001</v>
      </c>
      <c r="AH26" s="127">
        <f>IF(0 = 0,ROUND(0, 5),"--")</f>
        <v>0</v>
      </c>
      <c r="AI26" s="105" t="str">
        <f>IF(0 = 0, "Ohms per", "Ohms")</f>
        <v>Ohms per</v>
      </c>
      <c r="AJ26" s="105">
        <f>IF(0 = 0,1000,"--")</f>
        <v>1000</v>
      </c>
      <c r="AK26" s="105" t="str">
        <f>IF(0 = 0,CHOOSE((0 + 1), "ft", "mile", "m", "km"),"--")</f>
        <v>ft</v>
      </c>
      <c r="AL26" s="60"/>
      <c r="AM26" s="53" t="s">
        <v>5802</v>
      </c>
    </row>
    <row r="27" spans="1:39">
      <c r="A27" s="105" t="s">
        <v>5803</v>
      </c>
      <c r="B27" s="105">
        <v>1</v>
      </c>
      <c r="C27" s="105" t="str">
        <f>IF(TRUE = TRUE, "Yes", "No")</f>
        <v>Yes</v>
      </c>
      <c r="D27" s="105" t="s">
        <v>5202</v>
      </c>
      <c r="E27" s="105"/>
      <c r="F27" s="127" t="str">
        <f>IF(0 = 0, "3", "1")</f>
        <v>3</v>
      </c>
      <c r="G27" s="127" t="str">
        <f>IF(0 = 1, CHOOSE((3-1),  "2", "3"), "--")</f>
        <v>--</v>
      </c>
      <c r="H27" s="105" t="str">
        <f>IF(TRIM("BUS_CNODE_JCT__1302") = "", "BUS_CNODE_JCT__1302", "BUS_CNODE_JCT__1302")</f>
        <v>BUS_CNODE_JCT__1302</v>
      </c>
      <c r="I27" s="105" t="str">
        <f>IF(TRIM("BUS_CNODE_JCT__1303") = "", "BUS_CNODE_JCT__1303", "BUS_CNODE_JCT__1303")</f>
        <v>BUS_CNODE_JCT__1303</v>
      </c>
      <c r="J27" s="242"/>
      <c r="K27" s="105">
        <v>60</v>
      </c>
      <c r="L27" s="260"/>
      <c r="M27" s="260"/>
      <c r="N27" s="260"/>
      <c r="O27" s="260"/>
      <c r="P27" s="242"/>
      <c r="Q27" s="242"/>
      <c r="R27" s="242"/>
      <c r="S27" s="261" t="s">
        <v>5771</v>
      </c>
      <c r="T27" s="260"/>
      <c r="U27" s="260"/>
      <c r="V27" s="260"/>
      <c r="W27" s="260"/>
      <c r="X27" s="260">
        <f>ROUND(11, 7)</f>
        <v>11</v>
      </c>
      <c r="Y27" s="127">
        <v>0</v>
      </c>
      <c r="Z27" s="127">
        <f>ROUND(0,2)</f>
        <v>0</v>
      </c>
      <c r="AA27" s="127">
        <f>ROUND(75, 1)</f>
        <v>75</v>
      </c>
      <c r="AB27" s="127">
        <f>ROUND(75, 1)</f>
        <v>75</v>
      </c>
      <c r="AC27" s="127">
        <f>ROUND(0.342999995, 3)</f>
        <v>0.34300000000000003</v>
      </c>
      <c r="AD27" s="127">
        <f>ROUND(0.115000002, 3)</f>
        <v>0.115</v>
      </c>
      <c r="AE27" s="127">
        <f>ROUND(0, 5)</f>
        <v>0</v>
      </c>
      <c r="AF27" s="127">
        <f>IF(0 = 0,ROUND(0.545369983, 3),"--")</f>
        <v>0.54500000000000004</v>
      </c>
      <c r="AG27" s="262">
        <f>IF(0 = 0,ROUND(0.292100012, 3),"--")</f>
        <v>0.29199999999999998</v>
      </c>
      <c r="AH27" s="127">
        <f>IF(0 = 0,ROUND(0, 5),"--")</f>
        <v>0</v>
      </c>
      <c r="AI27" s="105" t="str">
        <f>IF(0 = 0, "Ohms per", "Ohms")</f>
        <v>Ohms per</v>
      </c>
      <c r="AJ27" s="105">
        <f>IF(0 = 0,1000,"--")</f>
        <v>1000</v>
      </c>
      <c r="AK27" s="105" t="str">
        <f>IF(0 = 0,CHOOSE((0 + 1), "ft", "mile", "m", "km"),"--")</f>
        <v>ft</v>
      </c>
      <c r="AL27" s="60"/>
      <c r="AM27" s="53" t="s">
        <v>5804</v>
      </c>
    </row>
    <row r="28" spans="1:39">
      <c r="A28" s="105" t="s">
        <v>5805</v>
      </c>
      <c r="B28" s="105">
        <v>1</v>
      </c>
      <c r="C28" s="105" t="str">
        <f>IF(TRUE = TRUE, "Yes", "No")</f>
        <v>Yes</v>
      </c>
      <c r="D28" s="105" t="s">
        <v>5202</v>
      </c>
      <c r="E28" s="105"/>
      <c r="F28" s="127" t="str">
        <f>IF(0 = 0, "3", "1")</f>
        <v>3</v>
      </c>
      <c r="G28" s="127" t="str">
        <f>IF(0 = 1, CHOOSE((3-1),  "2", "3"), "--")</f>
        <v>--</v>
      </c>
      <c r="H28" s="105" t="str">
        <f>IF(TRIM("BUS_CNODE_JCT__1352") = "", "BUS_CNODE_JCT__1352", "BUS_CNODE_JCT__1352")</f>
        <v>BUS_CNODE_JCT__1352</v>
      </c>
      <c r="I28" s="105" t="str">
        <f>IF(TRIM("BUS_CNODE_JCT__1353") = "", "BUS_CNODE_JCT__1353", "BUS_CNODE_JCT__1353")</f>
        <v>BUS_CNODE_JCT__1353</v>
      </c>
      <c r="J28" s="242"/>
      <c r="K28" s="105">
        <v>60</v>
      </c>
      <c r="L28" s="260"/>
      <c r="M28" s="260"/>
      <c r="N28" s="260"/>
      <c r="O28" s="260"/>
      <c r="P28" s="242"/>
      <c r="Q28" s="242"/>
      <c r="R28" s="242"/>
      <c r="S28" s="261" t="s">
        <v>5771</v>
      </c>
      <c r="T28" s="260"/>
      <c r="U28" s="260"/>
      <c r="V28" s="260"/>
      <c r="W28" s="260"/>
      <c r="X28" s="260">
        <f>ROUND(8, 7)</f>
        <v>8</v>
      </c>
      <c r="Y28" s="127">
        <v>0</v>
      </c>
      <c r="Z28" s="127">
        <f>ROUND(0,2)</f>
        <v>0</v>
      </c>
      <c r="AA28" s="127">
        <f>ROUND(75, 1)</f>
        <v>75</v>
      </c>
      <c r="AB28" s="127">
        <f>ROUND(75, 1)</f>
        <v>75</v>
      </c>
      <c r="AC28" s="127">
        <f>ROUND(0.064000003, 3)</f>
        <v>6.4000000000000001E-2</v>
      </c>
      <c r="AD28" s="127">
        <f>ROUND(0.0892999992, 3)</f>
        <v>8.8999999999999996E-2</v>
      </c>
      <c r="AE28" s="127">
        <f>ROUND(0, 5)</f>
        <v>0</v>
      </c>
      <c r="AF28" s="127">
        <f>IF(0 = 0,ROUND(0.10176, 3),"--")</f>
        <v>0.10199999999999999</v>
      </c>
      <c r="AG28" s="262">
        <f>IF(0 = 0,ROUND(0.226822004, 3),"--")</f>
        <v>0.22700000000000001</v>
      </c>
      <c r="AH28" s="127">
        <f>IF(0 = 0,ROUND(0, 5),"--")</f>
        <v>0</v>
      </c>
      <c r="AI28" s="105" t="str">
        <f>IF(0 = 0, "Ohms per", "Ohms")</f>
        <v>Ohms per</v>
      </c>
      <c r="AJ28" s="105">
        <f>IF(0 = 0,1000,"--")</f>
        <v>1000</v>
      </c>
      <c r="AK28" s="105" t="str">
        <f>IF(0 = 0,CHOOSE((0 + 1), "ft", "mile", "m", "km"),"--")</f>
        <v>ft</v>
      </c>
      <c r="AL28" s="60"/>
      <c r="AM28" s="53" t="s">
        <v>5806</v>
      </c>
    </row>
    <row r="29" spans="1:39">
      <c r="A29" s="105" t="s">
        <v>5807</v>
      </c>
      <c r="B29" s="105">
        <v>1</v>
      </c>
      <c r="C29" s="105" t="str">
        <f>IF(TRUE = TRUE, "Yes", "No")</f>
        <v>Yes</v>
      </c>
      <c r="D29" s="105" t="s">
        <v>5202</v>
      </c>
      <c r="E29" s="105"/>
      <c r="F29" s="127" t="str">
        <f>IF(0 = 0, "3", "1")</f>
        <v>3</v>
      </c>
      <c r="G29" s="127" t="str">
        <f>IF(0 = 1, CHOOSE((3-1),  "2", "3"), "--")</f>
        <v>--</v>
      </c>
      <c r="H29" s="105" t="str">
        <f>IF(TRIM("BUS_CNODE_JCT__1310") = "", "BUS_CNODE_JCT__1310", "BUS_CNODE_JCT__1310")</f>
        <v>BUS_CNODE_JCT__1310</v>
      </c>
      <c r="I29" s="105" t="str">
        <f>IF(TRIM("BUS_line47_218") = "", "BUS_line47_218", "BUS_line47_218")</f>
        <v>BUS_line47_218</v>
      </c>
      <c r="J29" s="242"/>
      <c r="K29" s="105">
        <v>60</v>
      </c>
      <c r="L29" s="260"/>
      <c r="M29" s="260"/>
      <c r="N29" s="260"/>
      <c r="O29" s="260"/>
      <c r="P29" s="242"/>
      <c r="Q29" s="242"/>
      <c r="R29" s="242"/>
      <c r="S29" s="261" t="s">
        <v>5771</v>
      </c>
      <c r="T29" s="260"/>
      <c r="U29" s="260"/>
      <c r="V29" s="260"/>
      <c r="W29" s="260"/>
      <c r="X29" s="260">
        <f>ROUND(269, 7)</f>
        <v>269</v>
      </c>
      <c r="Y29" s="127">
        <v>0</v>
      </c>
      <c r="Z29" s="127">
        <f>ROUND(0,2)</f>
        <v>0</v>
      </c>
      <c r="AA29" s="127">
        <f>ROUND(75, 1)</f>
        <v>75</v>
      </c>
      <c r="AB29" s="127">
        <f>ROUND(75, 1)</f>
        <v>75</v>
      </c>
      <c r="AC29" s="127">
        <f>ROUND(0.342999995, 3)</f>
        <v>0.34300000000000003</v>
      </c>
      <c r="AD29" s="127">
        <f>ROUND(0.115000002, 3)</f>
        <v>0.115</v>
      </c>
      <c r="AE29" s="127">
        <f>ROUND(0, 5)</f>
        <v>0</v>
      </c>
      <c r="AF29" s="127">
        <f>IF(0 = 0,ROUND(0.545369983, 3),"--")</f>
        <v>0.54500000000000004</v>
      </c>
      <c r="AG29" s="262">
        <f>IF(0 = 0,ROUND(0.292100012, 3),"--")</f>
        <v>0.29199999999999998</v>
      </c>
      <c r="AH29" s="127">
        <f>IF(0 = 0,ROUND(0, 5),"--")</f>
        <v>0</v>
      </c>
      <c r="AI29" s="105" t="str">
        <f>IF(0 = 0, "Ohms per", "Ohms")</f>
        <v>Ohms per</v>
      </c>
      <c r="AJ29" s="105">
        <f>IF(0 = 0,1000,"--")</f>
        <v>1000</v>
      </c>
      <c r="AK29" s="105" t="str">
        <f>IF(0 = 0,CHOOSE((0 + 1), "ft", "mile", "m", "km"),"--")</f>
        <v>ft</v>
      </c>
      <c r="AL29" s="60"/>
      <c r="AM29" s="53" t="s">
        <v>5808</v>
      </c>
    </row>
    <row r="30" spans="1:39">
      <c r="A30" s="105" t="s">
        <v>5809</v>
      </c>
      <c r="B30" s="105">
        <v>1</v>
      </c>
      <c r="C30" s="105" t="str">
        <f>IF(TRUE = TRUE, "Yes", "No")</f>
        <v>Yes</v>
      </c>
      <c r="D30" s="105" t="s">
        <v>5202</v>
      </c>
      <c r="E30" s="105"/>
      <c r="F30" s="127" t="str">
        <f>IF(0 = 0, "3", "1")</f>
        <v>3</v>
      </c>
      <c r="G30" s="127" t="str">
        <f>IF(0 = 1, CHOOSE((3-1),  "2", "3"), "--")</f>
        <v>--</v>
      </c>
      <c r="H30" s="105" t="str">
        <f>IF(TRIM("BUS_CNODE_JCT__1310") = "", "BUS_CNODE_JCT__1310", "BUS_CNODE_JCT__1310")</f>
        <v>BUS_CNODE_JCT__1310</v>
      </c>
      <c r="I30" s="105" t="str">
        <f>IF(TRIM("BUS_CNODE_JCT__1320") = "", "BUS_CNODE_JCT__1320", "BUS_CNODE_JCT__1320")</f>
        <v>BUS_CNODE_JCT__1320</v>
      </c>
      <c r="J30" s="242"/>
      <c r="K30" s="105">
        <v>60</v>
      </c>
      <c r="L30" s="260"/>
      <c r="M30" s="260"/>
      <c r="N30" s="260"/>
      <c r="O30" s="260"/>
      <c r="P30" s="242"/>
      <c r="Q30" s="242"/>
      <c r="R30" s="242"/>
      <c r="S30" s="261" t="s">
        <v>5771</v>
      </c>
      <c r="T30" s="260"/>
      <c r="U30" s="260"/>
      <c r="V30" s="260"/>
      <c r="W30" s="260"/>
      <c r="X30" s="260">
        <f>ROUND(121, 7)</f>
        <v>121</v>
      </c>
      <c r="Y30" s="127">
        <v>0</v>
      </c>
      <c r="Z30" s="127">
        <f>ROUND(0,2)</f>
        <v>0</v>
      </c>
      <c r="AA30" s="127">
        <f>ROUND(75, 1)</f>
        <v>75</v>
      </c>
      <c r="AB30" s="127">
        <f>ROUND(75, 1)</f>
        <v>75</v>
      </c>
      <c r="AC30" s="127">
        <f>ROUND(0.342999995, 3)</f>
        <v>0.34300000000000003</v>
      </c>
      <c r="AD30" s="127">
        <f>ROUND(0.115000002, 3)</f>
        <v>0.115</v>
      </c>
      <c r="AE30" s="127">
        <f>ROUND(0, 5)</f>
        <v>0</v>
      </c>
      <c r="AF30" s="127">
        <f>IF(0 = 0,ROUND(0.545369983, 3),"--")</f>
        <v>0.54500000000000004</v>
      </c>
      <c r="AG30" s="262">
        <f>IF(0 = 0,ROUND(0.292100012, 3),"--")</f>
        <v>0.29199999999999998</v>
      </c>
      <c r="AH30" s="127">
        <f>IF(0 = 0,ROUND(0, 5),"--")</f>
        <v>0</v>
      </c>
      <c r="AI30" s="105" t="str">
        <f>IF(0 = 0, "Ohms per", "Ohms")</f>
        <v>Ohms per</v>
      </c>
      <c r="AJ30" s="105">
        <f>IF(0 = 0,1000,"--")</f>
        <v>1000</v>
      </c>
      <c r="AK30" s="105" t="str">
        <f>IF(0 = 0,CHOOSE((0 + 1), "ft", "mile", "m", "km"),"--")</f>
        <v>ft</v>
      </c>
      <c r="AL30" s="60"/>
      <c r="AM30" s="53" t="s">
        <v>5810</v>
      </c>
    </row>
    <row r="31" spans="1:39">
      <c r="A31" s="105" t="s">
        <v>5811</v>
      </c>
      <c r="B31" s="105">
        <v>1</v>
      </c>
      <c r="C31" s="105" t="str">
        <f>IF(TRUE = TRUE, "Yes", "No")</f>
        <v>Yes</v>
      </c>
      <c r="D31" s="105" t="s">
        <v>5202</v>
      </c>
      <c r="E31" s="105"/>
      <c r="F31" s="127" t="str">
        <f>IF(0 = 0, "3", "1")</f>
        <v>3</v>
      </c>
      <c r="G31" s="127" t="str">
        <f>IF(0 = 1, CHOOSE((3-1),  "2", "3"), "--")</f>
        <v>--</v>
      </c>
      <c r="H31" s="105" t="str">
        <f>IF(TRIM("BUS_CNODE_JCT__1311") = "", "BUS_CNODE_JCT__1311", "BUS_CNODE_JCT__1311")</f>
        <v>BUS_CNODE_JCT__1311</v>
      </c>
      <c r="I31" s="105" t="str">
        <f>IF(TRIM("BUS_花苑#8变高压母线1_233") = "", "BUS_花苑#8变高压母线1_233", "BUS_花苑#8变高压母线1_233")</f>
        <v>BUS_花苑#8变高压母线1_233</v>
      </c>
      <c r="J31" s="242"/>
      <c r="K31" s="105">
        <v>60</v>
      </c>
      <c r="L31" s="260"/>
      <c r="M31" s="260"/>
      <c r="N31" s="260"/>
      <c r="O31" s="260"/>
      <c r="P31" s="242"/>
      <c r="Q31" s="242"/>
      <c r="R31" s="242"/>
      <c r="S31" s="261" t="s">
        <v>5771</v>
      </c>
      <c r="T31" s="260"/>
      <c r="U31" s="260"/>
      <c r="V31" s="260"/>
      <c r="W31" s="260"/>
      <c r="X31" s="260">
        <f>ROUND(5, 7)</f>
        <v>5</v>
      </c>
      <c r="Y31" s="127">
        <v>0</v>
      </c>
      <c r="Z31" s="127">
        <f>ROUND(0,2)</f>
        <v>0</v>
      </c>
      <c r="AA31" s="127">
        <f>ROUND(75, 1)</f>
        <v>75</v>
      </c>
      <c r="AB31" s="127">
        <f>ROUND(75, 1)</f>
        <v>75</v>
      </c>
      <c r="AC31" s="127">
        <f>ROUND(0.342999995, 3)</f>
        <v>0.34300000000000003</v>
      </c>
      <c r="AD31" s="127">
        <f>ROUND(0.115000002, 3)</f>
        <v>0.115</v>
      </c>
      <c r="AE31" s="127">
        <f>ROUND(0, 5)</f>
        <v>0</v>
      </c>
      <c r="AF31" s="127">
        <f>IF(0 = 0,ROUND(0.545369983, 3),"--")</f>
        <v>0.54500000000000004</v>
      </c>
      <c r="AG31" s="262">
        <f>IF(0 = 0,ROUND(0.292100012, 3),"--")</f>
        <v>0.29199999999999998</v>
      </c>
      <c r="AH31" s="127">
        <f>IF(0 = 0,ROUND(0, 5),"--")</f>
        <v>0</v>
      </c>
      <c r="AI31" s="105" t="str">
        <f>IF(0 = 0, "Ohms per", "Ohms")</f>
        <v>Ohms per</v>
      </c>
      <c r="AJ31" s="105">
        <f>IF(0 = 0,1000,"--")</f>
        <v>1000</v>
      </c>
      <c r="AK31" s="105" t="str">
        <f>IF(0 = 0,CHOOSE((0 + 1), "ft", "mile", "m", "km"),"--")</f>
        <v>ft</v>
      </c>
      <c r="AL31" s="60"/>
      <c r="AM31" s="53" t="s">
        <v>5812</v>
      </c>
    </row>
    <row r="32" spans="1:39">
      <c r="A32" s="105" t="s">
        <v>5813</v>
      </c>
      <c r="B32" s="105">
        <v>1</v>
      </c>
      <c r="C32" s="105" t="str">
        <f>IF(TRUE = TRUE, "Yes", "No")</f>
        <v>Yes</v>
      </c>
      <c r="D32" s="105" t="s">
        <v>5202</v>
      </c>
      <c r="E32" s="105"/>
      <c r="F32" s="127" t="str">
        <f>IF(0 = 0, "3", "1")</f>
        <v>3</v>
      </c>
      <c r="G32" s="127" t="str">
        <f>IF(0 = 1, CHOOSE((3-1),  "2", "3"), "--")</f>
        <v>--</v>
      </c>
      <c r="H32" s="105" t="str">
        <f>IF(TRIM("BUS_CNODE_JCT__1312") = "", "BUS_CNODE_JCT__1312", "BUS_CNODE_JCT__1312")</f>
        <v>BUS_CNODE_JCT__1312</v>
      </c>
      <c r="I32" s="105" t="str">
        <f>IF(TRIM("BUS_苑#7变高压间隔母线_235") = "", "BUS_苑#7变高压间隔母线_235", "BUS_苑#7变高压间隔母线_235")</f>
        <v>BUS_苑#7变高压间隔母线_235</v>
      </c>
      <c r="J32" s="242"/>
      <c r="K32" s="105">
        <v>60</v>
      </c>
      <c r="L32" s="260"/>
      <c r="M32" s="260"/>
      <c r="N32" s="260"/>
      <c r="O32" s="260"/>
      <c r="P32" s="242"/>
      <c r="Q32" s="242"/>
      <c r="R32" s="242"/>
      <c r="S32" s="261" t="s">
        <v>5771</v>
      </c>
      <c r="T32" s="260"/>
      <c r="U32" s="260"/>
      <c r="V32" s="260"/>
      <c r="W32" s="260"/>
      <c r="X32" s="260">
        <f>ROUND(21, 7)</f>
        <v>21</v>
      </c>
      <c r="Y32" s="127">
        <v>0</v>
      </c>
      <c r="Z32" s="127">
        <f>ROUND(0,2)</f>
        <v>0</v>
      </c>
      <c r="AA32" s="127">
        <f>ROUND(75, 1)</f>
        <v>75</v>
      </c>
      <c r="AB32" s="127">
        <f>ROUND(75, 1)</f>
        <v>75</v>
      </c>
      <c r="AC32" s="127">
        <f>ROUND(0.493999988, 3)</f>
        <v>0.49399999999999999</v>
      </c>
      <c r="AD32" s="127">
        <f>ROUND(0.123000003, 3)</f>
        <v>0.123</v>
      </c>
      <c r="AE32" s="127">
        <f>ROUND(0, 5)</f>
        <v>0</v>
      </c>
      <c r="AF32" s="127">
        <f>IF(0 = 0,ROUND(0.785459995, 3),"--")</f>
        <v>0.78500000000000003</v>
      </c>
      <c r="AG32" s="262">
        <f>IF(0 = 0,ROUND(0.312420011, 3),"--")</f>
        <v>0.312</v>
      </c>
      <c r="AH32" s="127">
        <f>IF(0 = 0,ROUND(0, 5),"--")</f>
        <v>0</v>
      </c>
      <c r="AI32" s="105" t="str">
        <f>IF(0 = 0, "Ohms per", "Ohms")</f>
        <v>Ohms per</v>
      </c>
      <c r="AJ32" s="105">
        <f>IF(0 = 0,1000,"--")</f>
        <v>1000</v>
      </c>
      <c r="AK32" s="105" t="str">
        <f>IF(0 = 0,CHOOSE((0 + 1), "ft", "mile", "m", "km"),"--")</f>
        <v>ft</v>
      </c>
      <c r="AL32" s="60"/>
      <c r="AM32" s="53" t="s">
        <v>5814</v>
      </c>
    </row>
    <row r="33" spans="1:39">
      <c r="A33" s="105" t="s">
        <v>5815</v>
      </c>
      <c r="B33" s="105">
        <v>1</v>
      </c>
      <c r="C33" s="105" t="str">
        <f>IF(TRUE = TRUE, "Yes", "No")</f>
        <v>Yes</v>
      </c>
      <c r="D33" s="105" t="s">
        <v>5202</v>
      </c>
      <c r="E33" s="105"/>
      <c r="F33" s="127" t="str">
        <f>IF(0 = 0, "3", "1")</f>
        <v>3</v>
      </c>
      <c r="G33" s="127" t="str">
        <f>IF(0 = 1, CHOOSE((3-1),  "2", "3"), "--")</f>
        <v>--</v>
      </c>
      <c r="H33" s="105" t="str">
        <f>IF(TRIM("BUS_CNODE_JCT__1344") = "", "BUS_CNODE_JCT__1344", "BUS_CNODE_JCT__1344")</f>
        <v>BUS_CNODE_JCT__1344</v>
      </c>
      <c r="I33" s="105" t="str">
        <f>IF(TRIM("BUS_CNODE_JCT__1345") = "", "BUS_CNODE_JCT__1345", "BUS_CNODE_JCT__1345")</f>
        <v>BUS_CNODE_JCT__1345</v>
      </c>
      <c r="J33" s="242"/>
      <c r="K33" s="105">
        <v>60</v>
      </c>
      <c r="L33" s="260"/>
      <c r="M33" s="260"/>
      <c r="N33" s="260"/>
      <c r="O33" s="260"/>
      <c r="P33" s="242"/>
      <c r="Q33" s="242"/>
      <c r="R33" s="242"/>
      <c r="S33" s="261" t="s">
        <v>5771</v>
      </c>
      <c r="T33" s="260"/>
      <c r="U33" s="260"/>
      <c r="V33" s="260"/>
      <c r="W33" s="260"/>
      <c r="X33" s="260">
        <f>ROUND(152, 7)</f>
        <v>152</v>
      </c>
      <c r="Y33" s="127">
        <v>0</v>
      </c>
      <c r="Z33" s="127">
        <f>ROUND(0,2)</f>
        <v>0</v>
      </c>
      <c r="AA33" s="127">
        <f>ROUND(75, 1)</f>
        <v>75</v>
      </c>
      <c r="AB33" s="127">
        <f>ROUND(75, 1)</f>
        <v>75</v>
      </c>
      <c r="AC33" s="127">
        <f>ROUND(0.128000006, 3)</f>
        <v>0.128</v>
      </c>
      <c r="AD33" s="127">
        <f>ROUND(0.0986000001, 3)</f>
        <v>9.9000000000000005E-2</v>
      </c>
      <c r="AE33" s="127">
        <f>ROUND(0, 5)</f>
        <v>0</v>
      </c>
      <c r="AF33" s="127">
        <f>IF(0 = 0,ROUND(0.20352, 3),"--")</f>
        <v>0.20399999999999999</v>
      </c>
      <c r="AG33" s="262">
        <f>IF(0 = 0,ROUND(0.250443995, 3),"--")</f>
        <v>0.25</v>
      </c>
      <c r="AH33" s="127">
        <f>IF(0 = 0,ROUND(0, 5),"--")</f>
        <v>0</v>
      </c>
      <c r="AI33" s="105" t="str">
        <f>IF(0 = 0, "Ohms per", "Ohms")</f>
        <v>Ohms per</v>
      </c>
      <c r="AJ33" s="105">
        <f>IF(0 = 0,1000,"--")</f>
        <v>1000</v>
      </c>
      <c r="AK33" s="105" t="str">
        <f>IF(0 = 0,CHOOSE((0 + 1), "ft", "mile", "m", "km"),"--")</f>
        <v>ft</v>
      </c>
      <c r="AL33" s="60"/>
      <c r="AM33" s="53" t="s">
        <v>5816</v>
      </c>
    </row>
    <row r="34" spans="1:39">
      <c r="A34" s="105" t="s">
        <v>5817</v>
      </c>
      <c r="B34" s="105">
        <v>1</v>
      </c>
      <c r="C34" s="105" t="str">
        <f>IF(TRUE = TRUE, "Yes", "No")</f>
        <v>Yes</v>
      </c>
      <c r="D34" s="105" t="s">
        <v>5202</v>
      </c>
      <c r="E34" s="105"/>
      <c r="F34" s="127" t="str">
        <f>IF(0 = 0, "3", "1")</f>
        <v>3</v>
      </c>
      <c r="G34" s="127" t="str">
        <f>IF(0 = 1, CHOOSE((3-1),  "2", "3"), "--")</f>
        <v>--</v>
      </c>
      <c r="H34" s="105" t="str">
        <f>IF(TRIM("BUS_CNODE_JCT__1313") = "", "BUS_CNODE_JCT__1313", "BUS_CNODE_JCT__1313")</f>
        <v>BUS_CNODE_JCT__1313</v>
      </c>
      <c r="I34" s="105" t="str">
        <f>IF(TRIM("BUS_line1_236") = "", "BUS_line1_236", "BUS_line1_236")</f>
        <v>BUS_line1_236</v>
      </c>
      <c r="J34" s="242"/>
      <c r="K34" s="105">
        <v>60</v>
      </c>
      <c r="L34" s="260"/>
      <c r="M34" s="260"/>
      <c r="N34" s="260"/>
      <c r="O34" s="260"/>
      <c r="P34" s="242"/>
      <c r="Q34" s="242"/>
      <c r="R34" s="242"/>
      <c r="S34" s="261" t="s">
        <v>5771</v>
      </c>
      <c r="T34" s="260"/>
      <c r="U34" s="260"/>
      <c r="V34" s="260"/>
      <c r="W34" s="260"/>
      <c r="X34" s="260">
        <f>ROUND(97, 7)</f>
        <v>97</v>
      </c>
      <c r="Y34" s="127">
        <v>0</v>
      </c>
      <c r="Z34" s="127">
        <f>ROUND(0,2)</f>
        <v>0</v>
      </c>
      <c r="AA34" s="127">
        <f>ROUND(75, 1)</f>
        <v>75</v>
      </c>
      <c r="AB34" s="127">
        <f>ROUND(75, 1)</f>
        <v>75</v>
      </c>
      <c r="AC34" s="127">
        <f>ROUND(0.493999988, 3)</f>
        <v>0.49399999999999999</v>
      </c>
      <c r="AD34" s="127">
        <f>ROUND(0.123000003, 3)</f>
        <v>0.123</v>
      </c>
      <c r="AE34" s="127">
        <f>ROUND(0, 5)</f>
        <v>0</v>
      </c>
      <c r="AF34" s="127">
        <f>IF(0 = 0,ROUND(0.785459995, 3),"--")</f>
        <v>0.78500000000000003</v>
      </c>
      <c r="AG34" s="262">
        <f>IF(0 = 0,ROUND(0.312420011, 3),"--")</f>
        <v>0.312</v>
      </c>
      <c r="AH34" s="127">
        <f>IF(0 = 0,ROUND(0, 5),"--")</f>
        <v>0</v>
      </c>
      <c r="AI34" s="105" t="str">
        <f>IF(0 = 0, "Ohms per", "Ohms")</f>
        <v>Ohms per</v>
      </c>
      <c r="AJ34" s="105">
        <f>IF(0 = 0,1000,"--")</f>
        <v>1000</v>
      </c>
      <c r="AK34" s="105" t="str">
        <f>IF(0 = 0,CHOOSE((0 + 1), "ft", "mile", "m", "km"),"--")</f>
        <v>ft</v>
      </c>
      <c r="AL34" s="60"/>
      <c r="AM34" s="53" t="s">
        <v>5818</v>
      </c>
    </row>
    <row r="35" spans="1:39">
      <c r="A35" s="105" t="s">
        <v>5819</v>
      </c>
      <c r="B35" s="105">
        <v>1</v>
      </c>
      <c r="C35" s="105" t="str">
        <f>IF(TRUE = TRUE, "Yes", "No")</f>
        <v>Yes</v>
      </c>
      <c r="D35" s="105" t="s">
        <v>5202</v>
      </c>
      <c r="E35" s="105"/>
      <c r="F35" s="127" t="str">
        <f>IF(0 = 0, "3", "1")</f>
        <v>3</v>
      </c>
      <c r="G35" s="127" t="str">
        <f>IF(0 = 1, CHOOSE((3-1),  "2", "3"), "--")</f>
        <v>--</v>
      </c>
      <c r="H35" s="105" t="str">
        <f>IF(TRIM("BUS_CNODE_JCT__1362") = "", "BUS_CNODE_JCT__1362", "BUS_CNODE_JCT__1362")</f>
        <v>BUS_CNODE_JCT__1362</v>
      </c>
      <c r="I35" s="105" t="str">
        <f>IF(TRIM("BUS_CNODE_JCT__1363") = "", "BUS_CNODE_JCT__1363", "BUS_CNODE_JCT__1363")</f>
        <v>BUS_CNODE_JCT__1363</v>
      </c>
      <c r="J35" s="242"/>
      <c r="K35" s="105">
        <v>60</v>
      </c>
      <c r="L35" s="260"/>
      <c r="M35" s="260"/>
      <c r="N35" s="260"/>
      <c r="O35" s="260"/>
      <c r="P35" s="242"/>
      <c r="Q35" s="242"/>
      <c r="R35" s="242"/>
      <c r="S35" s="261" t="s">
        <v>5771</v>
      </c>
      <c r="T35" s="260"/>
      <c r="U35" s="260"/>
      <c r="V35" s="260"/>
      <c r="W35" s="260"/>
      <c r="X35" s="260">
        <f>ROUND(20, 7)</f>
        <v>20</v>
      </c>
      <c r="Y35" s="127">
        <v>0</v>
      </c>
      <c r="Z35" s="127">
        <f>ROUND(0,2)</f>
        <v>0</v>
      </c>
      <c r="AA35" s="127">
        <f>ROUND(75, 1)</f>
        <v>75</v>
      </c>
      <c r="AB35" s="127">
        <f>ROUND(75, 1)</f>
        <v>75</v>
      </c>
      <c r="AC35" s="127">
        <f>ROUND(0.064000003, 3)</f>
        <v>6.4000000000000001E-2</v>
      </c>
      <c r="AD35" s="127">
        <f>ROUND(0.0892999992, 3)</f>
        <v>8.8999999999999996E-2</v>
      </c>
      <c r="AE35" s="127">
        <f>ROUND(0, 5)</f>
        <v>0</v>
      </c>
      <c r="AF35" s="127">
        <f>IF(0 = 0,ROUND(0.10176, 3),"--")</f>
        <v>0.10199999999999999</v>
      </c>
      <c r="AG35" s="262">
        <f>IF(0 = 0,ROUND(0.226822004, 3),"--")</f>
        <v>0.22700000000000001</v>
      </c>
      <c r="AH35" s="127">
        <f>IF(0 = 0,ROUND(0, 5),"--")</f>
        <v>0</v>
      </c>
      <c r="AI35" s="105" t="str">
        <f>IF(0 = 0, "Ohms per", "Ohms")</f>
        <v>Ohms per</v>
      </c>
      <c r="AJ35" s="105">
        <f>IF(0 = 0,1000,"--")</f>
        <v>1000</v>
      </c>
      <c r="AK35" s="105" t="str">
        <f>IF(0 = 0,CHOOSE((0 + 1), "ft", "mile", "m", "km"),"--")</f>
        <v>ft</v>
      </c>
      <c r="AL35" s="60"/>
      <c r="AM35" s="53" t="s">
        <v>5820</v>
      </c>
    </row>
    <row r="36" spans="1:39">
      <c r="A36" s="105" t="s">
        <v>5821</v>
      </c>
      <c r="B36" s="105">
        <v>1</v>
      </c>
      <c r="C36" s="105" t="str">
        <f>IF(TRUE = TRUE, "Yes", "No")</f>
        <v>Yes</v>
      </c>
      <c r="D36" s="105" t="s">
        <v>5202</v>
      </c>
      <c r="E36" s="105"/>
      <c r="F36" s="127" t="str">
        <f>IF(0 = 0, "3", "1")</f>
        <v>3</v>
      </c>
      <c r="G36" s="127" t="str">
        <f>IF(0 = 1, CHOOSE((3-1),  "2", "3"), "--")</f>
        <v>--</v>
      </c>
      <c r="H36" s="105" t="str">
        <f>IF(TRIM("BUS_CNODE_JCT__1294") = "", "BUS_CNODE_JCT__1294", "BUS_CNODE_JCT__1294")</f>
        <v>BUS_CNODE_JCT__1294</v>
      </c>
      <c r="I36" s="105" t="str">
        <f>IF(TRIM("BUS_CNODE_JCT__1295") = "", "BUS_CNODE_JCT__1295", "BUS_CNODE_JCT__1295")</f>
        <v>BUS_CNODE_JCT__1295</v>
      </c>
      <c r="J36" s="242"/>
      <c r="K36" s="105">
        <v>60</v>
      </c>
      <c r="L36" s="260"/>
      <c r="M36" s="260"/>
      <c r="N36" s="260"/>
      <c r="O36" s="260"/>
      <c r="P36" s="242"/>
      <c r="Q36" s="242"/>
      <c r="R36" s="242"/>
      <c r="S36" s="261" t="s">
        <v>5771</v>
      </c>
      <c r="T36" s="260"/>
      <c r="U36" s="260"/>
      <c r="V36" s="260"/>
      <c r="W36" s="260"/>
      <c r="X36" s="260">
        <f>ROUND(149, 7)</f>
        <v>149</v>
      </c>
      <c r="Y36" s="127">
        <v>0</v>
      </c>
      <c r="Z36" s="127">
        <f>ROUND(0,2)</f>
        <v>0</v>
      </c>
      <c r="AA36" s="127">
        <f>ROUND(75, 1)</f>
        <v>75</v>
      </c>
      <c r="AB36" s="127">
        <f>ROUND(75, 1)</f>
        <v>75</v>
      </c>
      <c r="AC36" s="127">
        <f>ROUND(0.064000003, 3)</f>
        <v>6.4000000000000001E-2</v>
      </c>
      <c r="AD36" s="127">
        <f>ROUND(0.0892999992, 3)</f>
        <v>8.8999999999999996E-2</v>
      </c>
      <c r="AE36" s="127">
        <f>ROUND(0, 5)</f>
        <v>0</v>
      </c>
      <c r="AF36" s="127">
        <f>IF(0 = 0,ROUND(0.10176, 3),"--")</f>
        <v>0.10199999999999999</v>
      </c>
      <c r="AG36" s="262">
        <f>IF(0 = 0,ROUND(0.226822004, 3),"--")</f>
        <v>0.22700000000000001</v>
      </c>
      <c r="AH36" s="127">
        <f>IF(0 = 0,ROUND(0, 5),"--")</f>
        <v>0</v>
      </c>
      <c r="AI36" s="105" t="str">
        <f>IF(0 = 0, "Ohms per", "Ohms")</f>
        <v>Ohms per</v>
      </c>
      <c r="AJ36" s="105">
        <f>IF(0 = 0,1000,"--")</f>
        <v>1000</v>
      </c>
      <c r="AK36" s="105" t="str">
        <f>IF(0 = 0,CHOOSE((0 + 1), "ft", "mile", "m", "km"),"--")</f>
        <v>ft</v>
      </c>
      <c r="AL36" s="60"/>
      <c r="AM36" s="53" t="s">
        <v>5822</v>
      </c>
    </row>
    <row r="37" spans="1:39">
      <c r="A37" s="105" t="s">
        <v>5823</v>
      </c>
      <c r="B37" s="105">
        <v>1</v>
      </c>
      <c r="C37" s="105" t="str">
        <f>IF(TRUE = TRUE, "Yes", "No")</f>
        <v>Yes</v>
      </c>
      <c r="D37" s="105" t="s">
        <v>5202</v>
      </c>
      <c r="E37" s="105"/>
      <c r="F37" s="127" t="str">
        <f>IF(0 = 0, "3", "1")</f>
        <v>3</v>
      </c>
      <c r="G37" s="127" t="str">
        <f>IF(0 = 1, CHOOSE((3-1),  "2", "3"), "--")</f>
        <v>--</v>
      </c>
      <c r="H37" s="105" t="str">
        <f>IF(TRIM("BUS_CNODE_JCT__1296") = "", "BUS_CNODE_JCT__1296", "BUS_CNODE_JCT__1296")</f>
        <v>BUS_CNODE_JCT__1296</v>
      </c>
      <c r="I37" s="105" t="str">
        <f>IF(TRIM("BUS_CNODE_JCT__1297") = "", "BUS_CNODE_JCT__1297", "BUS_CNODE_JCT__1297")</f>
        <v>BUS_CNODE_JCT__1297</v>
      </c>
      <c r="J37" s="242"/>
      <c r="K37" s="105">
        <v>60</v>
      </c>
      <c r="L37" s="260"/>
      <c r="M37" s="260"/>
      <c r="N37" s="260"/>
      <c r="O37" s="260"/>
      <c r="P37" s="242"/>
      <c r="Q37" s="242"/>
      <c r="R37" s="242"/>
      <c r="S37" s="261" t="s">
        <v>5771</v>
      </c>
      <c r="T37" s="260"/>
      <c r="U37" s="260"/>
      <c r="V37" s="260"/>
      <c r="W37" s="260"/>
      <c r="X37" s="260">
        <f>ROUND(333, 7)</f>
        <v>333</v>
      </c>
      <c r="Y37" s="127">
        <v>0</v>
      </c>
      <c r="Z37" s="127">
        <f>ROUND(0,2)</f>
        <v>0</v>
      </c>
      <c r="AA37" s="127">
        <f>ROUND(75, 1)</f>
        <v>75</v>
      </c>
      <c r="AB37" s="127">
        <f>ROUND(75, 1)</f>
        <v>75</v>
      </c>
      <c r="AC37" s="127">
        <f>ROUND(0.064000003, 3)</f>
        <v>6.4000000000000001E-2</v>
      </c>
      <c r="AD37" s="127">
        <f>ROUND(0.0892999992, 3)</f>
        <v>8.8999999999999996E-2</v>
      </c>
      <c r="AE37" s="127">
        <f>ROUND(0, 5)</f>
        <v>0</v>
      </c>
      <c r="AF37" s="127">
        <f>IF(0 = 0,ROUND(0.10176, 3),"--")</f>
        <v>0.10199999999999999</v>
      </c>
      <c r="AG37" s="262">
        <f>IF(0 = 0,ROUND(0.226822004, 3),"--")</f>
        <v>0.22700000000000001</v>
      </c>
      <c r="AH37" s="127">
        <f>IF(0 = 0,ROUND(0, 5),"--")</f>
        <v>0</v>
      </c>
      <c r="AI37" s="105" t="str">
        <f>IF(0 = 0, "Ohms per", "Ohms")</f>
        <v>Ohms per</v>
      </c>
      <c r="AJ37" s="105">
        <f>IF(0 = 0,1000,"--")</f>
        <v>1000</v>
      </c>
      <c r="AK37" s="105" t="str">
        <f>IF(0 = 0,CHOOSE((0 + 1), "ft", "mile", "m", "km"),"--")</f>
        <v>ft</v>
      </c>
      <c r="AL37" s="60"/>
      <c r="AM37" s="53" t="s">
        <v>5824</v>
      </c>
    </row>
    <row r="38" spans="1:39">
      <c r="A38" s="105" t="s">
        <v>5825</v>
      </c>
      <c r="B38" s="105">
        <v>1</v>
      </c>
      <c r="C38" s="105" t="str">
        <f>IF(TRUE = TRUE, "Yes", "No")</f>
        <v>Yes</v>
      </c>
      <c r="D38" s="105" t="s">
        <v>5202</v>
      </c>
      <c r="E38" s="105"/>
      <c r="F38" s="127" t="str">
        <f>IF(0 = 0, "3", "1")</f>
        <v>3</v>
      </c>
      <c r="G38" s="127" t="str">
        <f>IF(0 = 1, CHOOSE((3-1),  "2", "3"), "--")</f>
        <v>--</v>
      </c>
      <c r="H38" s="105" t="str">
        <f>IF(TRIM("BUS_CNODE_JCT__1282") = "", "BUS_CNODE_JCT__1282", "BUS_CNODE_JCT__1282")</f>
        <v>BUS_CNODE_JCT__1282</v>
      </c>
      <c r="I38" s="105" t="str">
        <f>IF(TRIM("BUS_CNODE_JCT__1283") = "", "BUS_CNODE_JCT__1283", "BUS_CNODE_JCT__1283")</f>
        <v>BUS_CNODE_JCT__1283</v>
      </c>
      <c r="J38" s="242"/>
      <c r="K38" s="105">
        <v>60</v>
      </c>
      <c r="L38" s="260"/>
      <c r="M38" s="260"/>
      <c r="N38" s="260"/>
      <c r="O38" s="260"/>
      <c r="P38" s="242"/>
      <c r="Q38" s="242"/>
      <c r="R38" s="242"/>
      <c r="S38" s="261" t="s">
        <v>5771</v>
      </c>
      <c r="T38" s="260"/>
      <c r="U38" s="260"/>
      <c r="V38" s="260"/>
      <c r="W38" s="260"/>
      <c r="X38" s="260">
        <f>ROUND(434, 7)</f>
        <v>434</v>
      </c>
      <c r="Y38" s="127">
        <v>0</v>
      </c>
      <c r="Z38" s="127">
        <f>ROUND(0,2)</f>
        <v>0</v>
      </c>
      <c r="AA38" s="127">
        <f>ROUND(75, 1)</f>
        <v>75</v>
      </c>
      <c r="AB38" s="127">
        <f>ROUND(75, 1)</f>
        <v>75</v>
      </c>
      <c r="AC38" s="127">
        <f>ROUND(0.064000003, 3)</f>
        <v>6.4000000000000001E-2</v>
      </c>
      <c r="AD38" s="127">
        <f>ROUND(0.0892999992, 3)</f>
        <v>8.8999999999999996E-2</v>
      </c>
      <c r="AE38" s="127">
        <f>ROUND(0, 5)</f>
        <v>0</v>
      </c>
      <c r="AF38" s="127">
        <f>IF(0 = 0,ROUND(0.10176, 3),"--")</f>
        <v>0.10199999999999999</v>
      </c>
      <c r="AG38" s="262">
        <f>IF(0 = 0,ROUND(0.226822004, 3),"--")</f>
        <v>0.22700000000000001</v>
      </c>
      <c r="AH38" s="127">
        <f>IF(0 = 0,ROUND(0, 5),"--")</f>
        <v>0</v>
      </c>
      <c r="AI38" s="105" t="str">
        <f>IF(0 = 0, "Ohms per", "Ohms")</f>
        <v>Ohms per</v>
      </c>
      <c r="AJ38" s="105">
        <f>IF(0 = 0,1000,"--")</f>
        <v>1000</v>
      </c>
      <c r="AK38" s="105" t="str">
        <f>IF(0 = 0,CHOOSE((0 + 1), "ft", "mile", "m", "km"),"--")</f>
        <v>ft</v>
      </c>
      <c r="AL38" s="60"/>
      <c r="AM38" s="53" t="s">
        <v>5826</v>
      </c>
    </row>
    <row r="39" spans="1:39">
      <c r="A39" s="105" t="s">
        <v>5827</v>
      </c>
      <c r="B39" s="105">
        <v>1</v>
      </c>
      <c r="C39" s="105" t="str">
        <f>IF(TRUE = TRUE, "Yes", "No")</f>
        <v>Yes</v>
      </c>
      <c r="D39" s="105" t="s">
        <v>5202</v>
      </c>
      <c r="E39" s="105"/>
      <c r="F39" s="127" t="str">
        <f>IF(0 = 0, "3", "1")</f>
        <v>3</v>
      </c>
      <c r="G39" s="127" t="str">
        <f>IF(0 = 1, CHOOSE((3-1),  "2", "3"), "--")</f>
        <v>--</v>
      </c>
      <c r="H39" s="105" t="str">
        <f>IF(TRIM("BUS_CNODE_JCT__1370") = "", "BUS_CNODE_JCT__1370", "BUS_CNODE_JCT__1370")</f>
        <v>BUS_CNODE_JCT__1370</v>
      </c>
      <c r="I39" s="105" t="str">
        <f>IF(TRIM("BUS_CNODE_JCT__1371") = "", "BUS_CNODE_JCT__1371", "BUS_CNODE_JCT__1371")</f>
        <v>BUS_CNODE_JCT__1371</v>
      </c>
      <c r="J39" s="242"/>
      <c r="K39" s="105">
        <v>60</v>
      </c>
      <c r="L39" s="260"/>
      <c r="M39" s="260"/>
      <c r="N39" s="260"/>
      <c r="O39" s="260"/>
      <c r="P39" s="242"/>
      <c r="Q39" s="242"/>
      <c r="R39" s="242"/>
      <c r="S39" s="261" t="s">
        <v>5771</v>
      </c>
      <c r="T39" s="260"/>
      <c r="U39" s="260"/>
      <c r="V39" s="260"/>
      <c r="W39" s="260"/>
      <c r="X39" s="260">
        <f>ROUND(137, 7)</f>
        <v>137</v>
      </c>
      <c r="Y39" s="127">
        <v>0</v>
      </c>
      <c r="Z39" s="127">
        <f>ROUND(0,2)</f>
        <v>0</v>
      </c>
      <c r="AA39" s="127">
        <f>ROUND(75, 1)</f>
        <v>75</v>
      </c>
      <c r="AB39" s="127">
        <f>ROUND(75, 1)</f>
        <v>75</v>
      </c>
      <c r="AC39" s="127">
        <f>ROUND(0.064000003, 3)</f>
        <v>6.4000000000000001E-2</v>
      </c>
      <c r="AD39" s="127">
        <f>ROUND(0.0892999992, 3)</f>
        <v>8.8999999999999996E-2</v>
      </c>
      <c r="AE39" s="127">
        <f>ROUND(0, 5)</f>
        <v>0</v>
      </c>
      <c r="AF39" s="127">
        <f>IF(0 = 0,ROUND(0.10176, 3),"--")</f>
        <v>0.10199999999999999</v>
      </c>
      <c r="AG39" s="262">
        <f>IF(0 = 0,ROUND(0.226822004, 3),"--")</f>
        <v>0.22700000000000001</v>
      </c>
      <c r="AH39" s="127">
        <f>IF(0 = 0,ROUND(0, 5),"--")</f>
        <v>0</v>
      </c>
      <c r="AI39" s="105" t="str">
        <f>IF(0 = 0, "Ohms per", "Ohms")</f>
        <v>Ohms per</v>
      </c>
      <c r="AJ39" s="105">
        <f>IF(0 = 0,1000,"--")</f>
        <v>1000</v>
      </c>
      <c r="AK39" s="105" t="str">
        <f>IF(0 = 0,CHOOSE((0 + 1), "ft", "mile", "m", "km"),"--")</f>
        <v>ft</v>
      </c>
      <c r="AL39" s="60"/>
      <c r="AM39" s="53" t="s">
        <v>5828</v>
      </c>
    </row>
    <row r="40" spans="1:39">
      <c r="A40" s="105" t="s">
        <v>5829</v>
      </c>
      <c r="B40" s="105">
        <v>1</v>
      </c>
      <c r="C40" s="105" t="str">
        <f>IF(TRUE = TRUE, "Yes", "No")</f>
        <v>Yes</v>
      </c>
      <c r="D40" s="105" t="s">
        <v>5202</v>
      </c>
      <c r="E40" s="105"/>
      <c r="F40" s="127" t="str">
        <f>IF(0 = 0, "3", "1")</f>
        <v>3</v>
      </c>
      <c r="G40" s="127" t="str">
        <f>IF(0 = 1, CHOOSE((3-1),  "2", "3"), "--")</f>
        <v>--</v>
      </c>
      <c r="H40" s="105" t="str">
        <f>IF(TRIM("BUS_CNODE_JCT__1339") = "", "BUS_CNODE_JCT__1339", "BUS_CNODE_JCT__1339")</f>
        <v>BUS_CNODE_JCT__1339</v>
      </c>
      <c r="I40" s="105" t="str">
        <f>IF(TRIM("BUS_CNODE_JCT__1338") = "", "BUS_CNODE_JCT__1338", "BUS_CNODE_JCT__1338")</f>
        <v>BUS_CNODE_JCT__1338</v>
      </c>
      <c r="J40" s="242"/>
      <c r="K40" s="105">
        <v>60</v>
      </c>
      <c r="L40" s="260"/>
      <c r="M40" s="260"/>
      <c r="N40" s="260"/>
      <c r="O40" s="260"/>
      <c r="P40" s="242"/>
      <c r="Q40" s="242"/>
      <c r="R40" s="242"/>
      <c r="S40" s="261" t="s">
        <v>5771</v>
      </c>
      <c r="T40" s="260"/>
      <c r="U40" s="260"/>
      <c r="V40" s="260"/>
      <c r="W40" s="260"/>
      <c r="X40" s="260">
        <f>ROUND(445, 7)</f>
        <v>445</v>
      </c>
      <c r="Y40" s="127">
        <v>0</v>
      </c>
      <c r="Z40" s="127">
        <f>ROUND(0,2)</f>
        <v>0</v>
      </c>
      <c r="AA40" s="127">
        <f>ROUND(75, 1)</f>
        <v>75</v>
      </c>
      <c r="AB40" s="127">
        <f>ROUND(75, 1)</f>
        <v>75</v>
      </c>
      <c r="AC40" s="127">
        <f>ROUND(0.064000003, 3)</f>
        <v>6.4000000000000001E-2</v>
      </c>
      <c r="AD40" s="127">
        <f>ROUND(0.0892999992, 3)</f>
        <v>8.8999999999999996E-2</v>
      </c>
      <c r="AE40" s="127">
        <f>ROUND(0, 5)</f>
        <v>0</v>
      </c>
      <c r="AF40" s="127">
        <f>IF(0 = 0,ROUND(0.10176, 3),"--")</f>
        <v>0.10199999999999999</v>
      </c>
      <c r="AG40" s="262">
        <f>IF(0 = 0,ROUND(0.226822004, 3),"--")</f>
        <v>0.22700000000000001</v>
      </c>
      <c r="AH40" s="127">
        <f>IF(0 = 0,ROUND(0, 5),"--")</f>
        <v>0</v>
      </c>
      <c r="AI40" s="105" t="str">
        <f>IF(0 = 0, "Ohms per", "Ohms")</f>
        <v>Ohms per</v>
      </c>
      <c r="AJ40" s="105">
        <f>IF(0 = 0,1000,"--")</f>
        <v>1000</v>
      </c>
      <c r="AK40" s="105" t="str">
        <f>IF(0 = 0,CHOOSE((0 + 1), "ft", "mile", "m", "km"),"--")</f>
        <v>ft</v>
      </c>
      <c r="AL40" s="60"/>
      <c r="AM40" s="53" t="s">
        <v>5830</v>
      </c>
    </row>
    <row r="41" spans="1:39">
      <c r="A41" s="105" t="s">
        <v>5831</v>
      </c>
      <c r="B41" s="105">
        <v>1</v>
      </c>
      <c r="C41" s="105" t="str">
        <f>IF(TRUE = TRUE, "Yes", "No")</f>
        <v>Yes</v>
      </c>
      <c r="D41" s="105" t="s">
        <v>5202</v>
      </c>
      <c r="E41" s="105"/>
      <c r="F41" s="127" t="str">
        <f>IF(0 = 0, "3", "1")</f>
        <v>3</v>
      </c>
      <c r="G41" s="127" t="str">
        <f>IF(0 = 1, CHOOSE((3-1),  "2", "3"), "--")</f>
        <v>--</v>
      </c>
      <c r="H41" s="105" t="str">
        <f>IF(TRIM("BUS_CNODE_JCT__1307") = "", "BUS_CNODE_JCT__1307", "BUS_CNODE_JCT__1307")</f>
        <v>BUS_CNODE_JCT__1307</v>
      </c>
      <c r="I41" s="105" t="str">
        <f>IF(TRIM("BUS_CNODE_JCT__1308") = "", "BUS_CNODE_JCT__1308", "BUS_CNODE_JCT__1308")</f>
        <v>BUS_CNODE_JCT__1308</v>
      </c>
      <c r="J41" s="242"/>
      <c r="K41" s="105">
        <v>60</v>
      </c>
      <c r="L41" s="260"/>
      <c r="M41" s="260"/>
      <c r="N41" s="260"/>
      <c r="O41" s="260"/>
      <c r="P41" s="242"/>
      <c r="Q41" s="242"/>
      <c r="R41" s="242"/>
      <c r="S41" s="261" t="s">
        <v>5771</v>
      </c>
      <c r="T41" s="260"/>
      <c r="U41" s="260"/>
      <c r="V41" s="260"/>
      <c r="W41" s="260"/>
      <c r="X41" s="260">
        <f>ROUND(430, 7)</f>
        <v>430</v>
      </c>
      <c r="Y41" s="127">
        <v>0</v>
      </c>
      <c r="Z41" s="127">
        <f>ROUND(0,2)</f>
        <v>0</v>
      </c>
      <c r="AA41" s="127">
        <f>ROUND(75, 1)</f>
        <v>75</v>
      </c>
      <c r="AB41" s="127">
        <f>ROUND(75, 1)</f>
        <v>75</v>
      </c>
      <c r="AC41" s="127">
        <f>ROUND(0.064000003, 3)</f>
        <v>6.4000000000000001E-2</v>
      </c>
      <c r="AD41" s="127">
        <f>ROUND(0.0892999992, 3)</f>
        <v>8.8999999999999996E-2</v>
      </c>
      <c r="AE41" s="127">
        <f>ROUND(0, 5)</f>
        <v>0</v>
      </c>
      <c r="AF41" s="127">
        <f>IF(0 = 0,ROUND(0.10176, 3),"--")</f>
        <v>0.10199999999999999</v>
      </c>
      <c r="AG41" s="262">
        <f>IF(0 = 0,ROUND(0.226822004, 3),"--")</f>
        <v>0.22700000000000001</v>
      </c>
      <c r="AH41" s="127">
        <f>IF(0 = 0,ROUND(0, 5),"--")</f>
        <v>0</v>
      </c>
      <c r="AI41" s="105" t="str">
        <f>IF(0 = 0, "Ohms per", "Ohms")</f>
        <v>Ohms per</v>
      </c>
      <c r="AJ41" s="105">
        <f>IF(0 = 0,1000,"--")</f>
        <v>1000</v>
      </c>
      <c r="AK41" s="105" t="str">
        <f>IF(0 = 0,CHOOSE((0 + 1), "ft", "mile", "m", "km"),"--")</f>
        <v>ft</v>
      </c>
      <c r="AL41" s="60"/>
      <c r="AM41" s="53" t="s">
        <v>5832</v>
      </c>
    </row>
    <row r="42" spans="1:39">
      <c r="A42" s="105" t="s">
        <v>5833</v>
      </c>
      <c r="B42" s="105">
        <v>1</v>
      </c>
      <c r="C42" s="105" t="str">
        <f>IF(TRUE = TRUE, "Yes", "No")</f>
        <v>Yes</v>
      </c>
      <c r="D42" s="105" t="s">
        <v>5202</v>
      </c>
      <c r="E42" s="105"/>
      <c r="F42" s="127" t="str">
        <f>IF(0 = 0, "3", "1")</f>
        <v>3</v>
      </c>
      <c r="G42" s="127" t="str">
        <f>IF(0 = 1, CHOOSE((3-1),  "2", "3"), "--")</f>
        <v>--</v>
      </c>
      <c r="H42" s="105" t="str">
        <f>IF(TRIM("BUS_CNODE_JCT__1309") = "", "BUS_CNODE_JCT__1309", "BUS_CNODE_JCT__1309")</f>
        <v>BUS_CNODE_JCT__1309</v>
      </c>
      <c r="I42" s="105" t="str">
        <f>IF(TRIM("BUS_CNODE_JCT__1307") = "", "BUS_CNODE_JCT__1307", "BUS_CNODE_JCT__1307")</f>
        <v>BUS_CNODE_JCT__1307</v>
      </c>
      <c r="J42" s="242"/>
      <c r="K42" s="105">
        <v>60</v>
      </c>
      <c r="L42" s="260"/>
      <c r="M42" s="260"/>
      <c r="N42" s="260"/>
      <c r="O42" s="260"/>
      <c r="P42" s="242"/>
      <c r="Q42" s="242"/>
      <c r="R42" s="242"/>
      <c r="S42" s="261" t="s">
        <v>5771</v>
      </c>
      <c r="T42" s="260"/>
      <c r="U42" s="260"/>
      <c r="V42" s="260"/>
      <c r="W42" s="260"/>
      <c r="X42" s="260">
        <f>ROUND(430, 7)</f>
        <v>430</v>
      </c>
      <c r="Y42" s="127">
        <v>0</v>
      </c>
      <c r="Z42" s="127">
        <f>ROUND(0,2)</f>
        <v>0</v>
      </c>
      <c r="AA42" s="127">
        <f>ROUND(75, 1)</f>
        <v>75</v>
      </c>
      <c r="AB42" s="127">
        <f>ROUND(75, 1)</f>
        <v>75</v>
      </c>
      <c r="AC42" s="127">
        <f>ROUND(0.064000003, 3)</f>
        <v>6.4000000000000001E-2</v>
      </c>
      <c r="AD42" s="127">
        <f>ROUND(0.0892999992, 3)</f>
        <v>8.8999999999999996E-2</v>
      </c>
      <c r="AE42" s="127">
        <f>ROUND(0, 5)</f>
        <v>0</v>
      </c>
      <c r="AF42" s="127">
        <f>IF(0 = 0,ROUND(0.10176, 3),"--")</f>
        <v>0.10199999999999999</v>
      </c>
      <c r="AG42" s="262">
        <f>IF(0 = 0,ROUND(0.226822004, 3),"--")</f>
        <v>0.22700000000000001</v>
      </c>
      <c r="AH42" s="127">
        <f>IF(0 = 0,ROUND(0, 5),"--")</f>
        <v>0</v>
      </c>
      <c r="AI42" s="105" t="str">
        <f>IF(0 = 0, "Ohms per", "Ohms")</f>
        <v>Ohms per</v>
      </c>
      <c r="AJ42" s="105">
        <f>IF(0 = 0,1000,"--")</f>
        <v>1000</v>
      </c>
      <c r="AK42" s="105" t="str">
        <f>IF(0 = 0,CHOOSE((0 + 1), "ft", "mile", "m", "km"),"--")</f>
        <v>ft</v>
      </c>
      <c r="AL42" s="60"/>
      <c r="AM42" s="53" t="s">
        <v>5834</v>
      </c>
    </row>
    <row r="43" spans="1:39">
      <c r="A43" s="105" t="s">
        <v>5835</v>
      </c>
      <c r="B43" s="105">
        <v>1</v>
      </c>
      <c r="C43" s="105" t="str">
        <f>IF(TRUE = TRUE, "Yes", "No")</f>
        <v>Yes</v>
      </c>
      <c r="D43" s="105" t="s">
        <v>5202</v>
      </c>
      <c r="E43" s="105"/>
      <c r="F43" s="127" t="str">
        <f>IF(0 = 0, "3", "1")</f>
        <v>3</v>
      </c>
      <c r="G43" s="127" t="str">
        <f>IF(0 = 1, CHOOSE((3-1),  "2", "3"), "--")</f>
        <v>--</v>
      </c>
      <c r="H43" s="105" t="str">
        <f>IF(TRIM("BUS_CNODE_JCT__1321") = "", "BUS_CNODE_JCT__1321", "BUS_CNODE_JCT__1321")</f>
        <v>BUS_CNODE_JCT__1321</v>
      </c>
      <c r="I43" s="105" t="str">
        <f>IF(TRIM("BUS_CNODE_JCT__1309") = "", "BUS_CNODE_JCT__1309", "BUS_CNODE_JCT__1309")</f>
        <v>BUS_CNODE_JCT__1309</v>
      </c>
      <c r="J43" s="242"/>
      <c r="K43" s="105">
        <v>60</v>
      </c>
      <c r="L43" s="260"/>
      <c r="M43" s="260"/>
      <c r="N43" s="260"/>
      <c r="O43" s="260"/>
      <c r="P43" s="242"/>
      <c r="Q43" s="242"/>
      <c r="R43" s="242"/>
      <c r="S43" s="261" t="s">
        <v>5771</v>
      </c>
      <c r="T43" s="260"/>
      <c r="U43" s="260"/>
      <c r="V43" s="260"/>
      <c r="W43" s="260"/>
      <c r="X43" s="260">
        <f>ROUND(430, 7)</f>
        <v>430</v>
      </c>
      <c r="Y43" s="127">
        <v>0</v>
      </c>
      <c r="Z43" s="127">
        <f>ROUND(0,2)</f>
        <v>0</v>
      </c>
      <c r="AA43" s="127">
        <f>ROUND(75, 1)</f>
        <v>75</v>
      </c>
      <c r="AB43" s="127">
        <f>ROUND(75, 1)</f>
        <v>75</v>
      </c>
      <c r="AC43" s="127">
        <f>ROUND(0.064000003, 3)</f>
        <v>6.4000000000000001E-2</v>
      </c>
      <c r="AD43" s="127">
        <f>ROUND(0.0892999992, 3)</f>
        <v>8.8999999999999996E-2</v>
      </c>
      <c r="AE43" s="127">
        <f>ROUND(0, 5)</f>
        <v>0</v>
      </c>
      <c r="AF43" s="127">
        <f>IF(0 = 0,ROUND(0.10176, 3),"--")</f>
        <v>0.10199999999999999</v>
      </c>
      <c r="AG43" s="262">
        <f>IF(0 = 0,ROUND(0.226822004, 3),"--")</f>
        <v>0.22700000000000001</v>
      </c>
      <c r="AH43" s="127">
        <f>IF(0 = 0,ROUND(0, 5),"--")</f>
        <v>0</v>
      </c>
      <c r="AI43" s="105" t="str">
        <f>IF(0 = 0, "Ohms per", "Ohms")</f>
        <v>Ohms per</v>
      </c>
      <c r="AJ43" s="105">
        <f>IF(0 = 0,1000,"--")</f>
        <v>1000</v>
      </c>
      <c r="AK43" s="105" t="str">
        <f>IF(0 = 0,CHOOSE((0 + 1), "ft", "mile", "m", "km"),"--")</f>
        <v>ft</v>
      </c>
      <c r="AL43" s="60"/>
      <c r="AM43" s="53" t="s">
        <v>5836</v>
      </c>
    </row>
    <row r="44" spans="1:39">
      <c r="A44" s="105" t="s">
        <v>5837</v>
      </c>
      <c r="B44" s="105">
        <v>1</v>
      </c>
      <c r="C44" s="105" t="str">
        <f>IF(TRUE = TRUE, "Yes", "No")</f>
        <v>Yes</v>
      </c>
      <c r="D44" s="105" t="s">
        <v>5202</v>
      </c>
      <c r="E44" s="105"/>
      <c r="F44" s="127" t="str">
        <f>IF(0 = 0, "3", "1")</f>
        <v>3</v>
      </c>
      <c r="G44" s="127" t="str">
        <f>IF(0 = 1, CHOOSE((3-1),  "2", "3"), "--")</f>
        <v>--</v>
      </c>
      <c r="H44" s="105" t="str">
        <f>IF(TRIM("BUS_CNODE_JCT__1335") = "", "BUS_CNODE_JCT__1335", "BUS_CNODE_JCT__1335")</f>
        <v>BUS_CNODE_JCT__1335</v>
      </c>
      <c r="I44" s="105" t="str">
        <f>IF(TRIM("BUS_CNODE_JCT__1336") = "", "BUS_CNODE_JCT__1336", "BUS_CNODE_JCT__1336")</f>
        <v>BUS_CNODE_JCT__1336</v>
      </c>
      <c r="J44" s="242"/>
      <c r="K44" s="105">
        <v>60</v>
      </c>
      <c r="L44" s="260"/>
      <c r="M44" s="260"/>
      <c r="N44" s="260"/>
      <c r="O44" s="260"/>
      <c r="P44" s="242"/>
      <c r="Q44" s="242"/>
      <c r="R44" s="242"/>
      <c r="S44" s="261" t="s">
        <v>5771</v>
      </c>
      <c r="T44" s="260"/>
      <c r="U44" s="260"/>
      <c r="V44" s="260"/>
      <c r="W44" s="260"/>
      <c r="X44" s="260">
        <f>ROUND(490, 7)</f>
        <v>490</v>
      </c>
      <c r="Y44" s="127">
        <v>0</v>
      </c>
      <c r="Z44" s="127">
        <f>ROUND(0,2)</f>
        <v>0</v>
      </c>
      <c r="AA44" s="127">
        <f>ROUND(75, 1)</f>
        <v>75</v>
      </c>
      <c r="AB44" s="127">
        <f>ROUND(75, 1)</f>
        <v>75</v>
      </c>
      <c r="AC44" s="127">
        <f>ROUND(0.064000003, 3)</f>
        <v>6.4000000000000001E-2</v>
      </c>
      <c r="AD44" s="127">
        <f>ROUND(0.0892999992, 3)</f>
        <v>8.8999999999999996E-2</v>
      </c>
      <c r="AE44" s="127">
        <f>ROUND(0, 5)</f>
        <v>0</v>
      </c>
      <c r="AF44" s="127">
        <f>IF(0 = 0,ROUND(0.10176, 3),"--")</f>
        <v>0.10199999999999999</v>
      </c>
      <c r="AG44" s="262">
        <f>IF(0 = 0,ROUND(0.226822004, 3),"--")</f>
        <v>0.22700000000000001</v>
      </c>
      <c r="AH44" s="127">
        <f>IF(0 = 0,ROUND(0, 5),"--")</f>
        <v>0</v>
      </c>
      <c r="AI44" s="105" t="str">
        <f>IF(0 = 0, "Ohms per", "Ohms")</f>
        <v>Ohms per</v>
      </c>
      <c r="AJ44" s="105">
        <f>IF(0 = 0,1000,"--")</f>
        <v>1000</v>
      </c>
      <c r="AK44" s="105" t="str">
        <f>IF(0 = 0,CHOOSE((0 + 1), "ft", "mile", "m", "km"),"--")</f>
        <v>ft</v>
      </c>
      <c r="AL44" s="60"/>
      <c r="AM44" s="53" t="s">
        <v>5838</v>
      </c>
    </row>
    <row r="45" spans="1:39">
      <c r="A45" s="105" t="s">
        <v>5839</v>
      </c>
      <c r="B45" s="105">
        <v>1</v>
      </c>
      <c r="C45" s="105" t="str">
        <f>IF(TRUE = TRUE, "Yes", "No")</f>
        <v>Yes</v>
      </c>
      <c r="D45" s="105" t="s">
        <v>5202</v>
      </c>
      <c r="E45" s="105"/>
      <c r="F45" s="127" t="str">
        <f>IF(0 = 0, "3", "1")</f>
        <v>3</v>
      </c>
      <c r="G45" s="127" t="str">
        <f>IF(0 = 1, CHOOSE((3-1),  "2", "3"), "--")</f>
        <v>--</v>
      </c>
      <c r="H45" s="105" t="str">
        <f>IF(TRIM("BUS_CNODE_JCT__1337") = "", "BUS_CNODE_JCT__1337", "BUS_CNODE_JCT__1337")</f>
        <v>BUS_CNODE_JCT__1337</v>
      </c>
      <c r="I45" s="105" t="str">
        <f>IF(TRIM("BUS_CNODE_JCT__1335") = "", "BUS_CNODE_JCT__1335", "BUS_CNODE_JCT__1335")</f>
        <v>BUS_CNODE_JCT__1335</v>
      </c>
      <c r="J45" s="242"/>
      <c r="K45" s="105">
        <v>60</v>
      </c>
      <c r="L45" s="260"/>
      <c r="M45" s="260"/>
      <c r="N45" s="260"/>
      <c r="O45" s="260"/>
      <c r="P45" s="242"/>
      <c r="Q45" s="242"/>
      <c r="R45" s="242"/>
      <c r="S45" s="261" t="s">
        <v>5771</v>
      </c>
      <c r="T45" s="260"/>
      <c r="U45" s="260"/>
      <c r="V45" s="260"/>
      <c r="W45" s="260"/>
      <c r="X45" s="260">
        <f>ROUND(430, 7)</f>
        <v>430</v>
      </c>
      <c r="Y45" s="127">
        <v>0</v>
      </c>
      <c r="Z45" s="127">
        <f>ROUND(0,2)</f>
        <v>0</v>
      </c>
      <c r="AA45" s="127">
        <f>ROUND(75, 1)</f>
        <v>75</v>
      </c>
      <c r="AB45" s="127">
        <f>ROUND(75, 1)</f>
        <v>75</v>
      </c>
      <c r="AC45" s="127">
        <f>ROUND(0.064000003, 3)</f>
        <v>6.4000000000000001E-2</v>
      </c>
      <c r="AD45" s="127">
        <f>ROUND(0.0892999992, 3)</f>
        <v>8.8999999999999996E-2</v>
      </c>
      <c r="AE45" s="127">
        <f>ROUND(0, 5)</f>
        <v>0</v>
      </c>
      <c r="AF45" s="127">
        <f>IF(0 = 0,ROUND(0.10176, 3),"--")</f>
        <v>0.10199999999999999</v>
      </c>
      <c r="AG45" s="262">
        <f>IF(0 = 0,ROUND(0.226822004, 3),"--")</f>
        <v>0.22700000000000001</v>
      </c>
      <c r="AH45" s="127">
        <f>IF(0 = 0,ROUND(0, 5),"--")</f>
        <v>0</v>
      </c>
      <c r="AI45" s="105" t="str">
        <f>IF(0 = 0, "Ohms per", "Ohms")</f>
        <v>Ohms per</v>
      </c>
      <c r="AJ45" s="105">
        <f>IF(0 = 0,1000,"--")</f>
        <v>1000</v>
      </c>
      <c r="AK45" s="105" t="str">
        <f>IF(0 = 0,CHOOSE((0 + 1), "ft", "mile", "m", "km"),"--")</f>
        <v>ft</v>
      </c>
      <c r="AL45" s="60"/>
      <c r="AM45" s="53" t="s">
        <v>5840</v>
      </c>
    </row>
    <row r="46" spans="1:39">
      <c r="A46" s="105" t="s">
        <v>5841</v>
      </c>
      <c r="B46" s="105">
        <v>1</v>
      </c>
      <c r="C46" s="105" t="str">
        <f>IF(TRUE = TRUE, "Yes", "No")</f>
        <v>Yes</v>
      </c>
      <c r="D46" s="105" t="s">
        <v>5202</v>
      </c>
      <c r="E46" s="105"/>
      <c r="F46" s="127" t="str">
        <f>IF(0 = 0, "3", "1")</f>
        <v>3</v>
      </c>
      <c r="G46" s="127" t="str">
        <f>IF(0 = 1, CHOOSE((3-1),  "2", "3"), "--")</f>
        <v>--</v>
      </c>
      <c r="H46" s="105" t="str">
        <f>IF(TRIM("BUS_CNODE_JCT__1338") = "", "BUS_CNODE_JCT__1338", "BUS_CNODE_JCT__1338")</f>
        <v>BUS_CNODE_JCT__1338</v>
      </c>
      <c r="I46" s="105" t="str">
        <f>IF(TRIM("BUS_CNODE_JCT__1337") = "", "BUS_CNODE_JCT__1337", "BUS_CNODE_JCT__1337")</f>
        <v>BUS_CNODE_JCT__1337</v>
      </c>
      <c r="J46" s="242"/>
      <c r="K46" s="105">
        <v>60</v>
      </c>
      <c r="L46" s="260"/>
      <c r="M46" s="260"/>
      <c r="N46" s="260"/>
      <c r="O46" s="260"/>
      <c r="P46" s="242"/>
      <c r="Q46" s="242"/>
      <c r="R46" s="242"/>
      <c r="S46" s="261" t="s">
        <v>5771</v>
      </c>
      <c r="T46" s="260"/>
      <c r="U46" s="260"/>
      <c r="V46" s="260"/>
      <c r="W46" s="260"/>
      <c r="X46" s="260">
        <f>ROUND(430, 7)</f>
        <v>430</v>
      </c>
      <c r="Y46" s="127">
        <v>0</v>
      </c>
      <c r="Z46" s="127">
        <f>ROUND(0,2)</f>
        <v>0</v>
      </c>
      <c r="AA46" s="127">
        <f>ROUND(75, 1)</f>
        <v>75</v>
      </c>
      <c r="AB46" s="127">
        <f>ROUND(75, 1)</f>
        <v>75</v>
      </c>
      <c r="AC46" s="127">
        <f>ROUND(0.064000003, 3)</f>
        <v>6.4000000000000001E-2</v>
      </c>
      <c r="AD46" s="127">
        <f>ROUND(0.0892999992, 3)</f>
        <v>8.8999999999999996E-2</v>
      </c>
      <c r="AE46" s="127">
        <f>ROUND(0, 5)</f>
        <v>0</v>
      </c>
      <c r="AF46" s="127">
        <f>IF(0 = 0,ROUND(0.10176, 3),"--")</f>
        <v>0.10199999999999999</v>
      </c>
      <c r="AG46" s="262">
        <f>IF(0 = 0,ROUND(0.226822004, 3),"--")</f>
        <v>0.22700000000000001</v>
      </c>
      <c r="AH46" s="127">
        <f>IF(0 = 0,ROUND(0, 5),"--")</f>
        <v>0</v>
      </c>
      <c r="AI46" s="105" t="str">
        <f>IF(0 = 0, "Ohms per", "Ohms")</f>
        <v>Ohms per</v>
      </c>
      <c r="AJ46" s="105">
        <f>IF(0 = 0,1000,"--")</f>
        <v>1000</v>
      </c>
      <c r="AK46" s="105" t="str">
        <f>IF(0 = 0,CHOOSE((0 + 1), "ft", "mile", "m", "km"),"--")</f>
        <v>ft</v>
      </c>
      <c r="AL46" s="60"/>
      <c r="AM46" s="53" t="s">
        <v>5842</v>
      </c>
    </row>
    <row r="47" spans="1:39">
      <c r="A47" s="105" t="s">
        <v>5843</v>
      </c>
      <c r="B47" s="105">
        <v>1</v>
      </c>
      <c r="C47" s="105" t="str">
        <f>IF(TRUE = TRUE, "Yes", "No")</f>
        <v>Yes</v>
      </c>
      <c r="D47" s="105" t="s">
        <v>5202</v>
      </c>
      <c r="E47" s="105"/>
      <c r="F47" s="127" t="str">
        <f>IF(0 = 0, "3", "1")</f>
        <v>3</v>
      </c>
      <c r="G47" s="127" t="str">
        <f>IF(0 = 1, CHOOSE((3-1),  "2", "3"), "--")</f>
        <v>--</v>
      </c>
      <c r="H47" s="105" t="str">
        <f>IF(TRIM("BUS_CNODE_JCT__1308") = "", "BUS_CNODE_JCT__1308", "BUS_CNODE_JCT__1308")</f>
        <v>BUS_CNODE_JCT__1308</v>
      </c>
      <c r="I47" s="105" t="str">
        <f>IF(TRIM("BUS_CNODE_JCT__1340") = "", "BUS_CNODE_JCT__1340", "BUS_CNODE_JCT__1340")</f>
        <v>BUS_CNODE_JCT__1340</v>
      </c>
      <c r="J47" s="242"/>
      <c r="K47" s="105">
        <v>60</v>
      </c>
      <c r="L47" s="260"/>
      <c r="M47" s="260"/>
      <c r="N47" s="260"/>
      <c r="O47" s="260"/>
      <c r="P47" s="242"/>
      <c r="Q47" s="242"/>
      <c r="R47" s="242"/>
      <c r="S47" s="261" t="s">
        <v>5771</v>
      </c>
      <c r="T47" s="260"/>
      <c r="U47" s="260"/>
      <c r="V47" s="260"/>
      <c r="W47" s="260"/>
      <c r="X47" s="260">
        <f>ROUND(385, 7)</f>
        <v>385</v>
      </c>
      <c r="Y47" s="127">
        <v>0</v>
      </c>
      <c r="Z47" s="127">
        <f>ROUND(0,2)</f>
        <v>0</v>
      </c>
      <c r="AA47" s="127">
        <f>ROUND(75, 1)</f>
        <v>75</v>
      </c>
      <c r="AB47" s="127">
        <f>ROUND(75, 1)</f>
        <v>75</v>
      </c>
      <c r="AC47" s="127">
        <f>ROUND(0.064000003, 3)</f>
        <v>6.4000000000000001E-2</v>
      </c>
      <c r="AD47" s="127">
        <f>ROUND(0.0892999992, 3)</f>
        <v>8.8999999999999996E-2</v>
      </c>
      <c r="AE47" s="127">
        <f>ROUND(0, 5)</f>
        <v>0</v>
      </c>
      <c r="AF47" s="127">
        <f>IF(0 = 0,ROUND(0.10176, 3),"--")</f>
        <v>0.10199999999999999</v>
      </c>
      <c r="AG47" s="262">
        <f>IF(0 = 0,ROUND(0.226822004, 3),"--")</f>
        <v>0.22700000000000001</v>
      </c>
      <c r="AH47" s="127">
        <f>IF(0 = 0,ROUND(0, 5),"--")</f>
        <v>0</v>
      </c>
      <c r="AI47" s="105" t="str">
        <f>IF(0 = 0, "Ohms per", "Ohms")</f>
        <v>Ohms per</v>
      </c>
      <c r="AJ47" s="105">
        <f>IF(0 = 0,1000,"--")</f>
        <v>1000</v>
      </c>
      <c r="AK47" s="105" t="str">
        <f>IF(0 = 0,CHOOSE((0 + 1), "ft", "mile", "m", "km"),"--")</f>
        <v>ft</v>
      </c>
      <c r="AL47" s="60"/>
      <c r="AM47" s="53" t="s">
        <v>5844</v>
      </c>
    </row>
    <row r="48" spans="1:39">
      <c r="A48" s="105" t="s">
        <v>5845</v>
      </c>
      <c r="B48" s="105">
        <v>1</v>
      </c>
      <c r="C48" s="105" t="str">
        <f>IF(TRUE = TRUE, "Yes", "No")</f>
        <v>Yes</v>
      </c>
      <c r="D48" s="105" t="s">
        <v>5202</v>
      </c>
      <c r="E48" s="105"/>
      <c r="F48" s="127" t="str">
        <f>IF(0 = 0, "3", "1")</f>
        <v>3</v>
      </c>
      <c r="G48" s="127" t="str">
        <f>IF(0 = 1, CHOOSE((3-1),  "2", "3"), "--")</f>
        <v>--</v>
      </c>
      <c r="H48" s="105" t="str">
        <f>IF(TRIM("BUS_CNODE_JCT__1359") = "", "BUS_CNODE_JCT__1359", "BUS_CNODE_JCT__1359")</f>
        <v>BUS_CNODE_JCT__1359</v>
      </c>
      <c r="I48" s="105" t="str">
        <f>IF(TRIM("BUS_CNODE_JCT__1360") = "", "BUS_CNODE_JCT__1360", "BUS_CNODE_JCT__1360")</f>
        <v>BUS_CNODE_JCT__1360</v>
      </c>
      <c r="J48" s="242"/>
      <c r="K48" s="105">
        <v>60</v>
      </c>
      <c r="L48" s="260"/>
      <c r="M48" s="260"/>
      <c r="N48" s="260"/>
      <c r="O48" s="260"/>
      <c r="P48" s="242"/>
      <c r="Q48" s="242"/>
      <c r="R48" s="242"/>
      <c r="S48" s="261" t="s">
        <v>5771</v>
      </c>
      <c r="T48" s="260"/>
      <c r="U48" s="260"/>
      <c r="V48" s="260"/>
      <c r="W48" s="260"/>
      <c r="X48" s="260">
        <f>ROUND(223, 7)</f>
        <v>223</v>
      </c>
      <c r="Y48" s="127">
        <v>0</v>
      </c>
      <c r="Z48" s="127">
        <f>ROUND(0,2)</f>
        <v>0</v>
      </c>
      <c r="AA48" s="127">
        <f>ROUND(75, 1)</f>
        <v>75</v>
      </c>
      <c r="AB48" s="127">
        <f>ROUND(75, 1)</f>
        <v>75</v>
      </c>
      <c r="AC48" s="127">
        <f>ROUND(0.0979999974, 3)</f>
        <v>9.8000000000000004E-2</v>
      </c>
      <c r="AD48" s="127">
        <f>ROUND(0.0952000022, 3)</f>
        <v>9.5000000000000001E-2</v>
      </c>
      <c r="AE48" s="127">
        <f>ROUND(0, 5)</f>
        <v>0</v>
      </c>
      <c r="AF48" s="127">
        <f>IF(0 = 0,ROUND(0.155819997, 3),"--")</f>
        <v>0.156</v>
      </c>
      <c r="AG48" s="262">
        <f>IF(0 = 0,ROUND(0.241807997, 3),"--")</f>
        <v>0.24199999999999999</v>
      </c>
      <c r="AH48" s="127">
        <f>IF(0 = 0,ROUND(0, 5),"--")</f>
        <v>0</v>
      </c>
      <c r="AI48" s="105" t="str">
        <f>IF(0 = 0, "Ohms per", "Ohms")</f>
        <v>Ohms per</v>
      </c>
      <c r="AJ48" s="105">
        <f>IF(0 = 0,1000,"--")</f>
        <v>1000</v>
      </c>
      <c r="AK48" s="105" t="str">
        <f>IF(0 = 0,CHOOSE((0 + 1), "ft", "mile", "m", "km"),"--")</f>
        <v>ft</v>
      </c>
      <c r="AL48" s="60"/>
      <c r="AM48" s="53" t="s">
        <v>5846</v>
      </c>
    </row>
    <row r="49" spans="1:39">
      <c r="A49" s="105" t="s">
        <v>5847</v>
      </c>
      <c r="B49" s="105">
        <v>1</v>
      </c>
      <c r="C49" s="105" t="str">
        <f>IF(TRUE = TRUE, "Yes", "No")</f>
        <v>Yes</v>
      </c>
      <c r="D49" s="105" t="s">
        <v>5202</v>
      </c>
      <c r="E49" s="105"/>
      <c r="F49" s="127" t="str">
        <f>IF(0 = 0, "3", "1")</f>
        <v>3</v>
      </c>
      <c r="G49" s="127" t="str">
        <f>IF(0 = 1, CHOOSE((3-1),  "2", "3"), "--")</f>
        <v>--</v>
      </c>
      <c r="H49" s="105" t="str">
        <f>IF(TRIM("BUS_CNODE_JCT__1332") = "", "BUS_CNODE_JCT__1332", "BUS_CNODE_JCT__1332")</f>
        <v>BUS_CNODE_JCT__1332</v>
      </c>
      <c r="I49" s="105" t="str">
        <f>IF(TRIM("BUS_CNODE_JCT__1333") = "", "BUS_CNODE_JCT__1333", "BUS_CNODE_JCT__1333")</f>
        <v>BUS_CNODE_JCT__1333</v>
      </c>
      <c r="J49" s="242"/>
      <c r="K49" s="105">
        <v>60</v>
      </c>
      <c r="L49" s="260"/>
      <c r="M49" s="260"/>
      <c r="N49" s="260"/>
      <c r="O49" s="260"/>
      <c r="P49" s="242"/>
      <c r="Q49" s="242"/>
      <c r="R49" s="242"/>
      <c r="S49" s="261" t="s">
        <v>5771</v>
      </c>
      <c r="T49" s="260"/>
      <c r="U49" s="260"/>
      <c r="V49" s="260"/>
      <c r="W49" s="260"/>
      <c r="X49" s="260">
        <f>ROUND(173, 7)</f>
        <v>173</v>
      </c>
      <c r="Y49" s="127">
        <v>0</v>
      </c>
      <c r="Z49" s="127">
        <f>ROUND(0,2)</f>
        <v>0</v>
      </c>
      <c r="AA49" s="127">
        <f>ROUND(75, 1)</f>
        <v>75</v>
      </c>
      <c r="AB49" s="127">
        <f>ROUND(75, 1)</f>
        <v>75</v>
      </c>
      <c r="AC49" s="127">
        <f>ROUND(0.064000003, 3)</f>
        <v>6.4000000000000001E-2</v>
      </c>
      <c r="AD49" s="127">
        <f>ROUND(0.0892999992, 3)</f>
        <v>8.8999999999999996E-2</v>
      </c>
      <c r="AE49" s="127">
        <f>ROUND(0, 5)</f>
        <v>0</v>
      </c>
      <c r="AF49" s="127">
        <f>IF(0 = 0,ROUND(0.10176, 3),"--")</f>
        <v>0.10199999999999999</v>
      </c>
      <c r="AG49" s="262">
        <f>IF(0 = 0,ROUND(0.226822004, 3),"--")</f>
        <v>0.22700000000000001</v>
      </c>
      <c r="AH49" s="127">
        <f>IF(0 = 0,ROUND(0, 5),"--")</f>
        <v>0</v>
      </c>
      <c r="AI49" s="105" t="str">
        <f>IF(0 = 0, "Ohms per", "Ohms")</f>
        <v>Ohms per</v>
      </c>
      <c r="AJ49" s="105">
        <f>IF(0 = 0,1000,"--")</f>
        <v>1000</v>
      </c>
      <c r="AK49" s="105" t="str">
        <f>IF(0 = 0,CHOOSE((0 + 1), "ft", "mile", "m", "km"),"--")</f>
        <v>ft</v>
      </c>
      <c r="AL49" s="60"/>
      <c r="AM49" s="53" t="s">
        <v>5848</v>
      </c>
    </row>
    <row r="50" spans="1:39">
      <c r="A50" s="105" t="s">
        <v>5849</v>
      </c>
      <c r="B50" s="105">
        <v>1</v>
      </c>
      <c r="C50" s="105" t="str">
        <f>IF(TRUE = TRUE, "Yes", "No")</f>
        <v>Yes</v>
      </c>
      <c r="D50" s="105" t="s">
        <v>5202</v>
      </c>
      <c r="E50" s="105"/>
      <c r="F50" s="127" t="str">
        <f>IF(0 = 0, "3", "1")</f>
        <v>3</v>
      </c>
      <c r="G50" s="127" t="str">
        <f>IF(0 = 1, CHOOSE((3-1),  "2", "3"), "--")</f>
        <v>--</v>
      </c>
      <c r="H50" s="105" t="str">
        <f>IF(TRIM("BUS_CNODE_JCT__1333") = "", "BUS_CNODE_JCT__1333", "BUS_CNODE_JCT__1333")</f>
        <v>BUS_CNODE_JCT__1333</v>
      </c>
      <c r="I50" s="105" t="str">
        <f>IF(TRIM("BUS_CNODE_JCT__1372") = "", "BUS_CNODE_JCT__1372", "BUS_CNODE_JCT__1372")</f>
        <v>BUS_CNODE_JCT__1372</v>
      </c>
      <c r="J50" s="242"/>
      <c r="K50" s="105">
        <v>60</v>
      </c>
      <c r="L50" s="260"/>
      <c r="M50" s="260"/>
      <c r="N50" s="260"/>
      <c r="O50" s="260"/>
      <c r="P50" s="242"/>
      <c r="Q50" s="242"/>
      <c r="R50" s="242"/>
      <c r="S50" s="261" t="s">
        <v>5771</v>
      </c>
      <c r="T50" s="260"/>
      <c r="U50" s="260"/>
      <c r="V50" s="260"/>
      <c r="W50" s="260"/>
      <c r="X50" s="260">
        <f>ROUND(270, 7)</f>
        <v>270</v>
      </c>
      <c r="Y50" s="127">
        <v>0</v>
      </c>
      <c r="Z50" s="127">
        <f>ROUND(0,2)</f>
        <v>0</v>
      </c>
      <c r="AA50" s="127">
        <f>ROUND(75, 1)</f>
        <v>75</v>
      </c>
      <c r="AB50" s="127">
        <f>ROUND(75, 1)</f>
        <v>75</v>
      </c>
      <c r="AC50" s="127">
        <f>ROUND(0.064000003, 3)</f>
        <v>6.4000000000000001E-2</v>
      </c>
      <c r="AD50" s="127">
        <f>ROUND(0.0892999992, 3)</f>
        <v>8.8999999999999996E-2</v>
      </c>
      <c r="AE50" s="127">
        <f>ROUND(0, 5)</f>
        <v>0</v>
      </c>
      <c r="AF50" s="127">
        <f>IF(0 = 0,ROUND(0.10176, 3),"--")</f>
        <v>0.10199999999999999</v>
      </c>
      <c r="AG50" s="262">
        <f>IF(0 = 0,ROUND(0.226822004, 3),"--")</f>
        <v>0.22700000000000001</v>
      </c>
      <c r="AH50" s="127">
        <f>IF(0 = 0,ROUND(0, 5),"--")</f>
        <v>0</v>
      </c>
      <c r="AI50" s="105" t="str">
        <f>IF(0 = 0, "Ohms per", "Ohms")</f>
        <v>Ohms per</v>
      </c>
      <c r="AJ50" s="105">
        <f>IF(0 = 0,1000,"--")</f>
        <v>1000</v>
      </c>
      <c r="AK50" s="105" t="str">
        <f>IF(0 = 0,CHOOSE((0 + 1), "ft", "mile", "m", "km"),"--")</f>
        <v>ft</v>
      </c>
      <c r="AL50" s="60"/>
      <c r="AM50" s="53" t="s">
        <v>5850</v>
      </c>
    </row>
    <row r="51" spans="1:39">
      <c r="A51" s="105" t="s">
        <v>5851</v>
      </c>
      <c r="B51" s="105">
        <v>1</v>
      </c>
      <c r="C51" s="105" t="str">
        <f>IF(TRUE = TRUE, "Yes", "No")</f>
        <v>Yes</v>
      </c>
      <c r="D51" s="105" t="s">
        <v>5202</v>
      </c>
      <c r="E51" s="105"/>
      <c r="F51" s="127" t="str">
        <f>IF(0 = 0, "3", "1")</f>
        <v>3</v>
      </c>
      <c r="G51" s="127" t="str">
        <f>IF(0 = 1, CHOOSE((3-1),  "2", "3"), "--")</f>
        <v>--</v>
      </c>
      <c r="H51" s="105" t="str">
        <f>IF(TRIM("BUS_CNODE_JCT__1284") = "", "BUS_CNODE_JCT__1284", "BUS_CNODE_JCT__1284")</f>
        <v>BUS_CNODE_JCT__1284</v>
      </c>
      <c r="I51" s="105" t="str">
        <f>IF(TRIM("BUS_CNODE_JCT__1282") = "", "BUS_CNODE_JCT__1282", "BUS_CNODE_JCT__1282")</f>
        <v>BUS_CNODE_JCT__1282</v>
      </c>
      <c r="J51" s="242"/>
      <c r="K51" s="105">
        <v>60</v>
      </c>
      <c r="L51" s="260"/>
      <c r="M51" s="260"/>
      <c r="N51" s="260"/>
      <c r="O51" s="260"/>
      <c r="P51" s="242"/>
      <c r="Q51" s="242"/>
      <c r="R51" s="242"/>
      <c r="S51" s="261" t="s">
        <v>5771</v>
      </c>
      <c r="T51" s="260"/>
      <c r="U51" s="260"/>
      <c r="V51" s="260"/>
      <c r="W51" s="260"/>
      <c r="X51" s="260">
        <f>ROUND(204, 7)</f>
        <v>204</v>
      </c>
      <c r="Y51" s="127">
        <v>0</v>
      </c>
      <c r="Z51" s="127">
        <f>ROUND(0,2)</f>
        <v>0</v>
      </c>
      <c r="AA51" s="127">
        <f>ROUND(75, 1)</f>
        <v>75</v>
      </c>
      <c r="AB51" s="127">
        <f>ROUND(75, 1)</f>
        <v>75</v>
      </c>
      <c r="AC51" s="127">
        <f>ROUND(0.064000003, 3)</f>
        <v>6.4000000000000001E-2</v>
      </c>
      <c r="AD51" s="127">
        <f>ROUND(0.0892999992, 3)</f>
        <v>8.8999999999999996E-2</v>
      </c>
      <c r="AE51" s="127">
        <f>ROUND(0, 5)</f>
        <v>0</v>
      </c>
      <c r="AF51" s="127">
        <f>IF(0 = 0,ROUND(0.10176, 3),"--")</f>
        <v>0.10199999999999999</v>
      </c>
      <c r="AG51" s="262">
        <f>IF(0 = 0,ROUND(0.226822004, 3),"--")</f>
        <v>0.22700000000000001</v>
      </c>
      <c r="AH51" s="127">
        <f>IF(0 = 0,ROUND(0, 5),"--")</f>
        <v>0</v>
      </c>
      <c r="AI51" s="105" t="str">
        <f>IF(0 = 0, "Ohms per", "Ohms")</f>
        <v>Ohms per</v>
      </c>
      <c r="AJ51" s="105">
        <f>IF(0 = 0,1000,"--")</f>
        <v>1000</v>
      </c>
      <c r="AK51" s="105" t="str">
        <f>IF(0 = 0,CHOOSE((0 + 1), "ft", "mile", "m", "km"),"--")</f>
        <v>ft</v>
      </c>
      <c r="AL51" s="60"/>
      <c r="AM51" s="53" t="s">
        <v>5852</v>
      </c>
    </row>
    <row r="52" spans="1:39">
      <c r="A52" s="105" t="s">
        <v>5853</v>
      </c>
      <c r="B52" s="105">
        <v>1</v>
      </c>
      <c r="C52" s="105" t="str">
        <f>IF(TRUE = TRUE, "Yes", "No")</f>
        <v>Yes</v>
      </c>
      <c r="D52" s="105" t="s">
        <v>5202</v>
      </c>
      <c r="E52" s="105"/>
      <c r="F52" s="127" t="str">
        <f>IF(0 = 0, "3", "1")</f>
        <v>3</v>
      </c>
      <c r="G52" s="127" t="str">
        <f>IF(0 = 1, CHOOSE((3-1),  "2", "3"), "--")</f>
        <v>--</v>
      </c>
      <c r="H52" s="105" t="str">
        <f>IF(TRIM("BUS_CNODE_JCT__1305") = "", "BUS_CNODE_JCT__1305", "BUS_CNODE_JCT__1305")</f>
        <v>BUS_CNODE_JCT__1305</v>
      </c>
      <c r="I52" s="105" t="str">
        <f>IF(TRIM("BUS_CNODE_JCT__1306") = "", "BUS_CNODE_JCT__1306", "BUS_CNODE_JCT__1306")</f>
        <v>BUS_CNODE_JCT__1306</v>
      </c>
      <c r="J52" s="242"/>
      <c r="K52" s="105">
        <v>60</v>
      </c>
      <c r="L52" s="260"/>
      <c r="M52" s="260"/>
      <c r="N52" s="260"/>
      <c r="O52" s="260"/>
      <c r="P52" s="242"/>
      <c r="Q52" s="242"/>
      <c r="R52" s="242"/>
      <c r="S52" s="261" t="s">
        <v>5771</v>
      </c>
      <c r="T52" s="260"/>
      <c r="U52" s="260"/>
      <c r="V52" s="260"/>
      <c r="W52" s="260"/>
      <c r="X52" s="260">
        <f>ROUND(257, 7)</f>
        <v>257</v>
      </c>
      <c r="Y52" s="127">
        <v>0</v>
      </c>
      <c r="Z52" s="127">
        <f>ROUND(0,2)</f>
        <v>0</v>
      </c>
      <c r="AA52" s="127">
        <f>ROUND(75, 1)</f>
        <v>75</v>
      </c>
      <c r="AB52" s="127">
        <f>ROUND(75, 1)</f>
        <v>75</v>
      </c>
      <c r="AC52" s="127">
        <f>ROUND(0.342999995, 3)</f>
        <v>0.34300000000000003</v>
      </c>
      <c r="AD52" s="127">
        <f>ROUND(0.115000002, 3)</f>
        <v>0.115</v>
      </c>
      <c r="AE52" s="127">
        <f>ROUND(0, 5)</f>
        <v>0</v>
      </c>
      <c r="AF52" s="127">
        <f>IF(0 = 0,ROUND(0.545369983, 3),"--")</f>
        <v>0.54500000000000004</v>
      </c>
      <c r="AG52" s="262">
        <f>IF(0 = 0,ROUND(0.292100012, 3),"--")</f>
        <v>0.29199999999999998</v>
      </c>
      <c r="AH52" s="127">
        <f>IF(0 = 0,ROUND(0, 5),"--")</f>
        <v>0</v>
      </c>
      <c r="AI52" s="105" t="str">
        <f>IF(0 = 0, "Ohms per", "Ohms")</f>
        <v>Ohms per</v>
      </c>
      <c r="AJ52" s="105">
        <f>IF(0 = 0,1000,"--")</f>
        <v>1000</v>
      </c>
      <c r="AK52" s="105" t="str">
        <f>IF(0 = 0,CHOOSE((0 + 1), "ft", "mile", "m", "km"),"--")</f>
        <v>ft</v>
      </c>
      <c r="AL52" s="60"/>
      <c r="AM52" s="53" t="s">
        <v>5854</v>
      </c>
    </row>
    <row r="53" spans="1:39">
      <c r="A53" s="105" t="s">
        <v>5855</v>
      </c>
      <c r="B53" s="105">
        <v>1</v>
      </c>
      <c r="C53" s="105" t="str">
        <f>IF(TRUE = TRUE, "Yes", "No")</f>
        <v>Yes</v>
      </c>
      <c r="D53" s="105" t="s">
        <v>5202</v>
      </c>
      <c r="E53" s="105"/>
      <c r="F53" s="127" t="str">
        <f>IF(0 = 0, "3", "1")</f>
        <v>3</v>
      </c>
      <c r="G53" s="127" t="str">
        <f>IF(0 = 1, CHOOSE((3-1),  "2", "3"), "--")</f>
        <v>--</v>
      </c>
      <c r="H53" s="105" t="str">
        <f>IF(TRIM("BUS_CNODE_JCT__1322") = "", "BUS_CNODE_JCT__1322", "BUS_CNODE_JCT__1322")</f>
        <v>BUS_CNODE_JCT__1322</v>
      </c>
      <c r="I53" s="105" t="str">
        <f>IF(TRIM("BUS_CNODE_JCT__1323") = "", "BUS_CNODE_JCT__1323", "BUS_CNODE_JCT__1323")</f>
        <v>BUS_CNODE_JCT__1323</v>
      </c>
      <c r="J53" s="242"/>
      <c r="K53" s="105">
        <v>60</v>
      </c>
      <c r="L53" s="260"/>
      <c r="M53" s="260"/>
      <c r="N53" s="260"/>
      <c r="O53" s="260"/>
      <c r="P53" s="242"/>
      <c r="Q53" s="242"/>
      <c r="R53" s="242"/>
      <c r="S53" s="261" t="s">
        <v>5771</v>
      </c>
      <c r="T53" s="260"/>
      <c r="U53" s="260"/>
      <c r="V53" s="260"/>
      <c r="W53" s="260"/>
      <c r="X53" s="260">
        <f>ROUND(241, 7)</f>
        <v>241</v>
      </c>
      <c r="Y53" s="127">
        <v>0</v>
      </c>
      <c r="Z53" s="127">
        <f>ROUND(0,2)</f>
        <v>0</v>
      </c>
      <c r="AA53" s="127">
        <f>ROUND(75, 1)</f>
        <v>75</v>
      </c>
      <c r="AB53" s="127">
        <f>ROUND(75, 1)</f>
        <v>75</v>
      </c>
      <c r="AC53" s="127">
        <f>ROUND(0.195999995, 3)</f>
        <v>0.19600000000000001</v>
      </c>
      <c r="AD53" s="127">
        <f>ROUND(0.104999997, 3)</f>
        <v>0.105</v>
      </c>
      <c r="AE53" s="127">
        <f>ROUND(0, 5)</f>
        <v>0</v>
      </c>
      <c r="AF53" s="127">
        <f>IF(0 = 0,ROUND(0.311639994, 3),"--")</f>
        <v>0.312</v>
      </c>
      <c r="AG53" s="262">
        <f>IF(0 = 0,ROUND(0.2667, 3),"--")</f>
        <v>0.26700000000000002</v>
      </c>
      <c r="AH53" s="127">
        <f>IF(0 = 0,ROUND(0, 5),"--")</f>
        <v>0</v>
      </c>
      <c r="AI53" s="105" t="str">
        <f>IF(0 = 0, "Ohms per", "Ohms")</f>
        <v>Ohms per</v>
      </c>
      <c r="AJ53" s="105">
        <f>IF(0 = 0,1000,"--")</f>
        <v>1000</v>
      </c>
      <c r="AK53" s="105" t="str">
        <f>IF(0 = 0,CHOOSE((0 + 1), "ft", "mile", "m", "km"),"--")</f>
        <v>ft</v>
      </c>
      <c r="AL53" s="60"/>
      <c r="AM53" s="53" t="s">
        <v>5856</v>
      </c>
    </row>
    <row r="54" spans="1:39">
      <c r="A54" s="105" t="s">
        <v>5857</v>
      </c>
      <c r="B54" s="105">
        <v>1</v>
      </c>
      <c r="C54" s="105" t="str">
        <f>IF(TRUE = TRUE, "Yes", "No")</f>
        <v>Yes</v>
      </c>
      <c r="D54" s="105" t="s">
        <v>5202</v>
      </c>
      <c r="E54" s="105"/>
      <c r="F54" s="127" t="str">
        <f>IF(0 = 0, "3", "1")</f>
        <v>3</v>
      </c>
      <c r="G54" s="127" t="str">
        <f>IF(0 = 1, CHOOSE((3-1),  "2", "3"), "--")</f>
        <v>--</v>
      </c>
      <c r="H54" s="105" t="str">
        <f>IF(TRIM("BUS_CNODE_JCT__1355") = "", "BUS_CNODE_JCT__1355", "BUS_CNODE_JCT__1355")</f>
        <v>BUS_CNODE_JCT__1355</v>
      </c>
      <c r="I54" s="105" t="str">
        <f>IF(TRIM("BUS_CNODE_JCT__1356") = "", "BUS_CNODE_JCT__1356", "BUS_CNODE_JCT__1356")</f>
        <v>BUS_CNODE_JCT__1356</v>
      </c>
      <c r="J54" s="242"/>
      <c r="K54" s="105">
        <v>60</v>
      </c>
      <c r="L54" s="260"/>
      <c r="M54" s="260"/>
      <c r="N54" s="260"/>
      <c r="O54" s="260"/>
      <c r="P54" s="242"/>
      <c r="Q54" s="242"/>
      <c r="R54" s="242"/>
      <c r="S54" s="261" t="s">
        <v>5771</v>
      </c>
      <c r="T54" s="260"/>
      <c r="U54" s="260"/>
      <c r="V54" s="260"/>
      <c r="W54" s="260"/>
      <c r="X54" s="260">
        <f>ROUND(205, 7)</f>
        <v>205</v>
      </c>
      <c r="Y54" s="127">
        <v>0</v>
      </c>
      <c r="Z54" s="127">
        <f>ROUND(0,2)</f>
        <v>0</v>
      </c>
      <c r="AA54" s="127">
        <f>ROUND(75, 1)</f>
        <v>75</v>
      </c>
      <c r="AB54" s="127">
        <f>ROUND(75, 1)</f>
        <v>75</v>
      </c>
      <c r="AC54" s="127">
        <f>ROUND(0.342999995, 3)</f>
        <v>0.34300000000000003</v>
      </c>
      <c r="AD54" s="127">
        <f>ROUND(0.115000002, 3)</f>
        <v>0.115</v>
      </c>
      <c r="AE54" s="127">
        <f>ROUND(0, 5)</f>
        <v>0</v>
      </c>
      <c r="AF54" s="127">
        <f>IF(0 = 0,ROUND(0.545369983, 3),"--")</f>
        <v>0.54500000000000004</v>
      </c>
      <c r="AG54" s="262">
        <f>IF(0 = 0,ROUND(0.292100012, 3),"--")</f>
        <v>0.29199999999999998</v>
      </c>
      <c r="AH54" s="127">
        <f>IF(0 = 0,ROUND(0, 5),"--")</f>
        <v>0</v>
      </c>
      <c r="AI54" s="105" t="str">
        <f>IF(0 = 0, "Ohms per", "Ohms")</f>
        <v>Ohms per</v>
      </c>
      <c r="AJ54" s="105">
        <f>IF(0 = 0,1000,"--")</f>
        <v>1000</v>
      </c>
      <c r="AK54" s="105" t="str">
        <f>IF(0 = 0,CHOOSE((0 + 1), "ft", "mile", "m", "km"),"--")</f>
        <v>ft</v>
      </c>
      <c r="AL54" s="60"/>
      <c r="AM54" s="53" t="s">
        <v>5858</v>
      </c>
    </row>
    <row r="55" spans="1:39">
      <c r="A55" s="105" t="s">
        <v>5859</v>
      </c>
      <c r="B55" s="105">
        <v>1</v>
      </c>
      <c r="C55" s="105" t="str">
        <f>IF(TRUE = TRUE, "Yes", "No")</f>
        <v>Yes</v>
      </c>
      <c r="D55" s="105" t="s">
        <v>5202</v>
      </c>
      <c r="E55" s="105"/>
      <c r="F55" s="127" t="str">
        <f>IF(0 = 0, "3", "1")</f>
        <v>3</v>
      </c>
      <c r="G55" s="127" t="str">
        <f>IF(0 = 1, CHOOSE((3-1),  "2", "3"), "--")</f>
        <v>--</v>
      </c>
      <c r="H55" s="105" t="str">
        <f>IF(TRIM("BUS_CNODE_JCT__1423") = "", "BUS_CNODE_JCT__1423", "BUS_CNODE_JCT__1423")</f>
        <v>BUS_CNODE_JCT__1423</v>
      </c>
      <c r="I55" s="105" t="str">
        <f>IF(TRIM("BUS_CNODE_JCT__1464") = "", "BUS_CNODE_JCT__1464", "BUS_CNODE_JCT__1464")</f>
        <v>BUS_CNODE_JCT__1464</v>
      </c>
      <c r="J55" s="242"/>
      <c r="K55" s="105">
        <v>60</v>
      </c>
      <c r="L55" s="260"/>
      <c r="M55" s="260"/>
      <c r="N55" s="260"/>
      <c r="O55" s="260"/>
      <c r="P55" s="242"/>
      <c r="Q55" s="242"/>
      <c r="R55" s="242"/>
      <c r="S55" s="261" t="s">
        <v>5771</v>
      </c>
      <c r="T55" s="260"/>
      <c r="U55" s="260"/>
      <c r="V55" s="260"/>
      <c r="W55" s="260"/>
      <c r="X55" s="260">
        <f>ROUND(307, 7)</f>
        <v>307</v>
      </c>
      <c r="Y55" s="127">
        <v>0</v>
      </c>
      <c r="Z55" s="127">
        <f>ROUND(0,2)</f>
        <v>0</v>
      </c>
      <c r="AA55" s="127">
        <f>ROUND(75, 1)</f>
        <v>75</v>
      </c>
      <c r="AB55" s="127">
        <f>ROUND(75, 1)</f>
        <v>75</v>
      </c>
      <c r="AC55" s="127">
        <f>ROUND(0.247999996, 3)</f>
        <v>0.248</v>
      </c>
      <c r="AD55" s="127">
        <f>ROUND(0.108999997, 3)</f>
        <v>0.109</v>
      </c>
      <c r="AE55" s="127">
        <f>ROUND(0, 5)</f>
        <v>0</v>
      </c>
      <c r="AF55" s="127">
        <f>IF(0 = 0,ROUND(0.394320011, 3),"--")</f>
        <v>0.39400000000000002</v>
      </c>
      <c r="AG55" s="262">
        <f>IF(0 = 0,ROUND(0.276859999, 3),"--")</f>
        <v>0.27700000000000002</v>
      </c>
      <c r="AH55" s="127">
        <f>IF(0 = 0,ROUND(0, 5),"--")</f>
        <v>0</v>
      </c>
      <c r="AI55" s="105" t="str">
        <f>IF(0 = 0, "Ohms per", "Ohms")</f>
        <v>Ohms per</v>
      </c>
      <c r="AJ55" s="105">
        <f>IF(0 = 0,1000,"--")</f>
        <v>1000</v>
      </c>
      <c r="AK55" s="105" t="str">
        <f>IF(0 = 0,CHOOSE((0 + 1), "ft", "mile", "m", "km"),"--")</f>
        <v>ft</v>
      </c>
      <c r="AL55" s="60"/>
      <c r="AM55" s="53" t="s">
        <v>5860</v>
      </c>
    </row>
    <row r="56" spans="1:39">
      <c r="A56" s="105" t="s">
        <v>5861</v>
      </c>
      <c r="B56" s="105">
        <v>1</v>
      </c>
      <c r="C56" s="105" t="str">
        <f>IF(TRUE = TRUE, "Yes", "No")</f>
        <v>Yes</v>
      </c>
      <c r="D56" s="105" t="s">
        <v>5202</v>
      </c>
      <c r="E56" s="105"/>
      <c r="F56" s="127" t="str">
        <f>IF(0 = 0, "3", "1")</f>
        <v>3</v>
      </c>
      <c r="G56" s="127" t="str">
        <f>IF(0 = 1, CHOOSE((3-1),  "2", "3"), "--")</f>
        <v>--</v>
      </c>
      <c r="H56" s="105" t="str">
        <f>IF(TRIM("BUS_CNODE_JCT__1368") = "", "BUS_CNODE_JCT__1368", "BUS_CNODE_JCT__1368")</f>
        <v>BUS_CNODE_JCT__1368</v>
      </c>
      <c r="I56" s="105" t="str">
        <f>IF(TRIM("BUS_CNODE_JCT__1369") = "", "BUS_CNODE_JCT__1369", "BUS_CNODE_JCT__1369")</f>
        <v>BUS_CNODE_JCT__1369</v>
      </c>
      <c r="J56" s="242"/>
      <c r="K56" s="105">
        <v>60</v>
      </c>
      <c r="L56" s="260"/>
      <c r="M56" s="260"/>
      <c r="N56" s="260"/>
      <c r="O56" s="260"/>
      <c r="P56" s="242"/>
      <c r="Q56" s="242"/>
      <c r="R56" s="242"/>
      <c r="S56" s="261" t="s">
        <v>5771</v>
      </c>
      <c r="T56" s="260"/>
      <c r="U56" s="260"/>
      <c r="V56" s="260"/>
      <c r="W56" s="260"/>
      <c r="X56" s="260">
        <f>ROUND(25, 7)</f>
        <v>25</v>
      </c>
      <c r="Y56" s="127">
        <v>0</v>
      </c>
      <c r="Z56" s="127">
        <f>ROUND(0,2)</f>
        <v>0</v>
      </c>
      <c r="AA56" s="127">
        <f>ROUND(75, 1)</f>
        <v>75</v>
      </c>
      <c r="AB56" s="127">
        <f>ROUND(75, 1)</f>
        <v>75</v>
      </c>
      <c r="AC56" s="127">
        <f>ROUND(0.064000003, 3)</f>
        <v>6.4000000000000001E-2</v>
      </c>
      <c r="AD56" s="127">
        <f>ROUND(0.0892999992, 3)</f>
        <v>8.8999999999999996E-2</v>
      </c>
      <c r="AE56" s="127">
        <f>ROUND(0, 5)</f>
        <v>0</v>
      </c>
      <c r="AF56" s="127">
        <f>IF(0 = 0,ROUND(0.10176, 3),"--")</f>
        <v>0.10199999999999999</v>
      </c>
      <c r="AG56" s="262">
        <f>IF(0 = 0,ROUND(0.226822004, 3),"--")</f>
        <v>0.22700000000000001</v>
      </c>
      <c r="AH56" s="127">
        <f>IF(0 = 0,ROUND(0, 5),"--")</f>
        <v>0</v>
      </c>
      <c r="AI56" s="105" t="str">
        <f>IF(0 = 0, "Ohms per", "Ohms")</f>
        <v>Ohms per</v>
      </c>
      <c r="AJ56" s="105">
        <f>IF(0 = 0,1000,"--")</f>
        <v>1000</v>
      </c>
      <c r="AK56" s="105" t="str">
        <f>IF(0 = 0,CHOOSE((0 + 1), "ft", "mile", "m", "km"),"--")</f>
        <v>ft</v>
      </c>
      <c r="AL56" s="60"/>
      <c r="AM56" s="53" t="s">
        <v>5862</v>
      </c>
    </row>
    <row r="57" spans="1:39">
      <c r="A57" s="105" t="s">
        <v>5863</v>
      </c>
      <c r="B57" s="105">
        <v>1</v>
      </c>
      <c r="C57" s="105" t="str">
        <f>IF(TRUE = TRUE, "Yes", "No")</f>
        <v>Yes</v>
      </c>
      <c r="D57" s="105" t="s">
        <v>5202</v>
      </c>
      <c r="E57" s="105"/>
      <c r="F57" s="127" t="str">
        <f>IF(0 = 0, "3", "1")</f>
        <v>3</v>
      </c>
      <c r="G57" s="127" t="str">
        <f>IF(0 = 1, CHOOSE((3-1),  "2", "3"), "--")</f>
        <v>--</v>
      </c>
      <c r="H57" s="105" t="str">
        <f>IF(TRIM("BUS_CNODE_JCT__1278") = "", "BUS_CNODE_JCT__1278", "BUS_CNODE_JCT__1278")</f>
        <v>BUS_CNODE_JCT__1278</v>
      </c>
      <c r="I57" s="105" t="str">
        <f>IF(TRIM("BUS_CNODE_JCT__1279") = "", "BUS_CNODE_JCT__1279", "BUS_CNODE_JCT__1279")</f>
        <v>BUS_CNODE_JCT__1279</v>
      </c>
      <c r="J57" s="242"/>
      <c r="K57" s="105">
        <v>60</v>
      </c>
      <c r="L57" s="260"/>
      <c r="M57" s="260"/>
      <c r="N57" s="260"/>
      <c r="O57" s="260"/>
      <c r="P57" s="242"/>
      <c r="Q57" s="242"/>
      <c r="R57" s="242"/>
      <c r="S57" s="261" t="s">
        <v>5771</v>
      </c>
      <c r="T57" s="260"/>
      <c r="U57" s="260"/>
      <c r="V57" s="260"/>
      <c r="W57" s="260"/>
      <c r="X57" s="260">
        <f>ROUND(58, 7)</f>
        <v>58</v>
      </c>
      <c r="Y57" s="127">
        <v>0</v>
      </c>
      <c r="Z57" s="127">
        <f>ROUND(0,2)</f>
        <v>0</v>
      </c>
      <c r="AA57" s="127">
        <f>ROUND(75, 1)</f>
        <v>75</v>
      </c>
      <c r="AB57" s="127">
        <f>ROUND(75, 1)</f>
        <v>75</v>
      </c>
      <c r="AC57" s="127">
        <f>ROUND(0.342999995, 3)</f>
        <v>0.34300000000000003</v>
      </c>
      <c r="AD57" s="127">
        <f>ROUND(0.115000002, 3)</f>
        <v>0.115</v>
      </c>
      <c r="AE57" s="127">
        <f>ROUND(0, 5)</f>
        <v>0</v>
      </c>
      <c r="AF57" s="127">
        <f>IF(0 = 0,ROUND(0.545369983, 3),"--")</f>
        <v>0.54500000000000004</v>
      </c>
      <c r="AG57" s="262">
        <f>IF(0 = 0,ROUND(0.292100012, 3),"--")</f>
        <v>0.29199999999999998</v>
      </c>
      <c r="AH57" s="127">
        <f>IF(0 = 0,ROUND(0, 5),"--")</f>
        <v>0</v>
      </c>
      <c r="AI57" s="105" t="str">
        <f>IF(0 = 0, "Ohms per", "Ohms")</f>
        <v>Ohms per</v>
      </c>
      <c r="AJ57" s="105">
        <f>IF(0 = 0,1000,"--")</f>
        <v>1000</v>
      </c>
      <c r="AK57" s="105" t="str">
        <f>IF(0 = 0,CHOOSE((0 + 1), "ft", "mile", "m", "km"),"--")</f>
        <v>ft</v>
      </c>
      <c r="AL57" s="60"/>
      <c r="AM57" s="53" t="s">
        <v>5864</v>
      </c>
    </row>
    <row r="58" spans="1:39">
      <c r="A58" s="105" t="s">
        <v>5865</v>
      </c>
      <c r="B58" s="105">
        <v>1</v>
      </c>
      <c r="C58" s="105" t="str">
        <f>IF(TRUE = TRUE, "Yes", "No")</f>
        <v>Yes</v>
      </c>
      <c r="D58" s="105" t="s">
        <v>5202</v>
      </c>
      <c r="E58" s="105"/>
      <c r="F58" s="127" t="str">
        <f>IF(0 = 0, "3", "1")</f>
        <v>3</v>
      </c>
      <c r="G58" s="127" t="str">
        <f>IF(0 = 1, CHOOSE((3-1),  "2", "3"), "--")</f>
        <v>--</v>
      </c>
      <c r="H58" s="105" t="str">
        <f>IF(TRIM("BUS_CNODE_JCT__1280") = "", "BUS_CNODE_JCT__1280", "BUS_CNODE_JCT__1280")</f>
        <v>BUS_CNODE_JCT__1280</v>
      </c>
      <c r="I58" s="105" t="str">
        <f>IF(TRIM("BUS_CNODE_JCT__1281") = "", "BUS_CNODE_JCT__1281", "BUS_CNODE_JCT__1281")</f>
        <v>BUS_CNODE_JCT__1281</v>
      </c>
      <c r="J58" s="242"/>
      <c r="K58" s="105">
        <v>60</v>
      </c>
      <c r="L58" s="260"/>
      <c r="M58" s="260"/>
      <c r="N58" s="260"/>
      <c r="O58" s="260"/>
      <c r="P58" s="242"/>
      <c r="Q58" s="242"/>
      <c r="R58" s="242"/>
      <c r="S58" s="261" t="s">
        <v>5771</v>
      </c>
      <c r="T58" s="260"/>
      <c r="U58" s="260"/>
      <c r="V58" s="260"/>
      <c r="W58" s="260"/>
      <c r="X58" s="260">
        <f>ROUND(53, 7)</f>
        <v>53</v>
      </c>
      <c r="Y58" s="127">
        <v>0</v>
      </c>
      <c r="Z58" s="127">
        <f>ROUND(0,2)</f>
        <v>0</v>
      </c>
      <c r="AA58" s="127">
        <f>ROUND(75, 1)</f>
        <v>75</v>
      </c>
      <c r="AB58" s="127">
        <f>ROUND(75, 1)</f>
        <v>75</v>
      </c>
      <c r="AC58" s="127">
        <f>ROUND(0.342999995, 3)</f>
        <v>0.34300000000000003</v>
      </c>
      <c r="AD58" s="127">
        <f>ROUND(0.115000002, 3)</f>
        <v>0.115</v>
      </c>
      <c r="AE58" s="127">
        <f>ROUND(0, 5)</f>
        <v>0</v>
      </c>
      <c r="AF58" s="127">
        <f>IF(0 = 0,ROUND(0.545369983, 3),"--")</f>
        <v>0.54500000000000004</v>
      </c>
      <c r="AG58" s="262">
        <f>IF(0 = 0,ROUND(0.292100012, 3),"--")</f>
        <v>0.29199999999999998</v>
      </c>
      <c r="AH58" s="127">
        <f>IF(0 = 0,ROUND(0, 5),"--")</f>
        <v>0</v>
      </c>
      <c r="AI58" s="105" t="str">
        <f>IF(0 = 0, "Ohms per", "Ohms")</f>
        <v>Ohms per</v>
      </c>
      <c r="AJ58" s="105">
        <f>IF(0 = 0,1000,"--")</f>
        <v>1000</v>
      </c>
      <c r="AK58" s="105" t="str">
        <f>IF(0 = 0,CHOOSE((0 + 1), "ft", "mile", "m", "km"),"--")</f>
        <v>ft</v>
      </c>
      <c r="AL58" s="60"/>
      <c r="AM58" s="53" t="s">
        <v>5866</v>
      </c>
    </row>
    <row r="59" spans="1:39">
      <c r="A59" s="105" t="s">
        <v>5867</v>
      </c>
      <c r="B59" s="105">
        <v>1</v>
      </c>
      <c r="C59" s="105" t="str">
        <f>IF(TRUE = TRUE, "Yes", "No")</f>
        <v>Yes</v>
      </c>
      <c r="D59" s="105" t="s">
        <v>5202</v>
      </c>
      <c r="E59" s="105"/>
      <c r="F59" s="127" t="str">
        <f>IF(0 = 0, "3", "1")</f>
        <v>3</v>
      </c>
      <c r="G59" s="127" t="str">
        <f>IF(0 = 1, CHOOSE((3-1),  "2", "3"), "--")</f>
        <v>--</v>
      </c>
      <c r="H59" s="105" t="str">
        <f>IF(TRIM("BUS_CNODE_JCT__1292") = "", "BUS_CNODE_JCT__1292", "BUS_CNODE_JCT__1292")</f>
        <v>BUS_CNODE_JCT__1292</v>
      </c>
      <c r="I59" s="105" t="str">
        <f>IF(TRIM("BUS_line1_224") = "", "BUS_line1_224", "BUS_line1_224")</f>
        <v>BUS_line1_224</v>
      </c>
      <c r="J59" s="242"/>
      <c r="K59" s="105">
        <v>60</v>
      </c>
      <c r="L59" s="260"/>
      <c r="M59" s="260"/>
      <c r="N59" s="260"/>
      <c r="O59" s="260"/>
      <c r="P59" s="242"/>
      <c r="Q59" s="242"/>
      <c r="R59" s="242"/>
      <c r="S59" s="261" t="s">
        <v>5771</v>
      </c>
      <c r="T59" s="260"/>
      <c r="U59" s="260"/>
      <c r="V59" s="260"/>
      <c r="W59" s="260"/>
      <c r="X59" s="260">
        <f>ROUND(7, 7)</f>
        <v>7</v>
      </c>
      <c r="Y59" s="127">
        <v>0</v>
      </c>
      <c r="Z59" s="127">
        <f>ROUND(0,2)</f>
        <v>0</v>
      </c>
      <c r="AA59" s="127">
        <f>ROUND(75, 1)</f>
        <v>75</v>
      </c>
      <c r="AB59" s="127">
        <f>ROUND(75, 1)</f>
        <v>75</v>
      </c>
      <c r="AC59" s="127">
        <f>ROUND(0.342999995, 3)</f>
        <v>0.34300000000000003</v>
      </c>
      <c r="AD59" s="127">
        <f>ROUND(0.115000002, 3)</f>
        <v>0.115</v>
      </c>
      <c r="AE59" s="127">
        <f>ROUND(0, 5)</f>
        <v>0</v>
      </c>
      <c r="AF59" s="127">
        <f>IF(0 = 0,ROUND(0.545369983, 3),"--")</f>
        <v>0.54500000000000004</v>
      </c>
      <c r="AG59" s="262">
        <f>IF(0 = 0,ROUND(0.292100012, 3),"--")</f>
        <v>0.29199999999999998</v>
      </c>
      <c r="AH59" s="127">
        <f>IF(0 = 0,ROUND(0, 5),"--")</f>
        <v>0</v>
      </c>
      <c r="AI59" s="105" t="str">
        <f>IF(0 = 0, "Ohms per", "Ohms")</f>
        <v>Ohms per</v>
      </c>
      <c r="AJ59" s="105">
        <f>IF(0 = 0,1000,"--")</f>
        <v>1000</v>
      </c>
      <c r="AK59" s="105" t="str">
        <f>IF(0 = 0,CHOOSE((0 + 1), "ft", "mile", "m", "km"),"--")</f>
        <v>ft</v>
      </c>
      <c r="AL59" s="60"/>
      <c r="AM59" s="53" t="s">
        <v>5868</v>
      </c>
    </row>
    <row r="60" spans="1:39">
      <c r="A60" s="105" t="s">
        <v>5869</v>
      </c>
      <c r="B60" s="105">
        <v>1</v>
      </c>
      <c r="C60" s="105" t="str">
        <f>IF(TRUE = TRUE, "Yes", "No")</f>
        <v>Yes</v>
      </c>
      <c r="D60" s="105" t="s">
        <v>5202</v>
      </c>
      <c r="E60" s="105"/>
      <c r="F60" s="127" t="str">
        <f>IF(0 = 0, "3", "1")</f>
        <v>3</v>
      </c>
      <c r="G60" s="127" t="str">
        <f>IF(0 = 1, CHOOSE((3-1),  "2", "3"), "--")</f>
        <v>--</v>
      </c>
      <c r="H60" s="105" t="str">
        <f>IF(TRIM("BUS_CNODE_JCT__1293") = "", "BUS_CNODE_JCT__1293", "BUS_CNODE_JCT__1293")</f>
        <v>BUS_CNODE_JCT__1293</v>
      </c>
      <c r="I60" s="105" t="str">
        <f>IF(TRIM("BUS_line1_230") = "", "BUS_line1_230", "BUS_line1_230")</f>
        <v>BUS_line1_230</v>
      </c>
      <c r="J60" s="242"/>
      <c r="K60" s="105">
        <v>60</v>
      </c>
      <c r="L60" s="260"/>
      <c r="M60" s="260"/>
      <c r="N60" s="260"/>
      <c r="O60" s="260"/>
      <c r="P60" s="242"/>
      <c r="Q60" s="242"/>
      <c r="R60" s="242"/>
      <c r="S60" s="261" t="s">
        <v>5771</v>
      </c>
      <c r="T60" s="260"/>
      <c r="U60" s="260"/>
      <c r="V60" s="260"/>
      <c r="W60" s="260"/>
      <c r="X60" s="260">
        <f>ROUND(9, 7)</f>
        <v>9</v>
      </c>
      <c r="Y60" s="127">
        <v>0</v>
      </c>
      <c r="Z60" s="127">
        <f>ROUND(0,2)</f>
        <v>0</v>
      </c>
      <c r="AA60" s="127">
        <f>ROUND(75, 1)</f>
        <v>75</v>
      </c>
      <c r="AB60" s="127">
        <f>ROUND(75, 1)</f>
        <v>75</v>
      </c>
      <c r="AC60" s="127">
        <f>ROUND(0.342999995, 3)</f>
        <v>0.34300000000000003</v>
      </c>
      <c r="AD60" s="127">
        <f>ROUND(0.115000002, 3)</f>
        <v>0.115</v>
      </c>
      <c r="AE60" s="127">
        <f>ROUND(0, 5)</f>
        <v>0</v>
      </c>
      <c r="AF60" s="127">
        <f>IF(0 = 0,ROUND(0.545369983, 3),"--")</f>
        <v>0.54500000000000004</v>
      </c>
      <c r="AG60" s="262">
        <f>IF(0 = 0,ROUND(0.292100012, 3),"--")</f>
        <v>0.29199999999999998</v>
      </c>
      <c r="AH60" s="127">
        <f>IF(0 = 0,ROUND(0, 5),"--")</f>
        <v>0</v>
      </c>
      <c r="AI60" s="105" t="str">
        <f>IF(0 = 0, "Ohms per", "Ohms")</f>
        <v>Ohms per</v>
      </c>
      <c r="AJ60" s="105">
        <f>IF(0 = 0,1000,"--")</f>
        <v>1000</v>
      </c>
      <c r="AK60" s="105" t="str">
        <f>IF(0 = 0,CHOOSE((0 + 1), "ft", "mile", "m", "km"),"--")</f>
        <v>ft</v>
      </c>
      <c r="AL60" s="60"/>
      <c r="AM60" s="53" t="s">
        <v>5870</v>
      </c>
    </row>
    <row r="61" spans="1:39">
      <c r="A61" s="105" t="s">
        <v>5871</v>
      </c>
      <c r="B61" s="105">
        <v>1</v>
      </c>
      <c r="C61" s="105" t="str">
        <f>IF(TRUE = TRUE, "Yes", "No")</f>
        <v>Yes</v>
      </c>
      <c r="D61" s="105" t="s">
        <v>5202</v>
      </c>
      <c r="E61" s="105"/>
      <c r="F61" s="127" t="str">
        <f>IF(0 = 0, "3", "1")</f>
        <v>3</v>
      </c>
      <c r="G61" s="127" t="str">
        <f>IF(0 = 1, CHOOSE((3-1),  "2", "3"), "--")</f>
        <v>--</v>
      </c>
      <c r="H61" s="105" t="str">
        <f>IF(TRIM("BUS_CNODE_JCT__1304") = "", "BUS_CNODE_JCT__1304", "BUS_CNODE_JCT__1304")</f>
        <v>BUS_CNODE_JCT__1304</v>
      </c>
      <c r="I61" s="105" t="str">
        <f>IF(TRIM("BUS_亚都天元居#1箱变_227") = "", "BUS_亚都天元居#1箱变_227", "BUS_亚都天元居#1箱变_227")</f>
        <v>BUS_亚都天元居#1箱变_227</v>
      </c>
      <c r="J61" s="242"/>
      <c r="K61" s="105">
        <v>60</v>
      </c>
      <c r="L61" s="260"/>
      <c r="M61" s="260"/>
      <c r="N61" s="260"/>
      <c r="O61" s="260"/>
      <c r="P61" s="242"/>
      <c r="Q61" s="242"/>
      <c r="R61" s="242"/>
      <c r="S61" s="261" t="s">
        <v>5771</v>
      </c>
      <c r="T61" s="260"/>
      <c r="U61" s="260"/>
      <c r="V61" s="260"/>
      <c r="W61" s="260"/>
      <c r="X61" s="260">
        <f>ROUND(133, 7)</f>
        <v>133</v>
      </c>
      <c r="Y61" s="127">
        <v>0</v>
      </c>
      <c r="Z61" s="127">
        <f>ROUND(0,2)</f>
        <v>0</v>
      </c>
      <c r="AA61" s="127">
        <f>ROUND(75, 1)</f>
        <v>75</v>
      </c>
      <c r="AB61" s="127">
        <f>ROUND(75, 1)</f>
        <v>75</v>
      </c>
      <c r="AC61" s="127">
        <f>ROUND(0.342999995, 3)</f>
        <v>0.34300000000000003</v>
      </c>
      <c r="AD61" s="127">
        <f>ROUND(0.115000002, 3)</f>
        <v>0.115</v>
      </c>
      <c r="AE61" s="127">
        <f>ROUND(0, 5)</f>
        <v>0</v>
      </c>
      <c r="AF61" s="127">
        <f>IF(0 = 0,ROUND(0.545369983, 3),"--")</f>
        <v>0.54500000000000004</v>
      </c>
      <c r="AG61" s="262">
        <f>IF(0 = 0,ROUND(0.292100012, 3),"--")</f>
        <v>0.29199999999999998</v>
      </c>
      <c r="AH61" s="127">
        <f>IF(0 = 0,ROUND(0, 5),"--")</f>
        <v>0</v>
      </c>
      <c r="AI61" s="105" t="str">
        <f>IF(0 = 0, "Ohms per", "Ohms")</f>
        <v>Ohms per</v>
      </c>
      <c r="AJ61" s="105">
        <f>IF(0 = 0,1000,"--")</f>
        <v>1000</v>
      </c>
      <c r="AK61" s="105" t="str">
        <f>IF(0 = 0,CHOOSE((0 + 1), "ft", "mile", "m", "km"),"--")</f>
        <v>ft</v>
      </c>
      <c r="AL61" s="60"/>
      <c r="AM61" s="53" t="s">
        <v>5872</v>
      </c>
    </row>
    <row r="62" spans="1:39">
      <c r="A62" s="105" t="s">
        <v>5873</v>
      </c>
      <c r="B62" s="105">
        <v>1</v>
      </c>
      <c r="C62" s="105" t="str">
        <f>IF(TRUE = TRUE, "Yes", "No")</f>
        <v>Yes</v>
      </c>
      <c r="D62" s="105" t="s">
        <v>5202</v>
      </c>
      <c r="E62" s="105"/>
      <c r="F62" s="127" t="str">
        <f>IF(0 = 0, "3", "1")</f>
        <v>3</v>
      </c>
      <c r="G62" s="127" t="str">
        <f>IF(0 = 1, CHOOSE((3-1),  "2", "3"), "--")</f>
        <v>--</v>
      </c>
      <c r="H62" s="105" t="str">
        <f>IF(TRIM("BUS_CNODE_JCT__1316") = "", "BUS_CNODE_JCT__1316", "BUS_CNODE_JCT__1316")</f>
        <v>BUS_CNODE_JCT__1316</v>
      </c>
      <c r="I62" s="105" t="str">
        <f>IF(TRIM("BUS_颐秀居#1变母线_231") = "", "BUS_颐秀居#1变母线_231", "BUS_颐秀居#1变母线_231")</f>
        <v>BUS_颐秀居#1变母线_231</v>
      </c>
      <c r="J62" s="242"/>
      <c r="K62" s="105">
        <v>60</v>
      </c>
      <c r="L62" s="260"/>
      <c r="M62" s="260"/>
      <c r="N62" s="260"/>
      <c r="O62" s="260"/>
      <c r="P62" s="242"/>
      <c r="Q62" s="242"/>
      <c r="R62" s="242"/>
      <c r="S62" s="261" t="s">
        <v>5771</v>
      </c>
      <c r="T62" s="260"/>
      <c r="U62" s="260"/>
      <c r="V62" s="260"/>
      <c r="W62" s="260"/>
      <c r="X62" s="260">
        <f>ROUND(76, 7)</f>
        <v>76</v>
      </c>
      <c r="Y62" s="127">
        <v>0</v>
      </c>
      <c r="Z62" s="127">
        <f>ROUND(0,2)</f>
        <v>0</v>
      </c>
      <c r="AA62" s="127">
        <f>ROUND(75, 1)</f>
        <v>75</v>
      </c>
      <c r="AB62" s="127">
        <f>ROUND(75, 1)</f>
        <v>75</v>
      </c>
      <c r="AC62" s="127">
        <f>ROUND(0.342999995, 3)</f>
        <v>0.34300000000000003</v>
      </c>
      <c r="AD62" s="127">
        <f>ROUND(0.115000002, 3)</f>
        <v>0.115</v>
      </c>
      <c r="AE62" s="127">
        <f>ROUND(0, 5)</f>
        <v>0</v>
      </c>
      <c r="AF62" s="127">
        <f>IF(0 = 0,ROUND(0.545369983, 3),"--")</f>
        <v>0.54500000000000004</v>
      </c>
      <c r="AG62" s="262">
        <f>IF(0 = 0,ROUND(0.292100012, 3),"--")</f>
        <v>0.29199999999999998</v>
      </c>
      <c r="AH62" s="127">
        <f>IF(0 = 0,ROUND(0, 5),"--")</f>
        <v>0</v>
      </c>
      <c r="AI62" s="105" t="str">
        <f>IF(0 = 0, "Ohms per", "Ohms")</f>
        <v>Ohms per</v>
      </c>
      <c r="AJ62" s="105">
        <f>IF(0 = 0,1000,"--")</f>
        <v>1000</v>
      </c>
      <c r="AK62" s="105" t="str">
        <f>IF(0 = 0,CHOOSE((0 + 1), "ft", "mile", "m", "km"),"--")</f>
        <v>ft</v>
      </c>
      <c r="AL62" s="60"/>
      <c r="AM62" s="53" t="s">
        <v>5874</v>
      </c>
    </row>
    <row r="63" spans="1:39">
      <c r="A63" s="105" t="s">
        <v>5875</v>
      </c>
      <c r="B63" s="105">
        <v>1</v>
      </c>
      <c r="C63" s="105" t="str">
        <f>IF(TRUE = TRUE, "Yes", "No")</f>
        <v>Yes</v>
      </c>
      <c r="D63" s="105" t="s">
        <v>5202</v>
      </c>
      <c r="E63" s="105"/>
      <c r="F63" s="127" t="str">
        <f>IF(0 = 0, "3", "1")</f>
        <v>3</v>
      </c>
      <c r="G63" s="127" t="str">
        <f>IF(0 = 1, CHOOSE((3-1),  "2", "3"), "--")</f>
        <v>--</v>
      </c>
      <c r="H63" s="105" t="str">
        <f>IF(TRIM("BUS_CNODE_JCT__1317") = "", "BUS_CNODE_JCT__1317", "BUS_CNODE_JCT__1317")</f>
        <v>BUS_CNODE_JCT__1317</v>
      </c>
      <c r="I63" s="105" t="str">
        <f>IF(TRIM("BUS_颐秀居#2变母母线_232") = "", "BUS_颐秀居#2变母母线_232", "BUS_颐秀居#2变母母线_232")</f>
        <v>BUS_颐秀居#2变母母线_232</v>
      </c>
      <c r="J63" s="242"/>
      <c r="K63" s="105">
        <v>60</v>
      </c>
      <c r="L63" s="260"/>
      <c r="M63" s="260"/>
      <c r="N63" s="260"/>
      <c r="O63" s="260"/>
      <c r="P63" s="242"/>
      <c r="Q63" s="242"/>
      <c r="R63" s="242"/>
      <c r="S63" s="261" t="s">
        <v>5771</v>
      </c>
      <c r="T63" s="260"/>
      <c r="U63" s="260"/>
      <c r="V63" s="260"/>
      <c r="W63" s="260"/>
      <c r="X63" s="260">
        <f>ROUND(64, 7)</f>
        <v>64</v>
      </c>
      <c r="Y63" s="127">
        <v>0</v>
      </c>
      <c r="Z63" s="127">
        <f>ROUND(0,2)</f>
        <v>0</v>
      </c>
      <c r="AA63" s="127">
        <f>ROUND(75, 1)</f>
        <v>75</v>
      </c>
      <c r="AB63" s="127">
        <f>ROUND(75, 1)</f>
        <v>75</v>
      </c>
      <c r="AC63" s="127">
        <f>ROUND(0.342999995, 3)</f>
        <v>0.34300000000000003</v>
      </c>
      <c r="AD63" s="127">
        <f>ROUND(0.115000002, 3)</f>
        <v>0.115</v>
      </c>
      <c r="AE63" s="127">
        <f>ROUND(0, 5)</f>
        <v>0</v>
      </c>
      <c r="AF63" s="127">
        <f>IF(0 = 0,ROUND(0.545369983, 3),"--")</f>
        <v>0.54500000000000004</v>
      </c>
      <c r="AG63" s="262">
        <f>IF(0 = 0,ROUND(0.292100012, 3),"--")</f>
        <v>0.29199999999999998</v>
      </c>
      <c r="AH63" s="127">
        <f>IF(0 = 0,ROUND(0, 5),"--")</f>
        <v>0</v>
      </c>
      <c r="AI63" s="105" t="str">
        <f>IF(0 = 0, "Ohms per", "Ohms")</f>
        <v>Ohms per</v>
      </c>
      <c r="AJ63" s="105">
        <f>IF(0 = 0,1000,"--")</f>
        <v>1000</v>
      </c>
      <c r="AK63" s="105" t="str">
        <f>IF(0 = 0,CHOOSE((0 + 1), "ft", "mile", "m", "km"),"--")</f>
        <v>ft</v>
      </c>
      <c r="AL63" s="60"/>
      <c r="AM63" s="53" t="s">
        <v>5876</v>
      </c>
    </row>
    <row r="64" spans="1:39">
      <c r="A64" s="105" t="s">
        <v>5877</v>
      </c>
      <c r="B64" s="105">
        <v>1</v>
      </c>
      <c r="C64" s="105" t="str">
        <f>IF(TRUE = TRUE, "Yes", "No")</f>
        <v>Yes</v>
      </c>
      <c r="D64" s="105" t="s">
        <v>5202</v>
      </c>
      <c r="E64" s="105"/>
      <c r="F64" s="127" t="str">
        <f>IF(0 = 0, "3", "1")</f>
        <v>3</v>
      </c>
      <c r="G64" s="127" t="str">
        <f>IF(0 = 1, CHOOSE((3-1),  "2", "3"), "--")</f>
        <v>--</v>
      </c>
      <c r="H64" s="105" t="str">
        <f>IF(TRIM("BUS_CNODE_JCT__1330") = "", "BUS_CNODE_JCT__1330", "BUS_CNODE_JCT__1330")</f>
        <v>BUS_CNODE_JCT__1330</v>
      </c>
      <c r="I64" s="105" t="str">
        <f>IF(TRIM("BUS_line1_228") = "", "BUS_line1_228", "BUS_line1_228")</f>
        <v>BUS_line1_228</v>
      </c>
      <c r="J64" s="242"/>
      <c r="K64" s="105">
        <v>60</v>
      </c>
      <c r="L64" s="260"/>
      <c r="M64" s="260"/>
      <c r="N64" s="260"/>
      <c r="O64" s="260"/>
      <c r="P64" s="242"/>
      <c r="Q64" s="242"/>
      <c r="R64" s="242"/>
      <c r="S64" s="261" t="s">
        <v>5771</v>
      </c>
      <c r="T64" s="260"/>
      <c r="U64" s="260"/>
      <c r="V64" s="260"/>
      <c r="W64" s="260"/>
      <c r="X64" s="260">
        <f>ROUND(200, 7)</f>
        <v>200</v>
      </c>
      <c r="Y64" s="127">
        <v>0</v>
      </c>
      <c r="Z64" s="127">
        <f>ROUND(0,2)</f>
        <v>0</v>
      </c>
      <c r="AA64" s="127">
        <f>ROUND(75, 1)</f>
        <v>75</v>
      </c>
      <c r="AB64" s="127">
        <f>ROUND(75, 1)</f>
        <v>75</v>
      </c>
      <c r="AC64" s="127">
        <f>ROUND(0.342999995, 3)</f>
        <v>0.34300000000000003</v>
      </c>
      <c r="AD64" s="127">
        <f>ROUND(0.115000002, 3)</f>
        <v>0.115</v>
      </c>
      <c r="AE64" s="127">
        <f>ROUND(0, 5)</f>
        <v>0</v>
      </c>
      <c r="AF64" s="127">
        <f>IF(0 = 0,ROUND(0.545369983, 3),"--")</f>
        <v>0.54500000000000004</v>
      </c>
      <c r="AG64" s="262">
        <f>IF(0 = 0,ROUND(0.292100012, 3),"--")</f>
        <v>0.29199999999999998</v>
      </c>
      <c r="AH64" s="127">
        <f>IF(0 = 0,ROUND(0, 5),"--")</f>
        <v>0</v>
      </c>
      <c r="AI64" s="105" t="str">
        <f>IF(0 = 0, "Ohms per", "Ohms")</f>
        <v>Ohms per</v>
      </c>
      <c r="AJ64" s="105">
        <f>IF(0 = 0,1000,"--")</f>
        <v>1000</v>
      </c>
      <c r="AK64" s="105" t="str">
        <f>IF(0 = 0,CHOOSE((0 + 1), "ft", "mile", "m", "km"),"--")</f>
        <v>ft</v>
      </c>
      <c r="AL64" s="60"/>
      <c r="AM64" s="53" t="s">
        <v>5878</v>
      </c>
    </row>
    <row r="65" spans="1:39">
      <c r="A65" s="105" t="s">
        <v>5879</v>
      </c>
      <c r="B65" s="105">
        <v>1</v>
      </c>
      <c r="C65" s="105" t="str">
        <f>IF(TRUE = TRUE, "Yes", "No")</f>
        <v>Yes</v>
      </c>
      <c r="D65" s="105" t="s">
        <v>5202</v>
      </c>
      <c r="E65" s="105"/>
      <c r="F65" s="127" t="str">
        <f>IF(0 = 0, "3", "1")</f>
        <v>3</v>
      </c>
      <c r="G65" s="127" t="str">
        <f>IF(0 = 1, CHOOSE((3-1),  "2", "3"), "--")</f>
        <v>--</v>
      </c>
      <c r="H65" s="105" t="str">
        <f>IF(TRIM("BUS_CNODE_JCT__1331") = "", "BUS_CNODE_JCT__1331", "BUS_CNODE_JCT__1331")</f>
        <v>BUS_CNODE_JCT__1331</v>
      </c>
      <c r="I65" s="105" t="str">
        <f>IF(TRIM("BUS_亚都天元居#3箱变_229") = "", "BUS_亚都天元居#3箱变_229", "BUS_亚都天元居#3箱变_229")</f>
        <v>BUS_亚都天元居#3箱变_229</v>
      </c>
      <c r="J65" s="242"/>
      <c r="K65" s="105">
        <v>60</v>
      </c>
      <c r="L65" s="260"/>
      <c r="M65" s="260"/>
      <c r="N65" s="260"/>
      <c r="O65" s="260"/>
      <c r="P65" s="242"/>
      <c r="Q65" s="242"/>
      <c r="R65" s="242"/>
      <c r="S65" s="261" t="s">
        <v>5771</v>
      </c>
      <c r="T65" s="260"/>
      <c r="U65" s="260"/>
      <c r="V65" s="260"/>
      <c r="W65" s="260"/>
      <c r="X65" s="260">
        <f>ROUND(198, 7)</f>
        <v>198</v>
      </c>
      <c r="Y65" s="127">
        <v>0</v>
      </c>
      <c r="Z65" s="127">
        <f>ROUND(0,2)</f>
        <v>0</v>
      </c>
      <c r="AA65" s="127">
        <f>ROUND(75, 1)</f>
        <v>75</v>
      </c>
      <c r="AB65" s="127">
        <f>ROUND(75, 1)</f>
        <v>75</v>
      </c>
      <c r="AC65" s="127">
        <f>ROUND(0.342999995, 3)</f>
        <v>0.34300000000000003</v>
      </c>
      <c r="AD65" s="127">
        <f>ROUND(0.115000002, 3)</f>
        <v>0.115</v>
      </c>
      <c r="AE65" s="127">
        <f>ROUND(0, 5)</f>
        <v>0</v>
      </c>
      <c r="AF65" s="127">
        <f>IF(0 = 0,ROUND(0.545369983, 3),"--")</f>
        <v>0.54500000000000004</v>
      </c>
      <c r="AG65" s="262">
        <f>IF(0 = 0,ROUND(0.292100012, 3),"--")</f>
        <v>0.29199999999999998</v>
      </c>
      <c r="AH65" s="127">
        <f>IF(0 = 0,ROUND(0, 5),"--")</f>
        <v>0</v>
      </c>
      <c r="AI65" s="105" t="str">
        <f>IF(0 = 0, "Ohms per", "Ohms")</f>
        <v>Ohms per</v>
      </c>
      <c r="AJ65" s="105">
        <f>IF(0 = 0,1000,"--")</f>
        <v>1000</v>
      </c>
      <c r="AK65" s="105" t="str">
        <f>IF(0 = 0,CHOOSE((0 + 1), "ft", "mile", "m", "km"),"--")</f>
        <v>ft</v>
      </c>
      <c r="AL65" s="60"/>
      <c r="AM65" s="53" t="s">
        <v>5880</v>
      </c>
    </row>
    <row r="66" spans="1:39">
      <c r="A66" s="105" t="s">
        <v>5881</v>
      </c>
      <c r="B66" s="105">
        <v>1</v>
      </c>
      <c r="C66" s="105" t="str">
        <f>IF(TRUE = TRUE, "Yes", "No")</f>
        <v>Yes</v>
      </c>
      <c r="D66" s="105" t="s">
        <v>5202</v>
      </c>
      <c r="E66" s="105"/>
      <c r="F66" s="127" t="str">
        <f>IF(0 = 0, "3", "1")</f>
        <v>3</v>
      </c>
      <c r="G66" s="127" t="str">
        <f>IF(0 = 1, CHOOSE((3-1),  "2", "3"), "--")</f>
        <v>--</v>
      </c>
      <c r="H66" s="105" t="str">
        <f>IF(TRIM("BUS_CNODE_JCT__1346") = "", "BUS_CNODE_JCT__1346", "BUS_CNODE_JCT__1346")</f>
        <v>BUS_CNODE_JCT__1346</v>
      </c>
      <c r="I66" s="105" t="str">
        <f>IF(TRIM("BUS_苑#9变高压间隔母线_240") = "", "BUS_苑#9变高压间隔母线_240", "BUS_苑#9变高压间隔母线_240")</f>
        <v>BUS_苑#9变高压间隔母线_240</v>
      </c>
      <c r="J66" s="242"/>
      <c r="K66" s="105">
        <v>60</v>
      </c>
      <c r="L66" s="260"/>
      <c r="M66" s="260"/>
      <c r="N66" s="260"/>
      <c r="O66" s="260"/>
      <c r="P66" s="242"/>
      <c r="Q66" s="242"/>
      <c r="R66" s="242"/>
      <c r="S66" s="261" t="s">
        <v>5771</v>
      </c>
      <c r="T66" s="260"/>
      <c r="U66" s="260"/>
      <c r="V66" s="260"/>
      <c r="W66" s="260"/>
      <c r="X66" s="260">
        <f>ROUND(49, 7)</f>
        <v>49</v>
      </c>
      <c r="Y66" s="127">
        <v>0</v>
      </c>
      <c r="Z66" s="127">
        <f>ROUND(0,2)</f>
        <v>0</v>
      </c>
      <c r="AA66" s="127">
        <f>ROUND(75, 1)</f>
        <v>75</v>
      </c>
      <c r="AB66" s="127">
        <f>ROUND(75, 1)</f>
        <v>75</v>
      </c>
      <c r="AC66" s="127">
        <f>ROUND(0.247999996, 3)</f>
        <v>0.248</v>
      </c>
      <c r="AD66" s="127">
        <f>ROUND(0.108999997, 3)</f>
        <v>0.109</v>
      </c>
      <c r="AE66" s="127">
        <f>ROUND(0, 5)</f>
        <v>0</v>
      </c>
      <c r="AF66" s="127">
        <f>IF(0 = 0,ROUND(0.394320011, 3),"--")</f>
        <v>0.39400000000000002</v>
      </c>
      <c r="AG66" s="262">
        <f>IF(0 = 0,ROUND(0.276859999, 3),"--")</f>
        <v>0.27700000000000002</v>
      </c>
      <c r="AH66" s="127">
        <f>IF(0 = 0,ROUND(0, 5),"--")</f>
        <v>0</v>
      </c>
      <c r="AI66" s="105" t="str">
        <f>IF(0 = 0, "Ohms per", "Ohms")</f>
        <v>Ohms per</v>
      </c>
      <c r="AJ66" s="105">
        <f>IF(0 = 0,1000,"--")</f>
        <v>1000</v>
      </c>
      <c r="AK66" s="105" t="str">
        <f>IF(0 = 0,CHOOSE((0 + 1), "ft", "mile", "m", "km"),"--")</f>
        <v>ft</v>
      </c>
      <c r="AL66" s="60"/>
      <c r="AM66" s="53" t="s">
        <v>5882</v>
      </c>
    </row>
    <row r="67" spans="1:39">
      <c r="A67" s="105" t="s">
        <v>5883</v>
      </c>
      <c r="B67" s="105">
        <v>1</v>
      </c>
      <c r="C67" s="105" t="str">
        <f>IF(TRUE = TRUE, "Yes", "No")</f>
        <v>Yes</v>
      </c>
      <c r="D67" s="105" t="s">
        <v>5202</v>
      </c>
      <c r="E67" s="105"/>
      <c r="F67" s="127" t="str">
        <f>IF(0 = 0, "3", "1")</f>
        <v>3</v>
      </c>
      <c r="G67" s="127" t="str">
        <f>IF(0 = 1, CHOOSE((3-1),  "2", "3"), "--")</f>
        <v>--</v>
      </c>
      <c r="H67" s="105" t="str">
        <f>IF(TRIM("BUS_CNODE_JCT__1347") = "", "BUS_CNODE_JCT__1347", "BUS_CNODE_JCT__1347")</f>
        <v>BUS_CNODE_JCT__1347</v>
      </c>
      <c r="I67" s="105" t="str">
        <f>IF(TRIM("BUS_line1_223") = "", "BUS_line1_223", "BUS_line1_223")</f>
        <v>BUS_line1_223</v>
      </c>
      <c r="J67" s="242"/>
      <c r="K67" s="105">
        <v>60</v>
      </c>
      <c r="L67" s="260"/>
      <c r="M67" s="260"/>
      <c r="N67" s="260"/>
      <c r="O67" s="260"/>
      <c r="P67" s="242"/>
      <c r="Q67" s="242"/>
      <c r="R67" s="242"/>
      <c r="S67" s="261" t="s">
        <v>5771</v>
      </c>
      <c r="T67" s="260"/>
      <c r="U67" s="260"/>
      <c r="V67" s="260"/>
      <c r="W67" s="260"/>
      <c r="X67" s="260">
        <f>ROUND(13, 7)</f>
        <v>13</v>
      </c>
      <c r="Y67" s="127">
        <v>0</v>
      </c>
      <c r="Z67" s="127">
        <f>ROUND(0,2)</f>
        <v>0</v>
      </c>
      <c r="AA67" s="127">
        <f>ROUND(75, 1)</f>
        <v>75</v>
      </c>
      <c r="AB67" s="127">
        <f>ROUND(75, 1)</f>
        <v>75</v>
      </c>
      <c r="AC67" s="127">
        <f>ROUND(0.247999996, 3)</f>
        <v>0.248</v>
      </c>
      <c r="AD67" s="127">
        <f>ROUND(0.108999997, 3)</f>
        <v>0.109</v>
      </c>
      <c r="AE67" s="127">
        <f>ROUND(0, 5)</f>
        <v>0</v>
      </c>
      <c r="AF67" s="127">
        <f>IF(0 = 0,ROUND(0.394320011, 3),"--")</f>
        <v>0.39400000000000002</v>
      </c>
      <c r="AG67" s="262">
        <f>IF(0 = 0,ROUND(0.276859999, 3),"--")</f>
        <v>0.27700000000000002</v>
      </c>
      <c r="AH67" s="127">
        <f>IF(0 = 0,ROUND(0, 5),"--")</f>
        <v>0</v>
      </c>
      <c r="AI67" s="105" t="str">
        <f>IF(0 = 0, "Ohms per", "Ohms")</f>
        <v>Ohms per</v>
      </c>
      <c r="AJ67" s="105">
        <f>IF(0 = 0,1000,"--")</f>
        <v>1000</v>
      </c>
      <c r="AK67" s="105" t="str">
        <f>IF(0 = 0,CHOOSE((0 + 1), "ft", "mile", "m", "km"),"--")</f>
        <v>ft</v>
      </c>
      <c r="AL67" s="60"/>
      <c r="AM67" s="53" t="s">
        <v>5884</v>
      </c>
    </row>
    <row r="68" spans="1:39">
      <c r="A68" s="105" t="s">
        <v>5885</v>
      </c>
      <c r="B68" s="105">
        <v>1</v>
      </c>
      <c r="C68" s="105" t="str">
        <f>IF(TRUE = TRUE, "Yes", "No")</f>
        <v>Yes</v>
      </c>
      <c r="D68" s="105" t="s">
        <v>5202</v>
      </c>
      <c r="E68" s="105"/>
      <c r="F68" s="127" t="str">
        <f>IF(0 = 0, "3", "1")</f>
        <v>3</v>
      </c>
      <c r="G68" s="127" t="str">
        <f>IF(0 = 1, CHOOSE((3-1),  "2", "3"), "--")</f>
        <v>--</v>
      </c>
      <c r="H68" s="105" t="str">
        <f>IF(TRIM("BUS_CNODE_JCT__1348") = "", "BUS_CNODE_JCT__1348", "BUS_CNODE_JCT__1348")</f>
        <v>BUS_CNODE_JCT__1348</v>
      </c>
      <c r="I68" s="105" t="str">
        <f>IF(TRIM("BUS_花苑#16变高压母线_221") = "", "BUS_花苑#16变高压母线_221", "BUS_花苑#16变高压母线_221")</f>
        <v>BUS_花苑#16变高压母线_221</v>
      </c>
      <c r="J68" s="242"/>
      <c r="K68" s="105">
        <v>60</v>
      </c>
      <c r="L68" s="260"/>
      <c r="M68" s="260"/>
      <c r="N68" s="260"/>
      <c r="O68" s="260"/>
      <c r="P68" s="242"/>
      <c r="Q68" s="242"/>
      <c r="R68" s="242"/>
      <c r="S68" s="261" t="s">
        <v>5771</v>
      </c>
      <c r="T68" s="260"/>
      <c r="U68" s="260"/>
      <c r="V68" s="260"/>
      <c r="W68" s="260"/>
      <c r="X68" s="260">
        <f>ROUND(165, 7)</f>
        <v>165</v>
      </c>
      <c r="Y68" s="127">
        <v>0</v>
      </c>
      <c r="Z68" s="127">
        <f>ROUND(0,2)</f>
        <v>0</v>
      </c>
      <c r="AA68" s="127">
        <f>ROUND(75, 1)</f>
        <v>75</v>
      </c>
      <c r="AB68" s="127">
        <f>ROUND(75, 1)</f>
        <v>75</v>
      </c>
      <c r="AC68" s="127">
        <f>ROUND(0.247999996, 3)</f>
        <v>0.248</v>
      </c>
      <c r="AD68" s="127">
        <f>ROUND(0.108999997, 3)</f>
        <v>0.109</v>
      </c>
      <c r="AE68" s="127">
        <f>ROUND(0, 5)</f>
        <v>0</v>
      </c>
      <c r="AF68" s="127">
        <f>IF(0 = 0,ROUND(0.394320011, 3),"--")</f>
        <v>0.39400000000000002</v>
      </c>
      <c r="AG68" s="262">
        <f>IF(0 = 0,ROUND(0.276859999, 3),"--")</f>
        <v>0.27700000000000002</v>
      </c>
      <c r="AH68" s="127">
        <f>IF(0 = 0,ROUND(0, 5),"--")</f>
        <v>0</v>
      </c>
      <c r="AI68" s="105" t="str">
        <f>IF(0 = 0, "Ohms per", "Ohms")</f>
        <v>Ohms per</v>
      </c>
      <c r="AJ68" s="105">
        <f>IF(0 = 0,1000,"--")</f>
        <v>1000</v>
      </c>
      <c r="AK68" s="105" t="str">
        <f>IF(0 = 0,CHOOSE((0 + 1), "ft", "mile", "m", "km"),"--")</f>
        <v>ft</v>
      </c>
      <c r="AL68" s="60"/>
      <c r="AM68" s="53" t="s">
        <v>5886</v>
      </c>
    </row>
    <row r="69" spans="1:39">
      <c r="A69" s="105" t="s">
        <v>5887</v>
      </c>
      <c r="B69" s="105">
        <v>1</v>
      </c>
      <c r="C69" s="105" t="str">
        <f>IF(TRUE = TRUE, "Yes", "No")</f>
        <v>Yes</v>
      </c>
      <c r="D69" s="105" t="s">
        <v>5202</v>
      </c>
      <c r="E69" s="105"/>
      <c r="F69" s="127" t="str">
        <f>IF(0 = 0, "3", "1")</f>
        <v>3</v>
      </c>
      <c r="G69" s="127" t="str">
        <f>IF(0 = 1, CHOOSE((3-1),  "2", "3"), "--")</f>
        <v>--</v>
      </c>
      <c r="H69" s="105" t="str">
        <f>IF(TRIM("BUS_CNODE_JCT__1349") = "", "BUS_CNODE_JCT__1349", "BUS_CNODE_JCT__1349")</f>
        <v>BUS_CNODE_JCT__1349</v>
      </c>
      <c r="I69" s="105" t="str">
        <f>IF(TRIM("BUS_CNODE_JCT__1350") = "", "BUS_CNODE_JCT__1350", "BUS_CNODE_JCT__1350")</f>
        <v>BUS_CNODE_JCT__1350</v>
      </c>
      <c r="J69" s="242"/>
      <c r="K69" s="105">
        <v>60</v>
      </c>
      <c r="L69" s="260"/>
      <c r="M69" s="260"/>
      <c r="N69" s="260"/>
      <c r="O69" s="260"/>
      <c r="P69" s="242"/>
      <c r="Q69" s="242"/>
      <c r="R69" s="242"/>
      <c r="S69" s="261" t="s">
        <v>5771</v>
      </c>
      <c r="T69" s="260"/>
      <c r="U69" s="260"/>
      <c r="V69" s="260"/>
      <c r="W69" s="260"/>
      <c r="X69" s="260">
        <f>ROUND(296, 7)</f>
        <v>296</v>
      </c>
      <c r="Y69" s="127">
        <v>0</v>
      </c>
      <c r="Z69" s="127">
        <f>ROUND(0,2)</f>
        <v>0</v>
      </c>
      <c r="AA69" s="127">
        <f>ROUND(75, 1)</f>
        <v>75</v>
      </c>
      <c r="AB69" s="127">
        <f>ROUND(75, 1)</f>
        <v>75</v>
      </c>
      <c r="AC69" s="127">
        <f>ROUND(0.064000003, 3)</f>
        <v>6.4000000000000001E-2</v>
      </c>
      <c r="AD69" s="127">
        <f>ROUND(0.0892999992, 3)</f>
        <v>8.8999999999999996E-2</v>
      </c>
      <c r="AE69" s="127">
        <f>ROUND(0, 5)</f>
        <v>0</v>
      </c>
      <c r="AF69" s="127">
        <f>IF(0 = 0,ROUND(0.10176, 3),"--")</f>
        <v>0.10199999999999999</v>
      </c>
      <c r="AG69" s="262">
        <f>IF(0 = 0,ROUND(0.226822004, 3),"--")</f>
        <v>0.22700000000000001</v>
      </c>
      <c r="AH69" s="127">
        <f>IF(0 = 0,ROUND(0, 5),"--")</f>
        <v>0</v>
      </c>
      <c r="AI69" s="105" t="str">
        <f>IF(0 = 0, "Ohms per", "Ohms")</f>
        <v>Ohms per</v>
      </c>
      <c r="AJ69" s="105">
        <f>IF(0 = 0,1000,"--")</f>
        <v>1000</v>
      </c>
      <c r="AK69" s="105" t="str">
        <f>IF(0 = 0,CHOOSE((0 + 1), "ft", "mile", "m", "km"),"--")</f>
        <v>ft</v>
      </c>
      <c r="AL69" s="60"/>
      <c r="AM69" s="53" t="s">
        <v>5888</v>
      </c>
    </row>
    <row r="70" spans="1:39">
      <c r="A70" s="105" t="s">
        <v>5889</v>
      </c>
      <c r="B70" s="105">
        <v>1</v>
      </c>
      <c r="C70" s="105" t="str">
        <f>IF(TRUE = TRUE, "Yes", "No")</f>
        <v>Yes</v>
      </c>
      <c r="D70" s="105" t="s">
        <v>5202</v>
      </c>
      <c r="E70" s="105"/>
      <c r="F70" s="127" t="str">
        <f>IF(0 = 0, "3", "1")</f>
        <v>3</v>
      </c>
      <c r="G70" s="127" t="str">
        <f>IF(0 = 1, CHOOSE((3-1),  "2", "3"), "--")</f>
        <v>--</v>
      </c>
      <c r="H70" s="105" t="str">
        <f>IF(TRIM("BUS_CNODE_JCT__1351") = "", "BUS_CNODE_JCT__1351", "BUS_CNODE_JCT__1351")</f>
        <v>BUS_CNODE_JCT__1351</v>
      </c>
      <c r="I70" s="105" t="str">
        <f>IF(TRIM("BUS_line1_222") = "", "BUS_line1_222", "BUS_line1_222")</f>
        <v>BUS_line1_222</v>
      </c>
      <c r="J70" s="242"/>
      <c r="K70" s="105">
        <v>60</v>
      </c>
      <c r="L70" s="260"/>
      <c r="M70" s="260"/>
      <c r="N70" s="260"/>
      <c r="O70" s="260"/>
      <c r="P70" s="242"/>
      <c r="Q70" s="242"/>
      <c r="R70" s="242"/>
      <c r="S70" s="261" t="s">
        <v>5771</v>
      </c>
      <c r="T70" s="260"/>
      <c r="U70" s="260"/>
      <c r="V70" s="260"/>
      <c r="W70" s="260"/>
      <c r="X70" s="260">
        <f>ROUND(124, 7)</f>
        <v>124</v>
      </c>
      <c r="Y70" s="127">
        <v>0</v>
      </c>
      <c r="Z70" s="127">
        <f>ROUND(0,2)</f>
        <v>0</v>
      </c>
      <c r="AA70" s="127">
        <f>ROUND(75, 1)</f>
        <v>75</v>
      </c>
      <c r="AB70" s="127">
        <f>ROUND(75, 1)</f>
        <v>75</v>
      </c>
      <c r="AC70" s="127">
        <f>ROUND(0.247999996, 3)</f>
        <v>0.248</v>
      </c>
      <c r="AD70" s="127">
        <f>ROUND(0.108999997, 3)</f>
        <v>0.109</v>
      </c>
      <c r="AE70" s="127">
        <f>ROUND(0, 5)</f>
        <v>0</v>
      </c>
      <c r="AF70" s="127">
        <f>IF(0 = 0,ROUND(0.394320011, 3),"--")</f>
        <v>0.39400000000000002</v>
      </c>
      <c r="AG70" s="262">
        <f>IF(0 = 0,ROUND(0.276859999, 3),"--")</f>
        <v>0.27700000000000002</v>
      </c>
      <c r="AH70" s="127">
        <f>IF(0 = 0,ROUND(0, 5),"--")</f>
        <v>0</v>
      </c>
      <c r="AI70" s="105" t="str">
        <f>IF(0 = 0, "Ohms per", "Ohms")</f>
        <v>Ohms per</v>
      </c>
      <c r="AJ70" s="105">
        <f>IF(0 = 0,1000,"--")</f>
        <v>1000</v>
      </c>
      <c r="AK70" s="105" t="str">
        <f>IF(0 = 0,CHOOSE((0 + 1), "ft", "mile", "m", "km"),"--")</f>
        <v>ft</v>
      </c>
      <c r="AL70" s="60"/>
      <c r="AM70" s="53" t="s">
        <v>5890</v>
      </c>
    </row>
    <row r="71" spans="1:39">
      <c r="A71" s="105" t="s">
        <v>5891</v>
      </c>
      <c r="B71" s="105">
        <v>1</v>
      </c>
      <c r="C71" s="105" t="str">
        <f>IF(TRUE = TRUE, "Yes", "No")</f>
        <v>Yes</v>
      </c>
      <c r="D71" s="105" t="s">
        <v>5202</v>
      </c>
      <c r="E71" s="105"/>
      <c r="F71" s="127" t="str">
        <f>IF(0 = 0, "3", "1")</f>
        <v>3</v>
      </c>
      <c r="G71" s="127" t="str">
        <f>IF(0 = 1, CHOOSE((3-1),  "2", "3"), "--")</f>
        <v>--</v>
      </c>
      <c r="H71" s="105" t="str">
        <f>IF(TRIM("BUS_CNODE_JCT__1361") = "", "BUS_CNODE_JCT__1361", "BUS_CNODE_JCT__1361")</f>
        <v>BUS_CNODE_JCT__1361</v>
      </c>
      <c r="I71" s="105" t="str">
        <f>IF(TRIM("BUS_CNODE_JCT__1359") = "", "BUS_CNODE_JCT__1359", "BUS_CNODE_JCT__1359")</f>
        <v>BUS_CNODE_JCT__1359</v>
      </c>
      <c r="J71" s="242"/>
      <c r="K71" s="105">
        <v>60</v>
      </c>
      <c r="L71" s="260"/>
      <c r="M71" s="260"/>
      <c r="N71" s="260"/>
      <c r="O71" s="260"/>
      <c r="P71" s="242"/>
      <c r="Q71" s="242"/>
      <c r="R71" s="242"/>
      <c r="S71" s="261" t="s">
        <v>5771</v>
      </c>
      <c r="T71" s="260"/>
      <c r="U71" s="260"/>
      <c r="V71" s="260"/>
      <c r="W71" s="260"/>
      <c r="X71" s="260">
        <f>ROUND(12, 7)</f>
        <v>12</v>
      </c>
      <c r="Y71" s="127">
        <v>0</v>
      </c>
      <c r="Z71" s="127">
        <f>ROUND(0,2)</f>
        <v>0</v>
      </c>
      <c r="AA71" s="127">
        <f>ROUND(75, 1)</f>
        <v>75</v>
      </c>
      <c r="AB71" s="127">
        <f>ROUND(75, 1)</f>
        <v>75</v>
      </c>
      <c r="AC71" s="127">
        <f>ROUND(0.064000003, 3)</f>
        <v>6.4000000000000001E-2</v>
      </c>
      <c r="AD71" s="127">
        <f>ROUND(0.0892999992, 3)</f>
        <v>8.8999999999999996E-2</v>
      </c>
      <c r="AE71" s="127">
        <f>ROUND(0, 5)</f>
        <v>0</v>
      </c>
      <c r="AF71" s="127">
        <f>IF(0 = 0,ROUND(0.10176, 3),"--")</f>
        <v>0.10199999999999999</v>
      </c>
      <c r="AG71" s="262">
        <f>IF(0 = 0,ROUND(0.226822004, 3),"--")</f>
        <v>0.22700000000000001</v>
      </c>
      <c r="AH71" s="127">
        <f>IF(0 = 0,ROUND(0, 5),"--")</f>
        <v>0</v>
      </c>
      <c r="AI71" s="105" t="str">
        <f>IF(0 = 0, "Ohms per", "Ohms")</f>
        <v>Ohms per</v>
      </c>
      <c r="AJ71" s="105">
        <f>IF(0 = 0,1000,"--")</f>
        <v>1000</v>
      </c>
      <c r="AK71" s="105" t="str">
        <f>IF(0 = 0,CHOOSE((0 + 1), "ft", "mile", "m", "km"),"--")</f>
        <v>ft</v>
      </c>
      <c r="AL71" s="60"/>
      <c r="AM71" s="53" t="s">
        <v>5892</v>
      </c>
    </row>
    <row r="72" spans="1:39">
      <c r="A72" s="105" t="s">
        <v>5893</v>
      </c>
      <c r="B72" s="105">
        <v>1</v>
      </c>
      <c r="C72" s="105" t="str">
        <f>IF(TRUE = TRUE, "Yes", "No")</f>
        <v>Yes</v>
      </c>
      <c r="D72" s="105" t="s">
        <v>5202</v>
      </c>
      <c r="E72" s="105"/>
      <c r="F72" s="127" t="str">
        <f>IF(0 = 0, "3", "1")</f>
        <v>3</v>
      </c>
      <c r="G72" s="127" t="str">
        <f>IF(0 = 1, CHOOSE((3-1),  "2", "3"), "--")</f>
        <v>--</v>
      </c>
      <c r="H72" s="105" t="str">
        <f>IF(TRIM("BUS_元居1#配电所母线1_216") = "", "BUS_元居1#配电所母线1_216", "BUS_元居1#配电所母线1_216")</f>
        <v>BUS_元居1#配电所母线1_216</v>
      </c>
      <c r="I72" s="105" t="str">
        <f>IF(TRIM("BUS_CNODE_JCT__1364") = "", "BUS_CNODE_JCT__1364", "BUS_CNODE_JCT__1364")</f>
        <v>BUS_CNODE_JCT__1364</v>
      </c>
      <c r="J72" s="242"/>
      <c r="K72" s="105">
        <v>60</v>
      </c>
      <c r="L72" s="260"/>
      <c r="M72" s="260"/>
      <c r="N72" s="260"/>
      <c r="O72" s="260"/>
      <c r="P72" s="242"/>
      <c r="Q72" s="242"/>
      <c r="R72" s="242"/>
      <c r="S72" s="261" t="s">
        <v>5771</v>
      </c>
      <c r="T72" s="260"/>
      <c r="U72" s="260"/>
      <c r="V72" s="260"/>
      <c r="W72" s="260"/>
      <c r="X72" s="260">
        <f>ROUND(217, 7)</f>
        <v>217</v>
      </c>
      <c r="Y72" s="127">
        <v>0</v>
      </c>
      <c r="Z72" s="127">
        <f>ROUND(0,2)</f>
        <v>0</v>
      </c>
      <c r="AA72" s="127">
        <f>ROUND(75, 1)</f>
        <v>75</v>
      </c>
      <c r="AB72" s="127">
        <f>ROUND(75, 1)</f>
        <v>75</v>
      </c>
      <c r="AC72" s="127">
        <f>ROUND(0.342999995, 3)</f>
        <v>0.34300000000000003</v>
      </c>
      <c r="AD72" s="127">
        <f>ROUND(0.115000002, 3)</f>
        <v>0.115</v>
      </c>
      <c r="AE72" s="127">
        <f>ROUND(0, 5)</f>
        <v>0</v>
      </c>
      <c r="AF72" s="127">
        <f>IF(0 = 0,ROUND(0.545369983, 3),"--")</f>
        <v>0.54500000000000004</v>
      </c>
      <c r="AG72" s="262">
        <f>IF(0 = 0,ROUND(0.292100012, 3),"--")</f>
        <v>0.29199999999999998</v>
      </c>
      <c r="AH72" s="127">
        <f>IF(0 = 0,ROUND(0, 5),"--")</f>
        <v>0</v>
      </c>
      <c r="AI72" s="105" t="str">
        <f>IF(0 = 0, "Ohms per", "Ohms")</f>
        <v>Ohms per</v>
      </c>
      <c r="AJ72" s="105">
        <f>IF(0 = 0,1000,"--")</f>
        <v>1000</v>
      </c>
      <c r="AK72" s="105" t="str">
        <f>IF(0 = 0,CHOOSE((0 + 1), "ft", "mile", "m", "km"),"--")</f>
        <v>ft</v>
      </c>
      <c r="AL72" s="60"/>
      <c r="AM72" s="53" t="s">
        <v>5894</v>
      </c>
    </row>
    <row r="73" spans="1:39">
      <c r="A73" s="105" t="s">
        <v>5895</v>
      </c>
      <c r="B73" s="105">
        <v>1</v>
      </c>
      <c r="C73" s="105" t="str">
        <f>IF(TRUE = TRUE, "Yes", "No")</f>
        <v>Yes</v>
      </c>
      <c r="D73" s="105" t="s">
        <v>5202</v>
      </c>
      <c r="E73" s="105"/>
      <c r="F73" s="127" t="str">
        <f>IF(0 = 0, "3", "1")</f>
        <v>3</v>
      </c>
      <c r="G73" s="127" t="str">
        <f>IF(0 = 1, CHOOSE((3-1),  "2", "3"), "--")</f>
        <v>--</v>
      </c>
      <c r="H73" s="105" t="str">
        <f>IF(TRIM("BUS_CNODE_JCT__1365") = "", "BUS_CNODE_JCT__1365", "BUS_CNODE_JCT__1365")</f>
        <v>BUS_CNODE_JCT__1365</v>
      </c>
      <c r="I73" s="105" t="str">
        <f>IF(TRIM("BUS_元居1#配电所母线2_217") = "", "BUS_元居1#配电所母线2_217", "BUS_元居1#配电所母线2_217")</f>
        <v>BUS_元居1#配电所母线2_217</v>
      </c>
      <c r="J73" s="242"/>
      <c r="K73" s="105">
        <v>60</v>
      </c>
      <c r="L73" s="260"/>
      <c r="M73" s="260"/>
      <c r="N73" s="260"/>
      <c r="O73" s="260"/>
      <c r="P73" s="242"/>
      <c r="Q73" s="242"/>
      <c r="R73" s="242"/>
      <c r="S73" s="261" t="s">
        <v>5771</v>
      </c>
      <c r="T73" s="260"/>
      <c r="U73" s="260"/>
      <c r="V73" s="260"/>
      <c r="W73" s="260"/>
      <c r="X73" s="260">
        <f>ROUND(202, 7)</f>
        <v>202</v>
      </c>
      <c r="Y73" s="127">
        <v>0</v>
      </c>
      <c r="Z73" s="127">
        <f>ROUND(0,2)</f>
        <v>0</v>
      </c>
      <c r="AA73" s="127">
        <f>ROUND(75, 1)</f>
        <v>75</v>
      </c>
      <c r="AB73" s="127">
        <f>ROUND(75, 1)</f>
        <v>75</v>
      </c>
      <c r="AC73" s="127">
        <f>ROUND(0.342999995, 3)</f>
        <v>0.34300000000000003</v>
      </c>
      <c r="AD73" s="127">
        <f>ROUND(0.115000002, 3)</f>
        <v>0.115</v>
      </c>
      <c r="AE73" s="127">
        <f>ROUND(0, 5)</f>
        <v>0</v>
      </c>
      <c r="AF73" s="127">
        <f>IF(0 = 0,ROUND(0.545369983, 3),"--")</f>
        <v>0.54500000000000004</v>
      </c>
      <c r="AG73" s="262">
        <f>IF(0 = 0,ROUND(0.292100012, 3),"--")</f>
        <v>0.29199999999999998</v>
      </c>
      <c r="AH73" s="127">
        <f>IF(0 = 0,ROUND(0, 5),"--")</f>
        <v>0</v>
      </c>
      <c r="AI73" s="105" t="str">
        <f>IF(0 = 0, "Ohms per", "Ohms")</f>
        <v>Ohms per</v>
      </c>
      <c r="AJ73" s="105">
        <f>IF(0 = 0,1000,"--")</f>
        <v>1000</v>
      </c>
      <c r="AK73" s="105" t="str">
        <f>IF(0 = 0,CHOOSE((0 + 1), "ft", "mile", "m", "km"),"--")</f>
        <v>ft</v>
      </c>
      <c r="AL73" s="60"/>
      <c r="AM73" s="53" t="s">
        <v>5896</v>
      </c>
    </row>
    <row r="74" spans="1:39">
      <c r="A74" s="105" t="s">
        <v>5897</v>
      </c>
      <c r="B74" s="105">
        <v>1</v>
      </c>
      <c r="C74" s="105" t="str">
        <f>IF(TRUE = TRUE, "Yes", "No")</f>
        <v>Yes</v>
      </c>
      <c r="D74" s="105" t="s">
        <v>5202</v>
      </c>
      <c r="E74" s="105"/>
      <c r="F74" s="127" t="str">
        <f>IF(0 = 0, "3", "1")</f>
        <v>3</v>
      </c>
      <c r="G74" s="127" t="str">
        <f>IF(0 = 1, CHOOSE((3-1),  "2", "3"), "--")</f>
        <v>--</v>
      </c>
      <c r="H74" s="105" t="str">
        <f>IF(TRIM("BUS_CNODE_JCT__1277") = "", "BUS_CNODE_JCT__1277", "BUS_CNODE_JCT__1277")</f>
        <v>BUS_CNODE_JCT__1277</v>
      </c>
      <c r="I74" s="105" t="str">
        <f>IF(TRIM("BUS_CNODE_JCT__1321") = "", "BUS_CNODE_JCT__1321", "BUS_CNODE_JCT__1321")</f>
        <v>BUS_CNODE_JCT__1321</v>
      </c>
      <c r="J74" s="242"/>
      <c r="K74" s="105">
        <v>60</v>
      </c>
      <c r="L74" s="260"/>
      <c r="M74" s="260"/>
      <c r="N74" s="260"/>
      <c r="O74" s="260"/>
      <c r="P74" s="242"/>
      <c r="Q74" s="242"/>
      <c r="R74" s="242"/>
      <c r="S74" s="261" t="s">
        <v>5771</v>
      </c>
      <c r="T74" s="260"/>
      <c r="U74" s="260"/>
      <c r="V74" s="260"/>
      <c r="W74" s="260"/>
      <c r="X74" s="260">
        <f>ROUND(540, 7)</f>
        <v>540</v>
      </c>
      <c r="Y74" s="127">
        <v>0</v>
      </c>
      <c r="Z74" s="127">
        <f>ROUND(0,2)</f>
        <v>0</v>
      </c>
      <c r="AA74" s="127">
        <f>ROUND(75, 1)</f>
        <v>75</v>
      </c>
      <c r="AB74" s="127">
        <f>ROUND(75, 1)</f>
        <v>75</v>
      </c>
      <c r="AC74" s="127">
        <f>ROUND(0.064000003, 3)</f>
        <v>6.4000000000000001E-2</v>
      </c>
      <c r="AD74" s="127">
        <f>ROUND(0.0892999992, 3)</f>
        <v>8.8999999999999996E-2</v>
      </c>
      <c r="AE74" s="127">
        <f>ROUND(0, 5)</f>
        <v>0</v>
      </c>
      <c r="AF74" s="127">
        <f>IF(0 = 0,ROUND(0.10176, 3),"--")</f>
        <v>0.10199999999999999</v>
      </c>
      <c r="AG74" s="262">
        <f>IF(0 = 0,ROUND(0.226822004, 3),"--")</f>
        <v>0.22700000000000001</v>
      </c>
      <c r="AH74" s="127">
        <f>IF(0 = 0,ROUND(0, 5),"--")</f>
        <v>0</v>
      </c>
      <c r="AI74" s="105" t="str">
        <f>IF(0 = 0, "Ohms per", "Ohms")</f>
        <v>Ohms per</v>
      </c>
      <c r="AJ74" s="105">
        <f>IF(0 = 0,1000,"--")</f>
        <v>1000</v>
      </c>
      <c r="AK74" s="105" t="str">
        <f>IF(0 = 0,CHOOSE((0 + 1), "ft", "mile", "m", "km"),"--")</f>
        <v>ft</v>
      </c>
      <c r="AL74" s="60"/>
      <c r="AM74" s="53" t="s">
        <v>5898</v>
      </c>
    </row>
    <row r="75" spans="1:39">
      <c r="A75" s="105" t="s">
        <v>5899</v>
      </c>
      <c r="B75" s="105">
        <v>1</v>
      </c>
      <c r="C75" s="105" t="str">
        <f>IF(TRUE = TRUE, "Yes", "No")</f>
        <v>Yes</v>
      </c>
      <c r="D75" s="105" t="s">
        <v>5202</v>
      </c>
      <c r="E75" s="105"/>
      <c r="F75" s="127" t="str">
        <f>IF(0 = 0, "3", "1")</f>
        <v>3</v>
      </c>
      <c r="G75" s="127" t="str">
        <f>IF(0 = 1, CHOOSE((3-1),  "2", "3"), "--")</f>
        <v>--</v>
      </c>
      <c r="H75" s="105" t="str">
        <f>IF(TRIM("BUS_CNODE_JCT__1334") = "", "BUS_CNODE_JCT__1334", "BUS_CNODE_JCT__1334")</f>
        <v>BUS_CNODE_JCT__1334</v>
      </c>
      <c r="I75" s="105" t="str">
        <f>IF(TRIM("BUS_CNODE_JCT__1332") = "", "BUS_CNODE_JCT__1332", "BUS_CNODE_JCT__1332")</f>
        <v>BUS_CNODE_JCT__1332</v>
      </c>
      <c r="J75" s="242"/>
      <c r="K75" s="105">
        <v>60</v>
      </c>
      <c r="L75" s="260"/>
      <c r="M75" s="260"/>
      <c r="N75" s="260"/>
      <c r="O75" s="260"/>
      <c r="P75" s="242"/>
      <c r="Q75" s="242"/>
      <c r="R75" s="242"/>
      <c r="S75" s="261" t="s">
        <v>5771</v>
      </c>
      <c r="T75" s="260"/>
      <c r="U75" s="260"/>
      <c r="V75" s="260"/>
      <c r="W75" s="260"/>
      <c r="X75" s="260">
        <f>ROUND(217, 7)</f>
        <v>217</v>
      </c>
      <c r="Y75" s="127">
        <v>0</v>
      </c>
      <c r="Z75" s="127">
        <f>ROUND(0,2)</f>
        <v>0</v>
      </c>
      <c r="AA75" s="127">
        <f>ROUND(75, 1)</f>
        <v>75</v>
      </c>
      <c r="AB75" s="127">
        <f>ROUND(75, 1)</f>
        <v>75</v>
      </c>
      <c r="AC75" s="127">
        <f>ROUND(0.064000003, 3)</f>
        <v>6.4000000000000001E-2</v>
      </c>
      <c r="AD75" s="127">
        <f>ROUND(0.0892999992, 3)</f>
        <v>8.8999999999999996E-2</v>
      </c>
      <c r="AE75" s="127">
        <f>ROUND(0, 5)</f>
        <v>0</v>
      </c>
      <c r="AF75" s="127">
        <f>IF(0 = 0,ROUND(0.10176, 3),"--")</f>
        <v>0.10199999999999999</v>
      </c>
      <c r="AG75" s="262">
        <f>IF(0 = 0,ROUND(0.226822004, 3),"--")</f>
        <v>0.22700000000000001</v>
      </c>
      <c r="AH75" s="127">
        <f>IF(0 = 0,ROUND(0, 5),"--")</f>
        <v>0</v>
      </c>
      <c r="AI75" s="105" t="str">
        <f>IF(0 = 0, "Ohms per", "Ohms")</f>
        <v>Ohms per</v>
      </c>
      <c r="AJ75" s="105">
        <f>IF(0 = 0,1000,"--")</f>
        <v>1000</v>
      </c>
      <c r="AK75" s="105" t="str">
        <f>IF(0 = 0,CHOOSE((0 + 1), "ft", "mile", "m", "km"),"--")</f>
        <v>ft</v>
      </c>
      <c r="AL75" s="60"/>
      <c r="AM75" s="53" t="s">
        <v>5900</v>
      </c>
    </row>
    <row r="76" spans="1:39">
      <c r="A76" s="105" t="s">
        <v>5901</v>
      </c>
      <c r="B76" s="105">
        <v>1</v>
      </c>
      <c r="C76" s="105" t="str">
        <f>IF(TRUE = TRUE, "Yes", "No")</f>
        <v>Yes</v>
      </c>
      <c r="D76" s="105" t="s">
        <v>5202</v>
      </c>
      <c r="E76" s="105"/>
      <c r="F76" s="127" t="str">
        <f>IF(0 = 0, "3", "1")</f>
        <v>3</v>
      </c>
      <c r="G76" s="127" t="str">
        <f>IF(0 = 1, CHOOSE((3-1),  "2", "3"), "--")</f>
        <v>--</v>
      </c>
      <c r="H76" s="105" t="str">
        <f>IF(TRIM("BUS_CNODE_JCT__1300") = "", "BUS_CNODE_JCT__1300", "BUS_CNODE_JCT__1300")</f>
        <v>BUS_CNODE_JCT__1300</v>
      </c>
      <c r="I76" s="105" t="str">
        <f>IF(TRIM("BUS_CNODE_JCT__1301") = "", "BUS_CNODE_JCT__1301", "BUS_CNODE_JCT__1301")</f>
        <v>BUS_CNODE_JCT__1301</v>
      </c>
      <c r="J76" s="242"/>
      <c r="K76" s="105">
        <v>60</v>
      </c>
      <c r="L76" s="260"/>
      <c r="M76" s="260"/>
      <c r="N76" s="260"/>
      <c r="O76" s="260"/>
      <c r="P76" s="242"/>
      <c r="Q76" s="242"/>
      <c r="R76" s="242"/>
      <c r="S76" s="261" t="s">
        <v>5771</v>
      </c>
      <c r="T76" s="260"/>
      <c r="U76" s="260"/>
      <c r="V76" s="260"/>
      <c r="W76" s="260"/>
      <c r="X76" s="260">
        <f>ROUND(10, 7)</f>
        <v>10</v>
      </c>
      <c r="Y76" s="127">
        <v>0</v>
      </c>
      <c r="Z76" s="127">
        <f>ROUND(0,2)</f>
        <v>0</v>
      </c>
      <c r="AA76" s="127">
        <f>ROUND(75, 1)</f>
        <v>75</v>
      </c>
      <c r="AB76" s="127">
        <f>ROUND(75, 1)</f>
        <v>75</v>
      </c>
      <c r="AC76" s="127">
        <f>ROUND(0.064000003, 3)</f>
        <v>6.4000000000000001E-2</v>
      </c>
      <c r="AD76" s="127">
        <f>ROUND(0.0892999992, 3)</f>
        <v>8.8999999999999996E-2</v>
      </c>
      <c r="AE76" s="127">
        <f>ROUND(0, 5)</f>
        <v>0</v>
      </c>
      <c r="AF76" s="127">
        <f>IF(0 = 0,ROUND(0.10176, 3),"--")</f>
        <v>0.10199999999999999</v>
      </c>
      <c r="AG76" s="262">
        <f>IF(0 = 0,ROUND(0.226822004, 3),"--")</f>
        <v>0.22700000000000001</v>
      </c>
      <c r="AH76" s="127">
        <f>IF(0 = 0,ROUND(0, 5),"--")</f>
        <v>0</v>
      </c>
      <c r="AI76" s="105" t="str">
        <f>IF(0 = 0, "Ohms per", "Ohms")</f>
        <v>Ohms per</v>
      </c>
      <c r="AJ76" s="105">
        <f>IF(0 = 0,1000,"--")</f>
        <v>1000</v>
      </c>
      <c r="AK76" s="105" t="str">
        <f>IF(0 = 0,CHOOSE((0 + 1), "ft", "mile", "m", "km"),"--")</f>
        <v>ft</v>
      </c>
      <c r="AL76" s="60"/>
      <c r="AM76" s="53" t="s">
        <v>5902</v>
      </c>
    </row>
    <row r="77" spans="1:39">
      <c r="A77" s="105" t="s">
        <v>5903</v>
      </c>
      <c r="B77" s="105">
        <v>1</v>
      </c>
      <c r="C77" s="105" t="str">
        <f>IF(TRUE = TRUE, "Yes", "No")</f>
        <v>Yes</v>
      </c>
      <c r="D77" s="105" t="s">
        <v>5202</v>
      </c>
      <c r="E77" s="105"/>
      <c r="F77" s="127" t="str">
        <f>IF(0 = 0, "3", "1")</f>
        <v>3</v>
      </c>
      <c r="G77" s="127" t="str">
        <f>IF(0 = 1, CHOOSE((3-1),  "2", "3"), "--")</f>
        <v>--</v>
      </c>
      <c r="H77" s="105" t="str">
        <f>IF(TRIM("BUS_CNODE_JCT__1462") = "", "BUS_CNODE_JCT__1462", "BUS_CNODE_JCT__1462")</f>
        <v>BUS_CNODE_JCT__1462</v>
      </c>
      <c r="I77" s="105" t="str">
        <f>IF(TRIM("BUS_CNODE_JCT__1463") = "", "BUS_CNODE_JCT__1463", "BUS_CNODE_JCT__1463")</f>
        <v>BUS_CNODE_JCT__1463</v>
      </c>
      <c r="J77" s="242"/>
      <c r="K77" s="105">
        <v>60</v>
      </c>
      <c r="L77" s="260"/>
      <c r="M77" s="260"/>
      <c r="N77" s="260"/>
      <c r="O77" s="260"/>
      <c r="P77" s="242"/>
      <c r="Q77" s="242"/>
      <c r="R77" s="242"/>
      <c r="S77" s="261" t="s">
        <v>5771</v>
      </c>
      <c r="T77" s="260"/>
      <c r="U77" s="260"/>
      <c r="V77" s="260"/>
      <c r="W77" s="260"/>
      <c r="X77" s="260">
        <f>ROUND(90, 7)</f>
        <v>90</v>
      </c>
      <c r="Y77" s="127">
        <v>0</v>
      </c>
      <c r="Z77" s="127">
        <f>ROUND(0,2)</f>
        <v>0</v>
      </c>
      <c r="AA77" s="127">
        <f>ROUND(75, 1)</f>
        <v>75</v>
      </c>
      <c r="AB77" s="127">
        <f>ROUND(75, 1)</f>
        <v>75</v>
      </c>
      <c r="AC77" s="127">
        <f>ROUND(0.247999996, 3)</f>
        <v>0.248</v>
      </c>
      <c r="AD77" s="127">
        <f>ROUND(0.108999997, 3)</f>
        <v>0.109</v>
      </c>
      <c r="AE77" s="127">
        <f>ROUND(0, 5)</f>
        <v>0</v>
      </c>
      <c r="AF77" s="127">
        <f>IF(0 = 0,ROUND(0.394320011, 3),"--")</f>
        <v>0.39400000000000002</v>
      </c>
      <c r="AG77" s="262">
        <f>IF(0 = 0,ROUND(0.276859999, 3),"--")</f>
        <v>0.27700000000000002</v>
      </c>
      <c r="AH77" s="127">
        <f>IF(0 = 0,ROUND(0, 5),"--")</f>
        <v>0</v>
      </c>
      <c r="AI77" s="105" t="str">
        <f>IF(0 = 0, "Ohms per", "Ohms")</f>
        <v>Ohms per</v>
      </c>
      <c r="AJ77" s="105">
        <f>IF(0 = 0,1000,"--")</f>
        <v>1000</v>
      </c>
      <c r="AK77" s="105" t="str">
        <f>IF(0 = 0,CHOOSE((0 + 1), "ft", "mile", "m", "km"),"--")</f>
        <v>ft</v>
      </c>
      <c r="AL77" s="60"/>
      <c r="AM77" s="53" t="s">
        <v>5904</v>
      </c>
    </row>
    <row r="78" spans="1:39">
      <c r="A78" s="105" t="s">
        <v>5905</v>
      </c>
      <c r="B78" s="105">
        <v>1</v>
      </c>
      <c r="C78" s="105" t="str">
        <f>IF(TRUE = TRUE, "Yes", "No")</f>
        <v>Yes</v>
      </c>
      <c r="D78" s="105" t="s">
        <v>5202</v>
      </c>
      <c r="E78" s="105"/>
      <c r="F78" s="127" t="str">
        <f>IF(0 = 0, "3", "1")</f>
        <v>3</v>
      </c>
      <c r="G78" s="127" t="str">
        <f>IF(0 = 1, CHOOSE((3-1),  "2", "3"), "--")</f>
        <v>--</v>
      </c>
      <c r="H78" s="105" t="str">
        <f>IF(TRIM("BUS_CNODE_JCT__1290") = "", "BUS_CNODE_JCT__1290", "BUS_CNODE_JCT__1290")</f>
        <v>BUS_CNODE_JCT__1290</v>
      </c>
      <c r="I78" s="105" t="str">
        <f>IF(TRIM("BUS_CNODE_JCT__1291") = "", "BUS_CNODE_JCT__1291", "BUS_CNODE_JCT__1291")</f>
        <v>BUS_CNODE_JCT__1291</v>
      </c>
      <c r="J78" s="242"/>
      <c r="K78" s="105">
        <v>60</v>
      </c>
      <c r="L78" s="260"/>
      <c r="M78" s="260"/>
      <c r="N78" s="260"/>
      <c r="O78" s="260"/>
      <c r="P78" s="242"/>
      <c r="Q78" s="242"/>
      <c r="R78" s="242"/>
      <c r="S78" s="261" t="s">
        <v>5771</v>
      </c>
      <c r="T78" s="260"/>
      <c r="U78" s="260"/>
      <c r="V78" s="260"/>
      <c r="W78" s="260"/>
      <c r="X78" s="260">
        <f>ROUND(17, 7)</f>
        <v>17</v>
      </c>
      <c r="Y78" s="127">
        <v>0</v>
      </c>
      <c r="Z78" s="127">
        <f>ROUND(0,2)</f>
        <v>0</v>
      </c>
      <c r="AA78" s="127">
        <f>ROUND(75, 1)</f>
        <v>75</v>
      </c>
      <c r="AB78" s="127">
        <f>ROUND(75, 1)</f>
        <v>75</v>
      </c>
      <c r="AC78" s="127">
        <f>ROUND(0.342999995, 3)</f>
        <v>0.34300000000000003</v>
      </c>
      <c r="AD78" s="127">
        <f>ROUND(0.115000002, 3)</f>
        <v>0.115</v>
      </c>
      <c r="AE78" s="127">
        <f>ROUND(0, 5)</f>
        <v>0</v>
      </c>
      <c r="AF78" s="127">
        <f>IF(0 = 0,ROUND(0.545369983, 3),"--")</f>
        <v>0.54500000000000004</v>
      </c>
      <c r="AG78" s="262">
        <f>IF(0 = 0,ROUND(0.292100012, 3),"--")</f>
        <v>0.29199999999999998</v>
      </c>
      <c r="AH78" s="127">
        <f>IF(0 = 0,ROUND(0, 5),"--")</f>
        <v>0</v>
      </c>
      <c r="AI78" s="105" t="str">
        <f>IF(0 = 0, "Ohms per", "Ohms")</f>
        <v>Ohms per</v>
      </c>
      <c r="AJ78" s="105">
        <f>IF(0 = 0,1000,"--")</f>
        <v>1000</v>
      </c>
      <c r="AK78" s="105" t="str">
        <f>IF(0 = 0,CHOOSE((0 + 1), "ft", "mile", "m", "km"),"--")</f>
        <v>ft</v>
      </c>
      <c r="AL78" s="60"/>
      <c r="AM78" s="53" t="s">
        <v>5906</v>
      </c>
    </row>
    <row r="79" spans="1:39">
      <c r="A79" s="105" t="s">
        <v>5907</v>
      </c>
      <c r="B79" s="105">
        <v>1</v>
      </c>
      <c r="C79" s="105" t="str">
        <f>IF(TRUE = TRUE, "Yes", "No")</f>
        <v>Yes</v>
      </c>
      <c r="D79" s="105" t="s">
        <v>5202</v>
      </c>
      <c r="E79" s="105"/>
      <c r="F79" s="127" t="str">
        <f>IF(0 = 0, "3", "1")</f>
        <v>3</v>
      </c>
      <c r="G79" s="127" t="str">
        <f>IF(0 = 1, CHOOSE((3-1),  "2", "3"), "--")</f>
        <v>--</v>
      </c>
      <c r="H79" s="105" t="str">
        <f>IF(TRIM("BUS_CNODE_JCT__1465") = "", "BUS_CNODE_JCT__1465", "BUS_CNODE_JCT__1465")</f>
        <v>BUS_CNODE_JCT__1465</v>
      </c>
      <c r="I79" s="105" t="str">
        <f>IF(TRIM("BUS_CNODE_JCT__1473") = "", "BUS_CNODE_JCT__1473", "BUS_CNODE_JCT__1473")</f>
        <v>BUS_CNODE_JCT__1473</v>
      </c>
      <c r="J79" s="242"/>
      <c r="K79" s="105">
        <v>60</v>
      </c>
      <c r="L79" s="260"/>
      <c r="M79" s="260"/>
      <c r="N79" s="260"/>
      <c r="O79" s="260"/>
      <c r="P79" s="242"/>
      <c r="Q79" s="242"/>
      <c r="R79" s="242"/>
      <c r="S79" s="261" t="s">
        <v>5771</v>
      </c>
      <c r="T79" s="260"/>
      <c r="U79" s="260"/>
      <c r="V79" s="260"/>
      <c r="W79" s="260"/>
      <c r="X79" s="260">
        <f>ROUND(40, 7)</f>
        <v>40</v>
      </c>
      <c r="Y79" s="127">
        <v>0</v>
      </c>
      <c r="Z79" s="127">
        <f>ROUND(0,2)</f>
        <v>0</v>
      </c>
      <c r="AA79" s="127">
        <f>ROUND(75, 1)</f>
        <v>75</v>
      </c>
      <c r="AB79" s="127">
        <f>ROUND(75, 1)</f>
        <v>75</v>
      </c>
      <c r="AC79" s="127">
        <f>ROUND(0.342999995, 3)</f>
        <v>0.34300000000000003</v>
      </c>
      <c r="AD79" s="127">
        <f>ROUND(0.115000002, 3)</f>
        <v>0.115</v>
      </c>
      <c r="AE79" s="127">
        <f>ROUND(0, 5)</f>
        <v>0</v>
      </c>
      <c r="AF79" s="127">
        <f>IF(0 = 0,ROUND(0.545369983, 3),"--")</f>
        <v>0.54500000000000004</v>
      </c>
      <c r="AG79" s="262">
        <f>IF(0 = 0,ROUND(0.292100012, 3),"--")</f>
        <v>0.29199999999999998</v>
      </c>
      <c r="AH79" s="127">
        <f>IF(0 = 0,ROUND(0, 5),"--")</f>
        <v>0</v>
      </c>
      <c r="AI79" s="105" t="str">
        <f>IF(0 = 0, "Ohms per", "Ohms")</f>
        <v>Ohms per</v>
      </c>
      <c r="AJ79" s="105">
        <f>IF(0 = 0,1000,"--")</f>
        <v>1000</v>
      </c>
      <c r="AK79" s="105" t="str">
        <f>IF(0 = 0,CHOOSE((0 + 1), "ft", "mile", "m", "km"),"--")</f>
        <v>ft</v>
      </c>
      <c r="AL79" s="60"/>
      <c r="AM79" s="53" t="s">
        <v>5908</v>
      </c>
    </row>
    <row r="80" spans="1:39">
      <c r="A80" s="247"/>
      <c r="AM80" s="249"/>
    </row>
    <row r="81" spans="1:39">
      <c r="A81" s="247"/>
      <c r="AM81" s="249"/>
    </row>
    <row r="82" spans="1:39">
      <c r="A82" s="247"/>
      <c r="AM82" s="249"/>
    </row>
    <row r="83" spans="1:39">
      <c r="A83" s="247"/>
      <c r="AM83" s="249"/>
    </row>
    <row r="84" spans="1:39">
      <c r="A84" s="247"/>
      <c r="AM84" s="249"/>
    </row>
    <row r="85" spans="1:39">
      <c r="A85" s="247"/>
      <c r="AM85" s="249"/>
    </row>
    <row r="86" spans="1:39">
      <c r="A86" s="247"/>
      <c r="AM86" s="249"/>
    </row>
    <row r="87" spans="1:39">
      <c r="A87" s="247"/>
      <c r="AM87" s="249"/>
    </row>
    <row r="88" spans="1:39">
      <c r="A88" s="247"/>
      <c r="AM88" s="249"/>
    </row>
    <row r="89" spans="1:39">
      <c r="A89" s="247"/>
      <c r="AM89" s="249"/>
    </row>
    <row r="90" spans="1:39">
      <c r="A90" s="247"/>
      <c r="AM90" s="249"/>
    </row>
    <row r="91" spans="1:39">
      <c r="A91" s="247"/>
      <c r="AM91" s="249"/>
    </row>
    <row r="92" spans="1:39">
      <c r="A92" s="247"/>
      <c r="AM92" s="249"/>
    </row>
    <row r="93" spans="1:39">
      <c r="A93" s="247"/>
      <c r="AM93" s="249"/>
    </row>
    <row r="94" spans="1:39">
      <c r="A94" s="247"/>
      <c r="AM94" s="249"/>
    </row>
    <row r="95" spans="1:39">
      <c r="A95" s="247"/>
      <c r="AM95" s="249"/>
    </row>
    <row r="96" spans="1:39">
      <c r="A96" s="247"/>
      <c r="AM96" s="249"/>
    </row>
    <row r="97" spans="1:39">
      <c r="A97" s="247"/>
      <c r="AM97" s="249"/>
    </row>
    <row r="98" spans="1:39">
      <c r="A98" s="247"/>
      <c r="AM98" s="249"/>
    </row>
    <row r="99" spans="1:39">
      <c r="A99" s="247"/>
      <c r="AM99" s="249"/>
    </row>
    <row r="100" spans="1:39">
      <c r="A100" s="247"/>
      <c r="AM100" s="249"/>
    </row>
    <row r="101" spans="1:39">
      <c r="A101" s="247"/>
      <c r="AM101" s="249"/>
    </row>
    <row r="102" spans="1:39">
      <c r="A102" s="247"/>
      <c r="AM102" s="249"/>
    </row>
    <row r="103" spans="1:39">
      <c r="A103" s="247"/>
      <c r="AM103" s="249"/>
    </row>
    <row r="104" spans="1:39">
      <c r="A104" s="247"/>
      <c r="AM104" s="249"/>
    </row>
    <row r="105" spans="1:39">
      <c r="A105" s="247"/>
      <c r="AM105" s="249"/>
    </row>
    <row r="106" spans="1:39">
      <c r="A106" s="247"/>
      <c r="AM106" s="249"/>
    </row>
    <row r="107" spans="1:39">
      <c r="A107" s="247"/>
      <c r="AM107" s="249"/>
    </row>
    <row r="108" spans="1:39">
      <c r="A108" s="247"/>
      <c r="AM108" s="249"/>
    </row>
    <row r="109" spans="1:39">
      <c r="A109" s="247"/>
      <c r="AM109" s="249"/>
    </row>
    <row r="110" spans="1:39">
      <c r="A110" s="247"/>
      <c r="AM110" s="249"/>
    </row>
    <row r="111" spans="1:39">
      <c r="A111" s="247"/>
      <c r="AM111" s="249"/>
    </row>
    <row r="112" spans="1:39">
      <c r="A112" s="247"/>
      <c r="AM112" s="249"/>
    </row>
    <row r="113" spans="1:39">
      <c r="A113" s="247"/>
      <c r="AM113" s="249"/>
    </row>
    <row r="114" spans="1:39">
      <c r="A114" s="247"/>
      <c r="AM114" s="249"/>
    </row>
    <row r="115" spans="1:39">
      <c r="A115" s="247"/>
      <c r="AM115" s="249"/>
    </row>
    <row r="116" spans="1:39">
      <c r="A116" s="247"/>
      <c r="AM116" s="249"/>
    </row>
    <row r="117" spans="1:39">
      <c r="A117" s="247"/>
      <c r="AM117" s="249"/>
    </row>
    <row r="118" spans="1:39">
      <c r="A118" s="247"/>
      <c r="AM118" s="249"/>
    </row>
    <row r="119" spans="1:39">
      <c r="A119" s="247"/>
      <c r="AM119" s="249"/>
    </row>
    <row r="120" spans="1:39">
      <c r="A120" s="247"/>
      <c r="AM120" s="249"/>
    </row>
    <row r="121" spans="1:39">
      <c r="A121" s="247"/>
      <c r="AM121" s="249"/>
    </row>
    <row r="122" spans="1:39">
      <c r="A122" s="247"/>
      <c r="AM122" s="249"/>
    </row>
    <row r="123" spans="1:39">
      <c r="A123" s="247"/>
      <c r="AM123" s="249"/>
    </row>
    <row r="124" spans="1:39">
      <c r="A124" s="247"/>
      <c r="AM124" s="249"/>
    </row>
    <row r="125" spans="1:39">
      <c r="A125" s="247"/>
      <c r="AM125" s="249"/>
    </row>
    <row r="126" spans="1:39">
      <c r="A126" s="247"/>
      <c r="AM126" s="249"/>
    </row>
    <row r="127" spans="1:39">
      <c r="A127" s="247"/>
      <c r="AM127" s="249"/>
    </row>
    <row r="128" spans="1:39">
      <c r="A128" s="247"/>
      <c r="AM128" s="249"/>
    </row>
    <row r="129" spans="1:39">
      <c r="A129" s="247"/>
      <c r="AM129" s="249"/>
    </row>
    <row r="130" spans="1:39">
      <c r="A130" s="247"/>
      <c r="AM130" s="249"/>
    </row>
    <row r="131" spans="1:39">
      <c r="A131" s="247"/>
      <c r="AM131" s="249"/>
    </row>
    <row r="132" spans="1:39">
      <c r="A132" s="247"/>
      <c r="AM132" s="249"/>
    </row>
    <row r="133" spans="1:39">
      <c r="A133" s="247"/>
      <c r="AM133" s="249"/>
    </row>
    <row r="134" spans="1:39">
      <c r="A134" s="247"/>
      <c r="AM134" s="249"/>
    </row>
    <row r="135" spans="1:39">
      <c r="A135" s="247"/>
      <c r="AM135" s="249"/>
    </row>
    <row r="136" spans="1:39">
      <c r="A136" s="247"/>
      <c r="AM136" s="249"/>
    </row>
    <row r="137" spans="1:39">
      <c r="A137" s="247"/>
      <c r="AM137" s="249"/>
    </row>
    <row r="138" spans="1:39">
      <c r="A138" s="247"/>
      <c r="AM138" s="249"/>
    </row>
    <row r="139" spans="1:39">
      <c r="A139" s="247"/>
      <c r="AM139" s="249"/>
    </row>
    <row r="140" spans="1:39">
      <c r="A140" s="247"/>
      <c r="AM140" s="249"/>
    </row>
    <row r="141" spans="1:39">
      <c r="A141" s="247"/>
      <c r="AM141" s="249"/>
    </row>
    <row r="142" spans="1:39">
      <c r="A142" s="247"/>
      <c r="AM142" s="249"/>
    </row>
    <row r="143" spans="1:39">
      <c r="A143" s="247"/>
      <c r="AM143" s="249"/>
    </row>
    <row r="144" spans="1:39">
      <c r="A144" s="247"/>
      <c r="AM144" s="249"/>
    </row>
    <row r="145" spans="1:39">
      <c r="A145" s="247"/>
      <c r="AM145" s="249"/>
    </row>
    <row r="146" spans="1:39">
      <c r="A146" s="247"/>
      <c r="AM146" s="249"/>
    </row>
    <row r="147" spans="1:39">
      <c r="A147" s="247"/>
      <c r="AM147" s="249"/>
    </row>
    <row r="148" spans="1:39">
      <c r="A148" s="247"/>
      <c r="AM148" s="249"/>
    </row>
    <row r="149" spans="1:39">
      <c r="A149" s="247"/>
      <c r="AM149" s="249"/>
    </row>
    <row r="150" spans="1:39">
      <c r="A150" s="247"/>
      <c r="AM150" s="249"/>
    </row>
    <row r="151" spans="1:39">
      <c r="A151" s="247"/>
      <c r="AM151" s="249"/>
    </row>
    <row r="152" spans="1:39">
      <c r="A152" s="247"/>
      <c r="AM152" s="249"/>
    </row>
    <row r="153" spans="1:39">
      <c r="A153" s="247"/>
      <c r="AM153" s="249"/>
    </row>
    <row r="154" spans="1:39">
      <c r="A154" s="247"/>
      <c r="AM154" s="249"/>
    </row>
    <row r="155" spans="1:39">
      <c r="A155" s="247"/>
      <c r="AM155" s="249"/>
    </row>
    <row r="156" spans="1:39">
      <c r="A156" s="247"/>
      <c r="AM156" s="249"/>
    </row>
    <row r="157" spans="1:39">
      <c r="A157" s="247"/>
      <c r="AM157" s="249"/>
    </row>
    <row r="158" spans="1:39">
      <c r="A158" s="247"/>
      <c r="AM158" s="249"/>
    </row>
    <row r="159" spans="1:39">
      <c r="A159" s="247"/>
      <c r="AM159" s="249"/>
    </row>
    <row r="160" spans="1:39">
      <c r="A160" s="247"/>
      <c r="AM160" s="249"/>
    </row>
    <row r="161" spans="1:39">
      <c r="A161" s="247"/>
      <c r="AM161" s="249"/>
    </row>
    <row r="162" spans="1:39">
      <c r="A162" s="247"/>
      <c r="AM162" s="249"/>
    </row>
    <row r="163" spans="1:39">
      <c r="A163" s="247"/>
      <c r="AM163" s="249"/>
    </row>
    <row r="164" spans="1:39">
      <c r="A164" s="247"/>
      <c r="AM164" s="249"/>
    </row>
    <row r="165" spans="1:39">
      <c r="A165" s="247"/>
      <c r="AM165" s="249"/>
    </row>
    <row r="166" spans="1:39">
      <c r="A166" s="247"/>
      <c r="AM166" s="249"/>
    </row>
    <row r="167" spans="1:39">
      <c r="A167" s="247"/>
      <c r="AM167" s="249"/>
    </row>
    <row r="168" spans="1:39">
      <c r="A168" s="247"/>
      <c r="AM168" s="249"/>
    </row>
    <row r="169" spans="1:39">
      <c r="A169" s="247"/>
      <c r="AM169" s="249"/>
    </row>
    <row r="170" spans="1:39">
      <c r="A170" s="247"/>
      <c r="AM170" s="249"/>
    </row>
    <row r="171" spans="1:39">
      <c r="A171" s="247"/>
      <c r="AM171" s="249"/>
    </row>
    <row r="172" spans="1:39">
      <c r="A172" s="247"/>
      <c r="AM172" s="249"/>
    </row>
    <row r="173" spans="1:39">
      <c r="A173" s="247"/>
      <c r="AM173" s="249"/>
    </row>
    <row r="174" spans="1:39">
      <c r="A174" s="247"/>
      <c r="AM174" s="249"/>
    </row>
    <row r="175" spans="1:39">
      <c r="A175" s="247"/>
      <c r="AM175" s="249"/>
    </row>
    <row r="176" spans="1:39">
      <c r="A176" s="247"/>
      <c r="AM176" s="249"/>
    </row>
    <row r="177" spans="1:39">
      <c r="A177" s="247"/>
      <c r="AM177" s="249"/>
    </row>
    <row r="178" spans="1:39">
      <c r="A178" s="247"/>
      <c r="AM178" s="249"/>
    </row>
    <row r="179" spans="1:39">
      <c r="A179" s="247"/>
      <c r="AM179" s="249"/>
    </row>
    <row r="180" spans="1:39">
      <c r="A180" s="247"/>
      <c r="AM180" s="249"/>
    </row>
    <row r="181" spans="1:39">
      <c r="A181" s="247"/>
      <c r="AM181" s="249"/>
    </row>
    <row r="182" spans="1:39">
      <c r="A182" s="247"/>
      <c r="AM182" s="249"/>
    </row>
    <row r="183" spans="1:39">
      <c r="A183" s="247"/>
      <c r="AM183" s="249"/>
    </row>
    <row r="184" spans="1:39">
      <c r="A184" s="247"/>
      <c r="AM184" s="249"/>
    </row>
    <row r="185" spans="1:39">
      <c r="A185" s="247"/>
      <c r="AM185" s="249"/>
    </row>
    <row r="186" spans="1:39">
      <c r="A186" s="247"/>
      <c r="AM186" s="249"/>
    </row>
    <row r="187" spans="1:39">
      <c r="A187" s="247"/>
      <c r="AM187" s="249"/>
    </row>
    <row r="188" spans="1:39">
      <c r="A188" s="247"/>
      <c r="AM188" s="249"/>
    </row>
    <row r="189" spans="1:39">
      <c r="A189" s="247"/>
      <c r="AM189" s="249"/>
    </row>
    <row r="190" spans="1:39">
      <c r="A190" s="247"/>
      <c r="AM190" s="249"/>
    </row>
    <row r="191" spans="1:39">
      <c r="A191" s="247"/>
      <c r="AM191" s="249"/>
    </row>
    <row r="192" spans="1:39">
      <c r="A192" s="247"/>
      <c r="AM192" s="249"/>
    </row>
    <row r="193" spans="1:39">
      <c r="A193" s="247"/>
      <c r="AM193" s="249"/>
    </row>
    <row r="194" spans="1:39">
      <c r="A194" s="247"/>
      <c r="AM194" s="249"/>
    </row>
    <row r="195" spans="1:39">
      <c r="A195" s="247"/>
      <c r="AM195" s="249"/>
    </row>
    <row r="196" spans="1:39">
      <c r="A196" s="247"/>
      <c r="AM196" s="249"/>
    </row>
    <row r="197" spans="1:39">
      <c r="A197" s="247"/>
      <c r="AM197" s="249"/>
    </row>
    <row r="198" spans="1:39">
      <c r="A198" s="247"/>
      <c r="AM198" s="249"/>
    </row>
    <row r="199" spans="1:39">
      <c r="A199" s="247"/>
      <c r="AM199" s="249"/>
    </row>
    <row r="200" spans="1:39">
      <c r="A200" s="247"/>
      <c r="AM200" s="249"/>
    </row>
    <row r="201" spans="1:39">
      <c r="A201" s="247"/>
      <c r="AM201" s="249"/>
    </row>
    <row r="202" spans="1:39">
      <c r="A202" s="247"/>
      <c r="AM202" s="249"/>
    </row>
    <row r="203" spans="1:39">
      <c r="A203" s="247"/>
      <c r="AM203" s="249"/>
    </row>
    <row r="204" spans="1:39">
      <c r="A204" s="247"/>
      <c r="AM204" s="249"/>
    </row>
    <row r="205" spans="1:39">
      <c r="A205" s="247"/>
      <c r="AM205" s="249"/>
    </row>
    <row r="206" spans="1:39">
      <c r="A206" s="247"/>
      <c r="AM206" s="249"/>
    </row>
    <row r="207" spans="1:39">
      <c r="A207" s="247"/>
      <c r="AM207" s="249"/>
    </row>
    <row r="208" spans="1:39">
      <c r="A208" s="247"/>
      <c r="AM208" s="249"/>
    </row>
    <row r="209" spans="1:39">
      <c r="A209" s="247"/>
      <c r="AM209" s="249"/>
    </row>
    <row r="210" spans="1:39">
      <c r="A210" s="247"/>
      <c r="AM210" s="249"/>
    </row>
    <row r="211" spans="1:39">
      <c r="A211" s="247"/>
      <c r="AM211" s="249"/>
    </row>
    <row r="212" spans="1:39">
      <c r="A212" s="247"/>
      <c r="AM212" s="249"/>
    </row>
    <row r="213" spans="1:39">
      <c r="A213" s="247"/>
      <c r="AM213" s="249"/>
    </row>
    <row r="214" spans="1:39">
      <c r="A214" s="247"/>
      <c r="AM214" s="249"/>
    </row>
    <row r="215" spans="1:39">
      <c r="A215" s="247"/>
      <c r="AM215" s="249"/>
    </row>
    <row r="216" spans="1:39">
      <c r="A216" s="247"/>
      <c r="AM216" s="249"/>
    </row>
    <row r="217" spans="1:39">
      <c r="A217" s="247"/>
      <c r="AM217" s="249"/>
    </row>
    <row r="218" spans="1:39">
      <c r="A218" s="247"/>
      <c r="AM218" s="249"/>
    </row>
    <row r="219" spans="1:39">
      <c r="A219" s="247"/>
      <c r="AM219" s="249"/>
    </row>
    <row r="220" spans="1:39">
      <c r="A220" s="247"/>
      <c r="AM220" s="249"/>
    </row>
    <row r="221" spans="1:39">
      <c r="A221" s="247"/>
      <c r="AM221" s="249"/>
    </row>
    <row r="222" spans="1:39">
      <c r="A222" s="247"/>
      <c r="AM222" s="249"/>
    </row>
    <row r="223" spans="1:39">
      <c r="A223" s="247"/>
      <c r="AM223" s="249"/>
    </row>
    <row r="224" spans="1:39">
      <c r="A224" s="247"/>
      <c r="AM224" s="249"/>
    </row>
    <row r="225" spans="1:39">
      <c r="A225" s="247"/>
      <c r="AM225" s="249"/>
    </row>
    <row r="226" spans="1:39">
      <c r="A226" s="247"/>
      <c r="AM226" s="249"/>
    </row>
    <row r="227" spans="1:39">
      <c r="A227" s="247"/>
      <c r="AM227" s="249"/>
    </row>
    <row r="228" spans="1:39">
      <c r="A228" s="247"/>
      <c r="AM228" s="249"/>
    </row>
    <row r="229" spans="1:39">
      <c r="A229" s="247"/>
      <c r="AM229" s="249"/>
    </row>
    <row r="230" spans="1:39">
      <c r="A230" s="247"/>
      <c r="AM230" s="249"/>
    </row>
    <row r="231" spans="1:39">
      <c r="A231" s="247"/>
      <c r="AM231" s="249"/>
    </row>
    <row r="232" spans="1:39">
      <c r="A232" s="247"/>
      <c r="AM232" s="249"/>
    </row>
    <row r="233" spans="1:39">
      <c r="A233" s="247"/>
      <c r="AM233" s="249"/>
    </row>
    <row r="234" spans="1:39">
      <c r="A234" s="247"/>
      <c r="AM234" s="249"/>
    </row>
    <row r="235" spans="1:39">
      <c r="A235" s="247"/>
      <c r="AM235" s="249"/>
    </row>
    <row r="236" spans="1:39">
      <c r="A236" s="247"/>
      <c r="AM236" s="249"/>
    </row>
    <row r="237" spans="1:39">
      <c r="A237" s="247"/>
      <c r="AM237" s="249"/>
    </row>
    <row r="238" spans="1:39">
      <c r="A238" s="247"/>
      <c r="AM238" s="249"/>
    </row>
    <row r="239" spans="1:39">
      <c r="A239" s="247"/>
      <c r="AM239" s="249"/>
    </row>
    <row r="240" spans="1:39">
      <c r="A240" s="247"/>
      <c r="AM240" s="249"/>
    </row>
    <row r="241" spans="1:39">
      <c r="A241" s="247"/>
      <c r="AM241" s="249"/>
    </row>
    <row r="242" spans="1:39">
      <c r="A242" s="247"/>
      <c r="AM242" s="249"/>
    </row>
    <row r="243" spans="1:39">
      <c r="A243" s="247"/>
      <c r="AM243" s="249"/>
    </row>
    <row r="244" spans="1:39">
      <c r="A244" s="247"/>
      <c r="AM244" s="249"/>
    </row>
    <row r="245" spans="1:39">
      <c r="A245" s="247"/>
      <c r="AM245" s="249"/>
    </row>
    <row r="246" spans="1:39">
      <c r="A246" s="247"/>
      <c r="AM246" s="249"/>
    </row>
    <row r="247" spans="1:39">
      <c r="A247" s="247"/>
      <c r="AM247" s="249"/>
    </row>
    <row r="248" spans="1:39">
      <c r="A248" s="247"/>
      <c r="AM248" s="249"/>
    </row>
    <row r="249" spans="1:39">
      <c r="A249" s="247"/>
      <c r="AM249" s="249"/>
    </row>
    <row r="250" spans="1:39">
      <c r="A250" s="247"/>
      <c r="AM250" s="249"/>
    </row>
    <row r="251" spans="1:39">
      <c r="A251" s="247"/>
      <c r="AM251" s="249"/>
    </row>
    <row r="252" spans="1:39">
      <c r="A252" s="247"/>
      <c r="AM252" s="249"/>
    </row>
    <row r="253" spans="1:39">
      <c r="A253" s="247"/>
      <c r="AM253" s="249"/>
    </row>
    <row r="254" spans="1:39">
      <c r="A254" s="247"/>
      <c r="AM254" s="249"/>
    </row>
    <row r="255" spans="1:39">
      <c r="A255" s="247"/>
      <c r="AM255" s="249"/>
    </row>
    <row r="256" spans="1:39">
      <c r="A256" s="247"/>
      <c r="AM256" s="249"/>
    </row>
    <row r="257" spans="1:39">
      <c r="A257" s="247"/>
      <c r="AM257" s="249"/>
    </row>
    <row r="258" spans="1:39">
      <c r="A258" s="247"/>
      <c r="AM258" s="249"/>
    </row>
    <row r="259" spans="1:39">
      <c r="A259" s="247"/>
      <c r="AM259" s="249"/>
    </row>
    <row r="260" spans="1:39">
      <c r="A260" s="247"/>
      <c r="AM260" s="249"/>
    </row>
    <row r="261" spans="1:39">
      <c r="A261" s="247"/>
      <c r="AM261" s="249"/>
    </row>
    <row r="262" spans="1:39">
      <c r="A262" s="247"/>
      <c r="AM262" s="249"/>
    </row>
    <row r="263" spans="1:39">
      <c r="A263" s="247"/>
      <c r="AM263" s="249"/>
    </row>
    <row r="264" spans="1:39">
      <c r="A264" s="247"/>
      <c r="AM264" s="249"/>
    </row>
    <row r="265" spans="1:39">
      <c r="A265" s="247"/>
      <c r="AM265" s="249"/>
    </row>
    <row r="266" spans="1:39">
      <c r="A266" s="247"/>
      <c r="AM266" s="249"/>
    </row>
    <row r="267" spans="1:39">
      <c r="A267" s="247"/>
      <c r="AM267" s="249"/>
    </row>
    <row r="268" spans="1:39">
      <c r="A268" s="247"/>
      <c r="AM268" s="249"/>
    </row>
    <row r="269" spans="1:39">
      <c r="A269" s="247"/>
      <c r="AM269" s="249"/>
    </row>
    <row r="270" spans="1:39">
      <c r="A270" s="247"/>
      <c r="AM270" s="249"/>
    </row>
    <row r="271" spans="1:39">
      <c r="A271" s="247"/>
      <c r="AM271" s="249"/>
    </row>
    <row r="272" spans="1:39">
      <c r="A272" s="247"/>
      <c r="AM272" s="249"/>
    </row>
    <row r="273" spans="1:39">
      <c r="A273" s="247"/>
      <c r="AM273" s="249"/>
    </row>
    <row r="274" spans="1:39">
      <c r="A274" s="247"/>
      <c r="AM274" s="249"/>
    </row>
    <row r="275" spans="1:39">
      <c r="A275" s="247"/>
      <c r="AM275" s="249"/>
    </row>
    <row r="276" spans="1:39">
      <c r="A276" s="247"/>
      <c r="AM276" s="249"/>
    </row>
    <row r="277" spans="1:39">
      <c r="A277" s="247"/>
      <c r="AM277" s="249"/>
    </row>
    <row r="278" spans="1:39">
      <c r="A278" s="247"/>
      <c r="AM278" s="249"/>
    </row>
    <row r="279" spans="1:39">
      <c r="A279" s="247"/>
      <c r="AM279" s="249"/>
    </row>
    <row r="280" spans="1:39">
      <c r="A280" s="247"/>
      <c r="AM280" s="249"/>
    </row>
    <row r="281" spans="1:39">
      <c r="A281" s="247"/>
      <c r="AM281" s="249"/>
    </row>
    <row r="282" spans="1:39">
      <c r="A282" s="247"/>
      <c r="AM282" s="249"/>
    </row>
    <row r="283" spans="1:39">
      <c r="A283" s="247"/>
      <c r="AM283" s="249"/>
    </row>
    <row r="284" spans="1:39">
      <c r="A284" s="247"/>
      <c r="AM284" s="249"/>
    </row>
    <row r="285" spans="1:39">
      <c r="A285" s="247"/>
      <c r="AM285" s="249"/>
    </row>
    <row r="286" spans="1:39">
      <c r="A286" s="247"/>
      <c r="AM286" s="249"/>
    </row>
    <row r="287" spans="1:39">
      <c r="A287" s="247"/>
      <c r="AM287" s="249"/>
    </row>
    <row r="288" spans="1:39">
      <c r="A288" s="247"/>
      <c r="AM288" s="249"/>
    </row>
    <row r="289" spans="1:39">
      <c r="A289" s="247"/>
      <c r="AM289" s="249"/>
    </row>
    <row r="290" spans="1:39">
      <c r="A290" s="247"/>
      <c r="AM290" s="249"/>
    </row>
    <row r="291" spans="1:39">
      <c r="A291" s="247"/>
      <c r="AM291" s="249"/>
    </row>
    <row r="292" spans="1:39">
      <c r="A292" s="247"/>
      <c r="AM292" s="249"/>
    </row>
    <row r="293" spans="1:39">
      <c r="A293" s="247"/>
      <c r="AM293" s="249"/>
    </row>
    <row r="294" spans="1:39">
      <c r="A294" s="247"/>
      <c r="AM294" s="249"/>
    </row>
    <row r="295" spans="1:39">
      <c r="A295" s="247"/>
      <c r="AM295" s="249"/>
    </row>
    <row r="296" spans="1:39">
      <c r="A296" s="247"/>
      <c r="AM296" s="249"/>
    </row>
    <row r="297" spans="1:39">
      <c r="A297" s="247"/>
      <c r="AM297" s="249"/>
    </row>
    <row r="298" spans="1:39">
      <c r="A298" s="247"/>
      <c r="AM298" s="249"/>
    </row>
    <row r="299" spans="1:39">
      <c r="A299" s="248"/>
      <c r="AM299" s="249"/>
    </row>
    <row r="300" spans="1:39">
      <c r="A300" s="248"/>
      <c r="AM300" s="249"/>
    </row>
    <row r="301" spans="1:39">
      <c r="A301" s="248"/>
      <c r="AM301" s="249"/>
    </row>
    <row r="302" spans="1:39">
      <c r="A302" s="248"/>
      <c r="AM302" s="249"/>
    </row>
    <row r="303" spans="1:39">
      <c r="A303" s="248"/>
      <c r="AM303" s="249"/>
    </row>
    <row r="304" spans="1:39">
      <c r="A304" s="248"/>
      <c r="AM304" s="249"/>
    </row>
  </sheetData>
  <sheetProtection sheet="1" objects="1" scenarios="1"/>
  <protectedRanges>
    <protectedRange sqref="AM7:AM10" name="Range1_1"/>
  </protectedRanges>
  <mergeCells count="53">
    <mergeCell ref="AW7:AX7"/>
    <mergeCell ref="AW8:AX8"/>
    <mergeCell ref="AQ7:AR7"/>
    <mergeCell ref="AS7:AT7"/>
    <mergeCell ref="AU7:AV7"/>
    <mergeCell ref="AQ8:AR8"/>
    <mergeCell ref="AS8:AT8"/>
    <mergeCell ref="AU8:AV8"/>
    <mergeCell ref="AM7:AM9"/>
    <mergeCell ref="A5:N5"/>
    <mergeCell ref="C3:I3"/>
    <mergeCell ref="C4:I4"/>
    <mergeCell ref="M1:N4"/>
    <mergeCell ref="K3:L3"/>
    <mergeCell ref="K4:L4"/>
    <mergeCell ref="C1:L1"/>
    <mergeCell ref="C2:L2"/>
    <mergeCell ref="B7:B9"/>
    <mergeCell ref="P7:P9"/>
    <mergeCell ref="Q7:Q9"/>
    <mergeCell ref="R7:R9"/>
    <mergeCell ref="C7:C9"/>
    <mergeCell ref="E7:E9"/>
    <mergeCell ref="H7:H9"/>
    <mergeCell ref="J7:J9"/>
    <mergeCell ref="K7:K9"/>
    <mergeCell ref="D7:D9"/>
    <mergeCell ref="A7:A9"/>
    <mergeCell ref="I7:I9"/>
    <mergeCell ref="L7:L9"/>
    <mergeCell ref="M7:M9"/>
    <mergeCell ref="N7:N9"/>
    <mergeCell ref="O7:O9"/>
    <mergeCell ref="F7:F9"/>
    <mergeCell ref="G7:G9"/>
    <mergeCell ref="Y7:Y9"/>
    <mergeCell ref="S7:S9"/>
    <mergeCell ref="Z7:Z9"/>
    <mergeCell ref="V7:V9"/>
    <mergeCell ref="X7:X9"/>
    <mergeCell ref="T7:T9"/>
    <mergeCell ref="U7:U9"/>
    <mergeCell ref="W7:W9"/>
    <mergeCell ref="AL7:AL9"/>
    <mergeCell ref="AA7:AB7"/>
    <mergeCell ref="AA8:AA9"/>
    <mergeCell ref="AB8:AB9"/>
    <mergeCell ref="AC8:AE8"/>
    <mergeCell ref="AC7:AH7"/>
    <mergeCell ref="AF8:AH8"/>
    <mergeCell ref="AI7:AK7"/>
    <mergeCell ref="AI8:AI9"/>
    <mergeCell ref="AJ8:AK8"/>
  </mergeCells>
  <phoneticPr fontId="2" type="noConversion"/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O325"/>
  <sheetViews>
    <sheetView workbookViewId="0">
      <pane xSplit="1" ySplit="9" topLeftCell="AP10" activePane="bottomRight" state="frozen"/>
      <selection pane="topRight" activeCell="B1" sqref="B1"/>
      <selection pane="bottomLeft" activeCell="A10" sqref="A10"/>
      <selection pane="bottomRight" activeCell="A11" sqref="A11:BD69"/>
    </sheetView>
  </sheetViews>
  <sheetFormatPr defaultColWidth="9.1796875" defaultRowHeight="12.5"/>
  <cols>
    <col min="1" max="1" width="20" style="57" customWidth="1"/>
    <col min="2" max="2" width="12.26953125" style="57" customWidth="1"/>
    <col min="3" max="3" width="7.453125" style="57" customWidth="1"/>
    <col min="4" max="4" width="10.26953125" style="57" customWidth="1"/>
    <col min="5" max="5" width="18" style="57" customWidth="1"/>
    <col min="6" max="6" width="14.26953125" style="57" customWidth="1"/>
    <col min="7" max="7" width="7.453125" style="57" customWidth="1"/>
    <col min="8" max="8" width="25.1796875" style="57" customWidth="1"/>
    <col min="9" max="9" width="11.26953125" style="57" customWidth="1"/>
    <col min="10" max="10" width="11.81640625" style="57" customWidth="1"/>
    <col min="11" max="11" width="17.81640625" style="57" customWidth="1"/>
    <col min="12" max="12" width="11" style="57" customWidth="1"/>
    <col min="13" max="14" width="10.7265625" style="57" customWidth="1"/>
    <col min="15" max="15" width="12.7265625" style="57" customWidth="1"/>
    <col min="16" max="16" width="18.54296875" style="57" customWidth="1"/>
    <col min="17" max="17" width="13.81640625" style="57" customWidth="1"/>
    <col min="18" max="18" width="11.81640625" style="57" customWidth="1"/>
    <col min="19" max="19" width="12" style="57" customWidth="1"/>
    <col min="20" max="20" width="10.26953125" style="57" customWidth="1"/>
    <col min="21" max="21" width="12.453125" style="57" customWidth="1"/>
    <col min="22" max="22" width="17.7265625" style="57" customWidth="1"/>
    <col min="23" max="23" width="10" style="57" customWidth="1"/>
    <col min="24" max="24" width="12.7265625" style="57" customWidth="1"/>
    <col min="25" max="25" width="8.26953125" style="57" customWidth="1"/>
    <col min="26" max="26" width="11.54296875" style="57" customWidth="1"/>
    <col min="27" max="27" width="11.26953125" style="57" customWidth="1"/>
    <col min="28" max="28" width="10.1796875" style="57" customWidth="1"/>
    <col min="29" max="29" width="12.7265625" style="57" customWidth="1"/>
    <col min="30" max="30" width="9" style="57" customWidth="1"/>
    <col min="31" max="31" width="10" style="57" customWidth="1"/>
    <col min="32" max="32" width="13.1796875" style="57" bestFit="1" customWidth="1"/>
    <col min="33" max="33" width="12.81640625" style="57" bestFit="1" customWidth="1"/>
    <col min="34" max="34" width="10.1796875" style="57" customWidth="1"/>
    <col min="35" max="35" width="12.81640625" style="57" bestFit="1" customWidth="1"/>
    <col min="36" max="36" width="17.81640625" style="57" customWidth="1"/>
    <col min="37" max="37" width="12.81640625" style="57" bestFit="1" customWidth="1"/>
    <col min="38" max="38" width="12.81640625" style="57" customWidth="1"/>
    <col min="39" max="39" width="13.1796875" style="57" bestFit="1" customWidth="1"/>
    <col min="40" max="40" width="12.81640625" style="57" bestFit="1" customWidth="1"/>
    <col min="41" max="41" width="13.1796875" style="57" bestFit="1" customWidth="1"/>
    <col min="42" max="42" width="12.81640625" style="57" bestFit="1" customWidth="1"/>
    <col min="43" max="54" width="9.1796875" style="57"/>
    <col min="55" max="55" width="11.1796875" style="57" customWidth="1"/>
    <col min="56" max="56" width="36.453125" style="57" customWidth="1"/>
    <col min="57" max="57" width="9.1796875" style="57"/>
    <col min="58" max="58" width="16" style="57" customWidth="1"/>
    <col min="59" max="59" width="15.54296875" style="57" customWidth="1"/>
    <col min="60" max="60" width="13.1796875" style="57" bestFit="1" customWidth="1"/>
    <col min="61" max="61" width="13" style="57" customWidth="1"/>
    <col min="62" max="62" width="13.1796875" style="57" bestFit="1" customWidth="1"/>
    <col min="63" max="63" width="16" style="57" customWidth="1"/>
    <col min="64" max="64" width="14.81640625" style="57" customWidth="1"/>
    <col min="65" max="65" width="15.81640625" style="57" customWidth="1"/>
    <col min="66" max="66" width="14.81640625" style="57" customWidth="1"/>
    <col min="67" max="67" width="15" style="57" customWidth="1"/>
    <col min="68" max="16384" width="9.1796875" style="57"/>
  </cols>
  <sheetData>
    <row r="1" spans="1:67" ht="14">
      <c r="A1" s="83"/>
      <c r="B1" s="84" t="s">
        <v>1507</v>
      </c>
      <c r="C1" s="137">
        <f>_FormulaHelpers_!B43</f>
        <v>0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9"/>
      <c r="R1" s="250"/>
      <c r="S1" s="251"/>
      <c r="T1" s="86"/>
      <c r="U1" s="86"/>
      <c r="V1" s="86"/>
      <c r="W1" s="86"/>
      <c r="X1" s="86"/>
      <c r="Y1" s="86"/>
      <c r="Z1" s="86"/>
      <c r="AA1" s="86"/>
      <c r="AB1" s="86"/>
      <c r="AC1" s="86"/>
    </row>
    <row r="2" spans="1:67" ht="14">
      <c r="A2" s="87"/>
      <c r="B2" s="84" t="s">
        <v>1508</v>
      </c>
      <c r="C2" s="140">
        <f>_FormulaHelpers_!B44</f>
        <v>0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2"/>
      <c r="R2" s="253"/>
      <c r="S2" s="254"/>
    </row>
    <row r="3" spans="1:67" ht="14">
      <c r="A3" s="87"/>
      <c r="B3" s="84" t="s">
        <v>1794</v>
      </c>
      <c r="C3" s="140">
        <f>_FormulaHelpers_!B45</f>
        <v>0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2"/>
      <c r="O3" s="84" t="s">
        <v>1510</v>
      </c>
      <c r="P3" s="132" t="str">
        <f>_FormulaHelpers_!B48</f>
        <v>Base</v>
      </c>
      <c r="Q3" s="132"/>
      <c r="R3" s="253"/>
      <c r="S3" s="254"/>
    </row>
    <row r="4" spans="1:67" ht="14">
      <c r="A4" s="88"/>
      <c r="B4" s="84" t="s">
        <v>1509</v>
      </c>
      <c r="C4" s="143">
        <f>_FormulaHelpers_!B46</f>
        <v>45703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5"/>
      <c r="O4" s="84" t="s">
        <v>1795</v>
      </c>
      <c r="P4" s="132" t="str">
        <f>_FormulaHelpers_!B52</f>
        <v>Normal</v>
      </c>
      <c r="Q4" s="132"/>
      <c r="R4" s="256"/>
      <c r="S4" s="257"/>
    </row>
    <row r="5" spans="1:67" ht="18.75" customHeight="1">
      <c r="A5" s="134" t="s">
        <v>1203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86"/>
      <c r="U5" s="86"/>
      <c r="V5" s="86"/>
      <c r="W5" s="86"/>
      <c r="X5" s="86"/>
      <c r="Y5" s="86"/>
      <c r="Z5" s="86"/>
      <c r="AA5" s="86"/>
      <c r="AB5" s="86"/>
      <c r="AC5" s="86"/>
    </row>
    <row r="7" spans="1:67" s="114" customFormat="1" ht="15" customHeight="1">
      <c r="A7" s="176" t="s">
        <v>1922</v>
      </c>
      <c r="B7" s="176" t="s">
        <v>1447</v>
      </c>
      <c r="C7" s="176" t="s">
        <v>1448</v>
      </c>
      <c r="D7" s="146" t="s">
        <v>552</v>
      </c>
      <c r="E7" s="176" t="s">
        <v>2230</v>
      </c>
      <c r="F7" s="146" t="s">
        <v>2152</v>
      </c>
      <c r="G7" s="176" t="s">
        <v>1602</v>
      </c>
      <c r="H7" s="176" t="s">
        <v>1512</v>
      </c>
      <c r="I7" s="176" t="s">
        <v>2241</v>
      </c>
      <c r="J7" s="176" t="s">
        <v>2242</v>
      </c>
      <c r="K7" s="280" t="s">
        <v>4751</v>
      </c>
      <c r="L7" s="280"/>
      <c r="M7" s="280"/>
      <c r="N7" s="280"/>
      <c r="O7" s="280"/>
      <c r="P7" s="280"/>
      <c r="Q7" s="280" t="s">
        <v>4752</v>
      </c>
      <c r="R7" s="280"/>
      <c r="S7" s="280"/>
      <c r="T7" s="280"/>
      <c r="U7" s="280"/>
      <c r="V7" s="280"/>
      <c r="W7" s="281" t="s">
        <v>4753</v>
      </c>
      <c r="X7" s="282"/>
      <c r="Y7" s="282"/>
      <c r="Z7" s="282"/>
      <c r="AA7" s="282"/>
      <c r="AB7" s="282"/>
      <c r="AC7" s="282"/>
      <c r="AD7" s="282"/>
      <c r="AE7" s="282"/>
      <c r="AF7" s="283"/>
      <c r="AG7" s="284" t="s">
        <v>4754</v>
      </c>
      <c r="AH7" s="284" t="s">
        <v>4755</v>
      </c>
      <c r="AI7" s="284" t="s">
        <v>4756</v>
      </c>
      <c r="AJ7" s="176" t="s">
        <v>816</v>
      </c>
      <c r="AK7" s="176"/>
      <c r="AL7" s="176"/>
      <c r="AM7" s="176"/>
      <c r="AN7" s="176" t="s">
        <v>1478</v>
      </c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 t="s">
        <v>561</v>
      </c>
      <c r="BA7" s="176"/>
      <c r="BB7" s="176"/>
      <c r="BC7" s="176" t="s">
        <v>12</v>
      </c>
      <c r="BD7" s="146" t="s">
        <v>2223</v>
      </c>
      <c r="BE7" s="61"/>
      <c r="BF7" s="61"/>
      <c r="BG7" s="61"/>
      <c r="BH7" s="172"/>
      <c r="BI7" s="173"/>
      <c r="BJ7" s="172"/>
      <c r="BK7" s="173"/>
      <c r="BL7" s="172"/>
      <c r="BM7" s="173"/>
      <c r="BN7" s="172"/>
      <c r="BO7" s="173"/>
    </row>
    <row r="8" spans="1:67" s="114" customFormat="1" ht="15" customHeight="1">
      <c r="A8" s="176"/>
      <c r="B8" s="176"/>
      <c r="C8" s="176"/>
      <c r="D8" s="147"/>
      <c r="E8" s="176"/>
      <c r="F8" s="147"/>
      <c r="G8" s="176"/>
      <c r="H8" s="176"/>
      <c r="I8" s="176"/>
      <c r="J8" s="176"/>
      <c r="K8" s="285" t="s">
        <v>537</v>
      </c>
      <c r="L8" s="285" t="s">
        <v>1802</v>
      </c>
      <c r="M8" s="285" t="s">
        <v>4757</v>
      </c>
      <c r="N8" s="285" t="s">
        <v>4758</v>
      </c>
      <c r="O8" s="285" t="s">
        <v>4765</v>
      </c>
      <c r="P8" s="285" t="s">
        <v>4759</v>
      </c>
      <c r="Q8" s="285" t="s">
        <v>537</v>
      </c>
      <c r="R8" s="285" t="s">
        <v>1802</v>
      </c>
      <c r="S8" s="285" t="s">
        <v>4757</v>
      </c>
      <c r="T8" s="285" t="s">
        <v>4758</v>
      </c>
      <c r="U8" s="285" t="s">
        <v>4765</v>
      </c>
      <c r="V8" s="285" t="s">
        <v>4759</v>
      </c>
      <c r="W8" s="286" t="s">
        <v>4760</v>
      </c>
      <c r="X8" s="287"/>
      <c r="Y8" s="286" t="s">
        <v>4761</v>
      </c>
      <c r="Z8" s="287"/>
      <c r="AA8" s="286" t="s">
        <v>4762</v>
      </c>
      <c r="AB8" s="287"/>
      <c r="AC8" s="286" t="s">
        <v>4763</v>
      </c>
      <c r="AD8" s="287"/>
      <c r="AE8" s="286" t="s">
        <v>4764</v>
      </c>
      <c r="AF8" s="287"/>
      <c r="AG8" s="288"/>
      <c r="AH8" s="288"/>
      <c r="AI8" s="288"/>
      <c r="AJ8" s="176" t="s">
        <v>1457</v>
      </c>
      <c r="AK8" s="176" t="s">
        <v>1458</v>
      </c>
      <c r="AL8" s="176" t="s">
        <v>1459</v>
      </c>
      <c r="AM8" s="176" t="s">
        <v>1460</v>
      </c>
      <c r="AN8" s="176" t="s">
        <v>1467</v>
      </c>
      <c r="AO8" s="176"/>
      <c r="AP8" s="176"/>
      <c r="AQ8" s="176"/>
      <c r="AR8" s="176" t="s">
        <v>1468</v>
      </c>
      <c r="AS8" s="176"/>
      <c r="AT8" s="176"/>
      <c r="AU8" s="176"/>
      <c r="AV8" s="176" t="s">
        <v>1473</v>
      </c>
      <c r="AW8" s="176"/>
      <c r="AX8" s="176"/>
      <c r="AY8" s="176"/>
      <c r="AZ8" s="146" t="s">
        <v>370</v>
      </c>
      <c r="BA8" s="176" t="s">
        <v>2249</v>
      </c>
      <c r="BB8" s="176"/>
      <c r="BC8" s="176"/>
      <c r="BD8" s="147"/>
      <c r="BE8" s="62" t="s">
        <v>2295</v>
      </c>
      <c r="BF8" s="63" t="s">
        <v>2296</v>
      </c>
      <c r="BG8" s="63" t="s">
        <v>2297</v>
      </c>
      <c r="BH8" s="174" t="s">
        <v>2286</v>
      </c>
      <c r="BI8" s="175"/>
      <c r="BJ8" s="174" t="s">
        <v>2287</v>
      </c>
      <c r="BK8" s="175"/>
      <c r="BL8" s="174" t="s">
        <v>2288</v>
      </c>
      <c r="BM8" s="175"/>
      <c r="BN8" s="174" t="s">
        <v>2298</v>
      </c>
      <c r="BO8" s="175"/>
    </row>
    <row r="9" spans="1:67" s="114" customFormat="1" ht="24" customHeight="1">
      <c r="A9" s="176"/>
      <c r="B9" s="176"/>
      <c r="C9" s="176"/>
      <c r="D9" s="148"/>
      <c r="E9" s="176"/>
      <c r="F9" s="148"/>
      <c r="G9" s="176"/>
      <c r="H9" s="176"/>
      <c r="I9" s="176"/>
      <c r="J9" s="176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90" t="s">
        <v>1612</v>
      </c>
      <c r="X9" s="291" t="s">
        <v>557</v>
      </c>
      <c r="Y9" s="290" t="s">
        <v>1612</v>
      </c>
      <c r="Z9" s="291" t="s">
        <v>557</v>
      </c>
      <c r="AA9" s="290" t="s">
        <v>1612</v>
      </c>
      <c r="AB9" s="291" t="s">
        <v>557</v>
      </c>
      <c r="AC9" s="290" t="s">
        <v>1612</v>
      </c>
      <c r="AD9" s="291" t="s">
        <v>557</v>
      </c>
      <c r="AE9" s="290" t="s">
        <v>1612</v>
      </c>
      <c r="AF9" s="291" t="s">
        <v>557</v>
      </c>
      <c r="AG9" s="292"/>
      <c r="AH9" s="292"/>
      <c r="AI9" s="292"/>
      <c r="AJ9" s="176"/>
      <c r="AK9" s="176"/>
      <c r="AL9" s="176"/>
      <c r="AM9" s="176"/>
      <c r="AN9" s="113" t="s">
        <v>1465</v>
      </c>
      <c r="AO9" s="113" t="s">
        <v>1466</v>
      </c>
      <c r="AP9" s="113" t="s">
        <v>1612</v>
      </c>
      <c r="AQ9" s="113" t="s">
        <v>557</v>
      </c>
      <c r="AR9" s="113" t="s">
        <v>1465</v>
      </c>
      <c r="AS9" s="113" t="s">
        <v>1466</v>
      </c>
      <c r="AT9" s="113" t="s">
        <v>1612</v>
      </c>
      <c r="AU9" s="113" t="s">
        <v>557</v>
      </c>
      <c r="AV9" s="113" t="s">
        <v>1465</v>
      </c>
      <c r="AW9" s="113" t="s">
        <v>1466</v>
      </c>
      <c r="AX9" s="113" t="s">
        <v>1612</v>
      </c>
      <c r="AY9" s="113" t="s">
        <v>557</v>
      </c>
      <c r="AZ9" s="148"/>
      <c r="BA9" s="113" t="s">
        <v>2167</v>
      </c>
      <c r="BB9" s="113" t="s">
        <v>2166</v>
      </c>
      <c r="BC9" s="176"/>
      <c r="BD9" s="148"/>
      <c r="BE9" s="59"/>
      <c r="BF9" s="59"/>
      <c r="BG9" s="59"/>
      <c r="BH9" s="59" t="s">
        <v>2289</v>
      </c>
      <c r="BI9" s="59" t="s">
        <v>2290</v>
      </c>
      <c r="BJ9" s="59" t="s">
        <v>2291</v>
      </c>
      <c r="BK9" s="59" t="s">
        <v>2292</v>
      </c>
      <c r="BL9" s="59" t="s">
        <v>2293</v>
      </c>
      <c r="BM9" s="59" t="s">
        <v>2294</v>
      </c>
      <c r="BN9" s="59" t="s">
        <v>2299</v>
      </c>
      <c r="BO9" s="59" t="s">
        <v>2300</v>
      </c>
    </row>
    <row r="10" spans="1:67" ht="15" hidden="1" customHeight="1">
      <c r="A10" s="105" t="s">
        <v>1853</v>
      </c>
      <c r="B10" s="293" t="s">
        <v>1452</v>
      </c>
      <c r="C10" s="58" t="s">
        <v>1450</v>
      </c>
      <c r="D10" s="105" t="s">
        <v>1451</v>
      </c>
      <c r="E10" s="105" t="s">
        <v>2231</v>
      </c>
      <c r="F10" s="105" t="s">
        <v>2153</v>
      </c>
      <c r="G10" s="127" t="s">
        <v>4693</v>
      </c>
      <c r="H10" s="105" t="s">
        <v>1854</v>
      </c>
      <c r="I10" s="105" t="s">
        <v>2267</v>
      </c>
      <c r="J10" s="105" t="s">
        <v>2268</v>
      </c>
      <c r="K10" s="105" t="s">
        <v>4780</v>
      </c>
      <c r="L10" s="105" t="s">
        <v>4790</v>
      </c>
      <c r="M10" s="105" t="s">
        <v>4781</v>
      </c>
      <c r="N10" s="105" t="s">
        <v>4782</v>
      </c>
      <c r="O10" s="105" t="s">
        <v>4783</v>
      </c>
      <c r="P10" s="105" t="s">
        <v>4789</v>
      </c>
      <c r="Q10" s="105" t="s">
        <v>4784</v>
      </c>
      <c r="R10" s="105" t="s">
        <v>4791</v>
      </c>
      <c r="S10" s="105" t="s">
        <v>4785</v>
      </c>
      <c r="T10" s="105" t="s">
        <v>4786</v>
      </c>
      <c r="U10" s="105" t="s">
        <v>4787</v>
      </c>
      <c r="V10" s="105" t="s">
        <v>4788</v>
      </c>
      <c r="W10" s="242" t="s">
        <v>4767</v>
      </c>
      <c r="X10" s="242" t="s">
        <v>4768</v>
      </c>
      <c r="Y10" s="242" t="s">
        <v>4769</v>
      </c>
      <c r="Z10" s="242" t="s">
        <v>4770</v>
      </c>
      <c r="AA10" s="242" t="s">
        <v>4771</v>
      </c>
      <c r="AB10" s="242" t="s">
        <v>4772</v>
      </c>
      <c r="AC10" s="242" t="s">
        <v>4776</v>
      </c>
      <c r="AD10" s="242" t="s">
        <v>4777</v>
      </c>
      <c r="AE10" s="242" t="s">
        <v>4778</v>
      </c>
      <c r="AF10" s="242" t="s">
        <v>4779</v>
      </c>
      <c r="AG10" s="242" t="s">
        <v>4773</v>
      </c>
      <c r="AH10" s="242" t="s">
        <v>4774</v>
      </c>
      <c r="AI10" s="242" t="s">
        <v>4775</v>
      </c>
      <c r="AJ10" s="105" t="s">
        <v>1453</v>
      </c>
      <c r="AK10" s="105" t="s">
        <v>1454</v>
      </c>
      <c r="AL10" s="105" t="s">
        <v>1455</v>
      </c>
      <c r="AM10" s="105" t="s">
        <v>1456</v>
      </c>
      <c r="AN10" s="260" t="s">
        <v>1461</v>
      </c>
      <c r="AO10" s="260" t="s">
        <v>1462</v>
      </c>
      <c r="AP10" s="260" t="s">
        <v>1463</v>
      </c>
      <c r="AQ10" s="260" t="s">
        <v>1464</v>
      </c>
      <c r="AR10" s="260" t="s">
        <v>1469</v>
      </c>
      <c r="AS10" s="260" t="s">
        <v>1470</v>
      </c>
      <c r="AT10" s="260" t="s">
        <v>1471</v>
      </c>
      <c r="AU10" s="260" t="s">
        <v>1472</v>
      </c>
      <c r="AV10" s="260" t="s">
        <v>1474</v>
      </c>
      <c r="AW10" s="260" t="s">
        <v>1475</v>
      </c>
      <c r="AX10" s="260" t="s">
        <v>1476</v>
      </c>
      <c r="AY10" s="260" t="s">
        <v>1477</v>
      </c>
      <c r="AZ10" s="105" t="s">
        <v>1449</v>
      </c>
      <c r="BA10" s="105" t="s">
        <v>5064</v>
      </c>
      <c r="BB10" s="105" t="s">
        <v>5065</v>
      </c>
      <c r="BC10" s="60" t="s">
        <v>571</v>
      </c>
      <c r="BD10" s="244" t="s">
        <v>2224</v>
      </c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</row>
    <row r="11" spans="1:67">
      <c r="A11" s="105" t="s">
        <v>6399</v>
      </c>
      <c r="B11" s="293">
        <f>ROUND(40, 1)</f>
        <v>40</v>
      </c>
      <c r="C11" s="58" t="str">
        <f>CHOOSE(2 + 1, "ft", "mile", "m", "km")</f>
        <v>m</v>
      </c>
      <c r="D11" s="105">
        <f>ROUND(0, 1)</f>
        <v>0</v>
      </c>
      <c r="E11" s="105" t="str">
        <f>IF(TRUE = TRUE, "Yes", "No")</f>
        <v>Yes</v>
      </c>
      <c r="F11" s="105" t="s">
        <v>5202</v>
      </c>
      <c r="G11" s="127" t="str">
        <f>IF(0 = 0, "3", "1")</f>
        <v>3</v>
      </c>
      <c r="H11" s="105"/>
      <c r="I11" s="105" t="str">
        <f>IF(TRIM("BUS_CNODE_JCT__1374") = "", "BUS_CNODE_JCT__1374", "BUS_CNODE_JCT__1374")</f>
        <v>BUS_CNODE_JCT__1374</v>
      </c>
      <c r="J11" s="105" t="str">
        <f>IF(TRIM("BUS_CNODE_JCT__1366") = "", "BUS_CNODE_JCT__1366", "BUS_CNODE_JCT__1366")</f>
        <v>BUS_CNODE_JCT__1366</v>
      </c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242" t="str">
        <f>IF(0=5, ROUND(0, 3),"--")</f>
        <v>--</v>
      </c>
      <c r="X11" s="242" t="str">
        <f>IF(0=5, ROUND(0, 3),"--")</f>
        <v>--</v>
      </c>
      <c r="Y11" s="242" t="str">
        <f>IF(0=5, ROUND(0, 3),"--")</f>
        <v>--</v>
      </c>
      <c r="Z11" s="242" t="str">
        <f>IF(0=5, ROUND(0, 3),"--")</f>
        <v>--</v>
      </c>
      <c r="AA11" s="242" t="str">
        <f>IF(0=5, ROUND(0, 3),"--")</f>
        <v>--</v>
      </c>
      <c r="AB11" s="242" t="str">
        <f>IF(0=5, ROUND(0, 3),"--")</f>
        <v>--</v>
      </c>
      <c r="AC11" s="242" t="str">
        <f>IF(0=1, ROUND(0, 3),"--")</f>
        <v>--</v>
      </c>
      <c r="AD11" s="242" t="str">
        <f>IF(0=1, ROUND(0, 3),"--")</f>
        <v>--</v>
      </c>
      <c r="AE11" s="242" t="str">
        <f>IF(0=1, ROUND(0, 3),"--")</f>
        <v>--</v>
      </c>
      <c r="AF11" s="242" t="str">
        <f>IF(0=1, ROUND(0, 3),"--")</f>
        <v>--</v>
      </c>
      <c r="AG11" s="242">
        <v>0</v>
      </c>
      <c r="AH11" s="242">
        <v>1</v>
      </c>
      <c r="AI11" s="242">
        <v>0</v>
      </c>
      <c r="AJ11" s="105">
        <f>ROUND(75, 0)</f>
        <v>75</v>
      </c>
      <c r="AK11" s="105">
        <f>ROUND(75, 0)</f>
        <v>75</v>
      </c>
      <c r="AL11" s="105">
        <f>ROUND(75, 0)</f>
        <v>75</v>
      </c>
      <c r="AM11" s="105">
        <f>ROUND(75, 0)</f>
        <v>75</v>
      </c>
      <c r="AN11" s="260" t="str">
        <f>FIXED(0.361000001, 1)</f>
        <v>0.4</v>
      </c>
      <c r="AO11" s="260" t="str">
        <f>FIXED(0.361000001, 1)</f>
        <v>0.4</v>
      </c>
      <c r="AP11" s="260" t="str">
        <f>FIXED(0.263000011, 1)</f>
        <v>0.3</v>
      </c>
      <c r="AQ11" s="260" t="str">
        <f>FIXED(0, 1)</f>
        <v>0.0</v>
      </c>
      <c r="AR11" s="260" t="str">
        <f>FIXED(0.361000001, 1)</f>
        <v>0.4</v>
      </c>
      <c r="AS11" s="260" t="str">
        <f>FIXED(0.361000001, 1)</f>
        <v>0.4</v>
      </c>
      <c r="AT11" s="260" t="str">
        <f>FIXED(0.263000011, 1)</f>
        <v>0.3</v>
      </c>
      <c r="AU11" s="260" t="str">
        <f>FIXED(0, 1)</f>
        <v>0.0</v>
      </c>
      <c r="AV11" s="260" t="str">
        <f>FIXED(0.361000001, 1)</f>
        <v>0.4</v>
      </c>
      <c r="AW11" s="260" t="str">
        <f>FIXED(0.361000001, 1)</f>
        <v>0.4</v>
      </c>
      <c r="AX11" s="260" t="str">
        <f>FIXED(0.920000017, 1)</f>
        <v>0.9</v>
      </c>
      <c r="AY11" s="260" t="str">
        <f>FIXED(0, 1)</f>
        <v>0.0</v>
      </c>
      <c r="AZ11" s="105" t="str">
        <f>CHOOSE(0 + 1, "Ohms per", "Ohms")</f>
        <v>Ohms per</v>
      </c>
      <c r="BA11" s="105">
        <f>IF(0 = 0,ROUND(1, 0),"--")</f>
        <v>1</v>
      </c>
      <c r="BB11" s="105" t="str">
        <f>IF(0 = 0,CHOOSE((1 + 1), "ft", "mile", "m", "km"),"--")</f>
        <v>mile</v>
      </c>
      <c r="BC11" s="60"/>
      <c r="BD11" s="53" t="s">
        <v>6400</v>
      </c>
    </row>
    <row r="12" spans="1:67">
      <c r="A12" s="105" t="s">
        <v>6401</v>
      </c>
      <c r="B12" s="293">
        <f>ROUND(50, 1)</f>
        <v>50</v>
      </c>
      <c r="C12" s="58" t="str">
        <f>CHOOSE(2 + 1, "ft", "mile", "m", "km")</f>
        <v>m</v>
      </c>
      <c r="D12" s="105">
        <f>ROUND(0, 1)</f>
        <v>0</v>
      </c>
      <c r="E12" s="105" t="str">
        <f>IF(TRUE = TRUE, "Yes", "No")</f>
        <v>Yes</v>
      </c>
      <c r="F12" s="105" t="s">
        <v>5202</v>
      </c>
      <c r="G12" s="127" t="str">
        <f>IF(0 = 0, "3", "1")</f>
        <v>3</v>
      </c>
      <c r="H12" s="105"/>
      <c r="I12" s="105" t="str">
        <f>IF(TRIM("BUS_CNODE_JCT__1375") = "", "BUS_CNODE_JCT__1375", "BUS_CNODE_JCT__1375")</f>
        <v>BUS_CNODE_JCT__1375</v>
      </c>
      <c r="J12" s="105" t="str">
        <f>IF(TRIM("BUS_CNODE_JCT__1374") = "", "BUS_CNODE_JCT__1374", "BUS_CNODE_JCT__1374")</f>
        <v>BUS_CNODE_JCT__1374</v>
      </c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242" t="str">
        <f>IF(0=5, ROUND(0, 3),"--")</f>
        <v>--</v>
      </c>
      <c r="X12" s="242" t="str">
        <f>IF(0=5, ROUND(0, 3),"--")</f>
        <v>--</v>
      </c>
      <c r="Y12" s="242" t="str">
        <f>IF(0=5, ROUND(0, 3),"--")</f>
        <v>--</v>
      </c>
      <c r="Z12" s="242" t="str">
        <f>IF(0=5, ROUND(0, 3),"--")</f>
        <v>--</v>
      </c>
      <c r="AA12" s="242" t="str">
        <f>IF(0=5, ROUND(0, 3),"--")</f>
        <v>--</v>
      </c>
      <c r="AB12" s="242" t="str">
        <f>IF(0=5, ROUND(0, 3),"--")</f>
        <v>--</v>
      </c>
      <c r="AC12" s="242" t="str">
        <f>IF(0=1, ROUND(0, 3),"--")</f>
        <v>--</v>
      </c>
      <c r="AD12" s="242" t="str">
        <f>IF(0=1, ROUND(0, 3),"--")</f>
        <v>--</v>
      </c>
      <c r="AE12" s="242" t="str">
        <f>IF(0=1, ROUND(0, 3),"--")</f>
        <v>--</v>
      </c>
      <c r="AF12" s="242" t="str">
        <f>IF(0=1, ROUND(0, 3),"--")</f>
        <v>--</v>
      </c>
      <c r="AG12" s="242">
        <v>0</v>
      </c>
      <c r="AH12" s="242">
        <v>1</v>
      </c>
      <c r="AI12" s="242">
        <v>0</v>
      </c>
      <c r="AJ12" s="105">
        <f>ROUND(75, 0)</f>
        <v>75</v>
      </c>
      <c r="AK12" s="105">
        <f>ROUND(75, 0)</f>
        <v>75</v>
      </c>
      <c r="AL12" s="105">
        <f>ROUND(75, 0)</f>
        <v>75</v>
      </c>
      <c r="AM12" s="105">
        <f>ROUND(75, 0)</f>
        <v>75</v>
      </c>
      <c r="AN12" s="260" t="str">
        <f>FIXED(0.361000001, 1)</f>
        <v>0.4</v>
      </c>
      <c r="AO12" s="260" t="str">
        <f>FIXED(0.361000001, 1)</f>
        <v>0.4</v>
      </c>
      <c r="AP12" s="260" t="str">
        <f>FIXED(0.263000011, 1)</f>
        <v>0.3</v>
      </c>
      <c r="AQ12" s="260" t="str">
        <f>FIXED(0, 1)</f>
        <v>0.0</v>
      </c>
      <c r="AR12" s="260" t="str">
        <f>FIXED(0.361000001, 1)</f>
        <v>0.4</v>
      </c>
      <c r="AS12" s="260" t="str">
        <f>FIXED(0.361000001, 1)</f>
        <v>0.4</v>
      </c>
      <c r="AT12" s="260" t="str">
        <f>FIXED(0.263000011, 1)</f>
        <v>0.3</v>
      </c>
      <c r="AU12" s="260" t="str">
        <f>FIXED(0, 1)</f>
        <v>0.0</v>
      </c>
      <c r="AV12" s="260" t="str">
        <f>FIXED(0.361000001, 1)</f>
        <v>0.4</v>
      </c>
      <c r="AW12" s="260" t="str">
        <f>FIXED(0.361000001, 1)</f>
        <v>0.4</v>
      </c>
      <c r="AX12" s="260" t="str">
        <f>FIXED(0.920000017, 1)</f>
        <v>0.9</v>
      </c>
      <c r="AY12" s="260" t="str">
        <f>FIXED(0, 1)</f>
        <v>0.0</v>
      </c>
      <c r="AZ12" s="105" t="str">
        <f>CHOOSE(0 + 1, "Ohms per", "Ohms")</f>
        <v>Ohms per</v>
      </c>
      <c r="BA12" s="105">
        <f>IF(0 = 0,ROUND(1, 0),"--")</f>
        <v>1</v>
      </c>
      <c r="BB12" s="105" t="str">
        <f>IF(0 = 0,CHOOSE((1 + 1), "ft", "mile", "m", "km"),"--")</f>
        <v>mile</v>
      </c>
      <c r="BC12" s="60"/>
      <c r="BD12" s="53" t="s">
        <v>6402</v>
      </c>
    </row>
    <row r="13" spans="1:67">
      <c r="A13" s="105" t="s">
        <v>6403</v>
      </c>
      <c r="B13" s="293">
        <f>ROUND(15, 1)</f>
        <v>15</v>
      </c>
      <c r="C13" s="58" t="str">
        <f>CHOOSE(2 + 1, "ft", "mile", "m", "km")</f>
        <v>m</v>
      </c>
      <c r="D13" s="105">
        <f>ROUND(0, 1)</f>
        <v>0</v>
      </c>
      <c r="E13" s="105" t="str">
        <f>IF(TRUE = TRUE, "Yes", "No")</f>
        <v>Yes</v>
      </c>
      <c r="F13" s="105" t="s">
        <v>5202</v>
      </c>
      <c r="G13" s="127" t="str">
        <f>IF(0 = 0, "3", "1")</f>
        <v>3</v>
      </c>
      <c r="H13" s="105"/>
      <c r="I13" s="105" t="str">
        <f>IF(TRIM("BUS_CNODE_JCT__1376") = "", "BUS_CNODE_JCT__1376", "BUS_CNODE_JCT__1376")</f>
        <v>BUS_CNODE_JCT__1376</v>
      </c>
      <c r="J13" s="105" t="str">
        <f>IF(TRIM("BUS_CNODE_JCT__1375") = "", "BUS_CNODE_JCT__1375", "BUS_CNODE_JCT__1375")</f>
        <v>BUS_CNODE_JCT__1375</v>
      </c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242" t="str">
        <f>IF(0=5, ROUND(0, 3),"--")</f>
        <v>--</v>
      </c>
      <c r="X13" s="242" t="str">
        <f>IF(0=5, ROUND(0, 3),"--")</f>
        <v>--</v>
      </c>
      <c r="Y13" s="242" t="str">
        <f>IF(0=5, ROUND(0, 3),"--")</f>
        <v>--</v>
      </c>
      <c r="Z13" s="242" t="str">
        <f>IF(0=5, ROUND(0, 3),"--")</f>
        <v>--</v>
      </c>
      <c r="AA13" s="242" t="str">
        <f>IF(0=5, ROUND(0, 3),"--")</f>
        <v>--</v>
      </c>
      <c r="AB13" s="242" t="str">
        <f>IF(0=5, ROUND(0, 3),"--")</f>
        <v>--</v>
      </c>
      <c r="AC13" s="242" t="str">
        <f>IF(0=1, ROUND(0, 3),"--")</f>
        <v>--</v>
      </c>
      <c r="AD13" s="242" t="str">
        <f>IF(0=1, ROUND(0, 3),"--")</f>
        <v>--</v>
      </c>
      <c r="AE13" s="242" t="str">
        <f>IF(0=1, ROUND(0, 3),"--")</f>
        <v>--</v>
      </c>
      <c r="AF13" s="242" t="str">
        <f>IF(0=1, ROUND(0, 3),"--")</f>
        <v>--</v>
      </c>
      <c r="AG13" s="242">
        <v>0</v>
      </c>
      <c r="AH13" s="242">
        <v>1</v>
      </c>
      <c r="AI13" s="242">
        <v>0</v>
      </c>
      <c r="AJ13" s="105">
        <f>ROUND(75, 0)</f>
        <v>75</v>
      </c>
      <c r="AK13" s="105">
        <f>ROUND(75, 0)</f>
        <v>75</v>
      </c>
      <c r="AL13" s="105">
        <f>ROUND(75, 0)</f>
        <v>75</v>
      </c>
      <c r="AM13" s="105">
        <f>ROUND(75, 0)</f>
        <v>75</v>
      </c>
      <c r="AN13" s="260" t="str">
        <f>FIXED(0.361000001, 1)</f>
        <v>0.4</v>
      </c>
      <c r="AO13" s="260" t="str">
        <f>FIXED(0.361000001, 1)</f>
        <v>0.4</v>
      </c>
      <c r="AP13" s="260" t="str">
        <f>FIXED(0.263000011, 1)</f>
        <v>0.3</v>
      </c>
      <c r="AQ13" s="260" t="str">
        <f>FIXED(0, 1)</f>
        <v>0.0</v>
      </c>
      <c r="AR13" s="260" t="str">
        <f>FIXED(0.361000001, 1)</f>
        <v>0.4</v>
      </c>
      <c r="AS13" s="260" t="str">
        <f>FIXED(0.361000001, 1)</f>
        <v>0.4</v>
      </c>
      <c r="AT13" s="260" t="str">
        <f>FIXED(0.263000011, 1)</f>
        <v>0.3</v>
      </c>
      <c r="AU13" s="260" t="str">
        <f>FIXED(0, 1)</f>
        <v>0.0</v>
      </c>
      <c r="AV13" s="260" t="str">
        <f>FIXED(0.361000001, 1)</f>
        <v>0.4</v>
      </c>
      <c r="AW13" s="260" t="str">
        <f>FIXED(0.361000001, 1)</f>
        <v>0.4</v>
      </c>
      <c r="AX13" s="260" t="str">
        <f>FIXED(0.920000017, 1)</f>
        <v>0.9</v>
      </c>
      <c r="AY13" s="260" t="str">
        <f>FIXED(0, 1)</f>
        <v>0.0</v>
      </c>
      <c r="AZ13" s="105" t="str">
        <f>CHOOSE(0 + 1, "Ohms per", "Ohms")</f>
        <v>Ohms per</v>
      </c>
      <c r="BA13" s="105">
        <f>IF(0 = 0,ROUND(1, 0),"--")</f>
        <v>1</v>
      </c>
      <c r="BB13" s="105" t="str">
        <f>IF(0 = 0,CHOOSE((1 + 1), "ft", "mile", "m", "km"),"--")</f>
        <v>mile</v>
      </c>
      <c r="BC13" s="60"/>
      <c r="BD13" s="53" t="s">
        <v>6404</v>
      </c>
    </row>
    <row r="14" spans="1:67">
      <c r="A14" s="105" t="s">
        <v>6405</v>
      </c>
      <c r="B14" s="293">
        <f>ROUND(46, 1)</f>
        <v>46</v>
      </c>
      <c r="C14" s="58" t="str">
        <f>CHOOSE(2 + 1, "ft", "mile", "m", "km")</f>
        <v>m</v>
      </c>
      <c r="D14" s="105">
        <f>ROUND(0, 1)</f>
        <v>0</v>
      </c>
      <c r="E14" s="105" t="str">
        <f>IF(TRUE = TRUE, "Yes", "No")</f>
        <v>Yes</v>
      </c>
      <c r="F14" s="105" t="s">
        <v>5202</v>
      </c>
      <c r="G14" s="127" t="str">
        <f>IF(0 = 0, "3", "1")</f>
        <v>3</v>
      </c>
      <c r="H14" s="105"/>
      <c r="I14" s="105" t="str">
        <f>IF(TRIM("BUS_CNODE_JCT__1377") = "", "BUS_CNODE_JCT__1377", "BUS_CNODE_JCT__1377")</f>
        <v>BUS_CNODE_JCT__1377</v>
      </c>
      <c r="J14" s="105" t="str">
        <f>IF(TRIM("BUS_CNODE_JCT__1376") = "", "BUS_CNODE_JCT__1376", "BUS_CNODE_JCT__1376")</f>
        <v>BUS_CNODE_JCT__1376</v>
      </c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242" t="str">
        <f>IF(0=5, ROUND(0, 3),"--")</f>
        <v>--</v>
      </c>
      <c r="X14" s="242" t="str">
        <f>IF(0=5, ROUND(0, 3),"--")</f>
        <v>--</v>
      </c>
      <c r="Y14" s="242" t="str">
        <f>IF(0=5, ROUND(0, 3),"--")</f>
        <v>--</v>
      </c>
      <c r="Z14" s="242" t="str">
        <f>IF(0=5, ROUND(0, 3),"--")</f>
        <v>--</v>
      </c>
      <c r="AA14" s="242" t="str">
        <f>IF(0=5, ROUND(0, 3),"--")</f>
        <v>--</v>
      </c>
      <c r="AB14" s="242" t="str">
        <f>IF(0=5, ROUND(0, 3),"--")</f>
        <v>--</v>
      </c>
      <c r="AC14" s="242" t="str">
        <f>IF(0=1, ROUND(0, 3),"--")</f>
        <v>--</v>
      </c>
      <c r="AD14" s="242" t="str">
        <f>IF(0=1, ROUND(0, 3),"--")</f>
        <v>--</v>
      </c>
      <c r="AE14" s="242" t="str">
        <f>IF(0=1, ROUND(0, 3),"--")</f>
        <v>--</v>
      </c>
      <c r="AF14" s="242" t="str">
        <f>IF(0=1, ROUND(0, 3),"--")</f>
        <v>--</v>
      </c>
      <c r="AG14" s="242">
        <v>0</v>
      </c>
      <c r="AH14" s="242">
        <v>1</v>
      </c>
      <c r="AI14" s="242">
        <v>0</v>
      </c>
      <c r="AJ14" s="105">
        <f>ROUND(75, 0)</f>
        <v>75</v>
      </c>
      <c r="AK14" s="105">
        <f>ROUND(75, 0)</f>
        <v>75</v>
      </c>
      <c r="AL14" s="105">
        <f>ROUND(75, 0)</f>
        <v>75</v>
      </c>
      <c r="AM14" s="105">
        <f>ROUND(75, 0)</f>
        <v>75</v>
      </c>
      <c r="AN14" s="260" t="str">
        <f>FIXED(0.361000001, 1)</f>
        <v>0.4</v>
      </c>
      <c r="AO14" s="260" t="str">
        <f>FIXED(0.361000001, 1)</f>
        <v>0.4</v>
      </c>
      <c r="AP14" s="260" t="str">
        <f>FIXED(0.263000011, 1)</f>
        <v>0.3</v>
      </c>
      <c r="AQ14" s="260" t="str">
        <f>FIXED(0, 1)</f>
        <v>0.0</v>
      </c>
      <c r="AR14" s="260" t="str">
        <f>FIXED(0.361000001, 1)</f>
        <v>0.4</v>
      </c>
      <c r="AS14" s="260" t="str">
        <f>FIXED(0.361000001, 1)</f>
        <v>0.4</v>
      </c>
      <c r="AT14" s="260" t="str">
        <f>FIXED(0.263000011, 1)</f>
        <v>0.3</v>
      </c>
      <c r="AU14" s="260" t="str">
        <f>FIXED(0, 1)</f>
        <v>0.0</v>
      </c>
      <c r="AV14" s="260" t="str">
        <f>FIXED(0.361000001, 1)</f>
        <v>0.4</v>
      </c>
      <c r="AW14" s="260" t="str">
        <f>FIXED(0.361000001, 1)</f>
        <v>0.4</v>
      </c>
      <c r="AX14" s="260" t="str">
        <f>FIXED(0.920000017, 1)</f>
        <v>0.9</v>
      </c>
      <c r="AY14" s="260" t="str">
        <f>FIXED(0, 1)</f>
        <v>0.0</v>
      </c>
      <c r="AZ14" s="105" t="str">
        <f>CHOOSE(0 + 1, "Ohms per", "Ohms")</f>
        <v>Ohms per</v>
      </c>
      <c r="BA14" s="105">
        <f>IF(0 = 0,ROUND(1, 0),"--")</f>
        <v>1</v>
      </c>
      <c r="BB14" s="105" t="str">
        <f>IF(0 = 0,CHOOSE((1 + 1), "ft", "mile", "m", "km"),"--")</f>
        <v>mile</v>
      </c>
      <c r="BC14" s="60"/>
      <c r="BD14" s="53" t="s">
        <v>6406</v>
      </c>
    </row>
    <row r="15" spans="1:67">
      <c r="A15" s="105" t="s">
        <v>6407</v>
      </c>
      <c r="B15" s="293">
        <f>ROUND(50, 1)</f>
        <v>50</v>
      </c>
      <c r="C15" s="58" t="str">
        <f>CHOOSE(2 + 1, "ft", "mile", "m", "km")</f>
        <v>m</v>
      </c>
      <c r="D15" s="105">
        <f>ROUND(0, 1)</f>
        <v>0</v>
      </c>
      <c r="E15" s="105" t="str">
        <f>IF(TRUE = TRUE, "Yes", "No")</f>
        <v>Yes</v>
      </c>
      <c r="F15" s="105" t="s">
        <v>5202</v>
      </c>
      <c r="G15" s="127" t="str">
        <f>IF(0 = 0, "3", "1")</f>
        <v>3</v>
      </c>
      <c r="H15" s="105"/>
      <c r="I15" s="105" t="str">
        <f>IF(TRIM("BUS_CNODE_JCT__1378") = "", "BUS_CNODE_JCT__1378", "BUS_CNODE_JCT__1378")</f>
        <v>BUS_CNODE_JCT__1378</v>
      </c>
      <c r="J15" s="105" t="str">
        <f>IF(TRIM("BUS_CNODE_JCT__1377") = "", "BUS_CNODE_JCT__1377", "BUS_CNODE_JCT__1377")</f>
        <v>BUS_CNODE_JCT__1377</v>
      </c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242" t="str">
        <f>IF(0=5, ROUND(0, 3),"--")</f>
        <v>--</v>
      </c>
      <c r="X15" s="242" t="str">
        <f>IF(0=5, ROUND(0, 3),"--")</f>
        <v>--</v>
      </c>
      <c r="Y15" s="242" t="str">
        <f>IF(0=5, ROUND(0, 3),"--")</f>
        <v>--</v>
      </c>
      <c r="Z15" s="242" t="str">
        <f>IF(0=5, ROUND(0, 3),"--")</f>
        <v>--</v>
      </c>
      <c r="AA15" s="242" t="str">
        <f>IF(0=5, ROUND(0, 3),"--")</f>
        <v>--</v>
      </c>
      <c r="AB15" s="242" t="str">
        <f>IF(0=5, ROUND(0, 3),"--")</f>
        <v>--</v>
      </c>
      <c r="AC15" s="242" t="str">
        <f>IF(0=1, ROUND(0, 3),"--")</f>
        <v>--</v>
      </c>
      <c r="AD15" s="242" t="str">
        <f>IF(0=1, ROUND(0, 3),"--")</f>
        <v>--</v>
      </c>
      <c r="AE15" s="242" t="str">
        <f>IF(0=1, ROUND(0, 3),"--")</f>
        <v>--</v>
      </c>
      <c r="AF15" s="242" t="str">
        <f>IF(0=1, ROUND(0, 3),"--")</f>
        <v>--</v>
      </c>
      <c r="AG15" s="242">
        <v>0</v>
      </c>
      <c r="AH15" s="242">
        <v>1</v>
      </c>
      <c r="AI15" s="242">
        <v>0</v>
      </c>
      <c r="AJ15" s="105">
        <f>ROUND(75, 0)</f>
        <v>75</v>
      </c>
      <c r="AK15" s="105">
        <f>ROUND(75, 0)</f>
        <v>75</v>
      </c>
      <c r="AL15" s="105">
        <f>ROUND(75, 0)</f>
        <v>75</v>
      </c>
      <c r="AM15" s="105">
        <f>ROUND(75, 0)</f>
        <v>75</v>
      </c>
      <c r="AN15" s="260" t="str">
        <f>FIXED(0.361000001, 1)</f>
        <v>0.4</v>
      </c>
      <c r="AO15" s="260" t="str">
        <f>FIXED(0.361000001, 1)</f>
        <v>0.4</v>
      </c>
      <c r="AP15" s="260" t="str">
        <f>FIXED(0.263000011, 1)</f>
        <v>0.3</v>
      </c>
      <c r="AQ15" s="260" t="str">
        <f>FIXED(0, 1)</f>
        <v>0.0</v>
      </c>
      <c r="AR15" s="260" t="str">
        <f>FIXED(0.361000001, 1)</f>
        <v>0.4</v>
      </c>
      <c r="AS15" s="260" t="str">
        <f>FIXED(0.361000001, 1)</f>
        <v>0.4</v>
      </c>
      <c r="AT15" s="260" t="str">
        <f>FIXED(0.263000011, 1)</f>
        <v>0.3</v>
      </c>
      <c r="AU15" s="260" t="str">
        <f>FIXED(0, 1)</f>
        <v>0.0</v>
      </c>
      <c r="AV15" s="260" t="str">
        <f>FIXED(0.361000001, 1)</f>
        <v>0.4</v>
      </c>
      <c r="AW15" s="260" t="str">
        <f>FIXED(0.361000001, 1)</f>
        <v>0.4</v>
      </c>
      <c r="AX15" s="260" t="str">
        <f>FIXED(0.920000017, 1)</f>
        <v>0.9</v>
      </c>
      <c r="AY15" s="260" t="str">
        <f>FIXED(0, 1)</f>
        <v>0.0</v>
      </c>
      <c r="AZ15" s="105" t="str">
        <f>CHOOSE(0 + 1, "Ohms per", "Ohms")</f>
        <v>Ohms per</v>
      </c>
      <c r="BA15" s="105">
        <f>IF(0 = 0,ROUND(1, 0),"--")</f>
        <v>1</v>
      </c>
      <c r="BB15" s="105" t="str">
        <f>IF(0 = 0,CHOOSE((1 + 1), "ft", "mile", "m", "km"),"--")</f>
        <v>mile</v>
      </c>
      <c r="BC15" s="60"/>
      <c r="BD15" s="53" t="s">
        <v>6408</v>
      </c>
    </row>
    <row r="16" spans="1:67">
      <c r="A16" s="105" t="s">
        <v>6409</v>
      </c>
      <c r="B16" s="293">
        <f>ROUND(50, 1)</f>
        <v>50</v>
      </c>
      <c r="C16" s="58" t="str">
        <f>CHOOSE(2 + 1, "ft", "mile", "m", "km")</f>
        <v>m</v>
      </c>
      <c r="D16" s="105">
        <f>ROUND(0, 1)</f>
        <v>0</v>
      </c>
      <c r="E16" s="105" t="str">
        <f>IF(TRUE = TRUE, "Yes", "No")</f>
        <v>Yes</v>
      </c>
      <c r="F16" s="105" t="s">
        <v>5202</v>
      </c>
      <c r="G16" s="127" t="str">
        <f>IF(0 = 0, "3", "1")</f>
        <v>3</v>
      </c>
      <c r="H16" s="105"/>
      <c r="I16" s="105" t="str">
        <f>IF(TRIM("BUS_CNODE_JCT__1379") = "", "BUS_CNODE_JCT__1379", "BUS_CNODE_JCT__1379")</f>
        <v>BUS_CNODE_JCT__1379</v>
      </c>
      <c r="J16" s="105" t="str">
        <f>IF(TRIM("BUS_CNODE_JCT__1378") = "", "BUS_CNODE_JCT__1378", "BUS_CNODE_JCT__1378")</f>
        <v>BUS_CNODE_JCT__1378</v>
      </c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242" t="str">
        <f>IF(0=5, ROUND(0, 3),"--")</f>
        <v>--</v>
      </c>
      <c r="X16" s="242" t="str">
        <f>IF(0=5, ROUND(0, 3),"--")</f>
        <v>--</v>
      </c>
      <c r="Y16" s="242" t="str">
        <f>IF(0=5, ROUND(0, 3),"--")</f>
        <v>--</v>
      </c>
      <c r="Z16" s="242" t="str">
        <f>IF(0=5, ROUND(0, 3),"--")</f>
        <v>--</v>
      </c>
      <c r="AA16" s="242" t="str">
        <f>IF(0=5, ROUND(0, 3),"--")</f>
        <v>--</v>
      </c>
      <c r="AB16" s="242" t="str">
        <f>IF(0=5, ROUND(0, 3),"--")</f>
        <v>--</v>
      </c>
      <c r="AC16" s="242" t="str">
        <f>IF(0=1, ROUND(0, 3),"--")</f>
        <v>--</v>
      </c>
      <c r="AD16" s="242" t="str">
        <f>IF(0=1, ROUND(0, 3),"--")</f>
        <v>--</v>
      </c>
      <c r="AE16" s="242" t="str">
        <f>IF(0=1, ROUND(0, 3),"--")</f>
        <v>--</v>
      </c>
      <c r="AF16" s="242" t="str">
        <f>IF(0=1, ROUND(0, 3),"--")</f>
        <v>--</v>
      </c>
      <c r="AG16" s="242">
        <v>0</v>
      </c>
      <c r="AH16" s="242">
        <v>1</v>
      </c>
      <c r="AI16" s="242">
        <v>0</v>
      </c>
      <c r="AJ16" s="105">
        <f>ROUND(75, 0)</f>
        <v>75</v>
      </c>
      <c r="AK16" s="105">
        <f>ROUND(75, 0)</f>
        <v>75</v>
      </c>
      <c r="AL16" s="105">
        <f>ROUND(75, 0)</f>
        <v>75</v>
      </c>
      <c r="AM16" s="105">
        <f>ROUND(75, 0)</f>
        <v>75</v>
      </c>
      <c r="AN16" s="260" t="str">
        <f>FIXED(0.361000001, 1)</f>
        <v>0.4</v>
      </c>
      <c r="AO16" s="260" t="str">
        <f>FIXED(0.361000001, 1)</f>
        <v>0.4</v>
      </c>
      <c r="AP16" s="260" t="str">
        <f>FIXED(0.263000011, 1)</f>
        <v>0.3</v>
      </c>
      <c r="AQ16" s="260" t="str">
        <f>FIXED(0, 1)</f>
        <v>0.0</v>
      </c>
      <c r="AR16" s="260" t="str">
        <f>FIXED(0.361000001, 1)</f>
        <v>0.4</v>
      </c>
      <c r="AS16" s="260" t="str">
        <f>FIXED(0.361000001, 1)</f>
        <v>0.4</v>
      </c>
      <c r="AT16" s="260" t="str">
        <f>FIXED(0.263000011, 1)</f>
        <v>0.3</v>
      </c>
      <c r="AU16" s="260" t="str">
        <f>FIXED(0, 1)</f>
        <v>0.0</v>
      </c>
      <c r="AV16" s="260" t="str">
        <f>FIXED(0.361000001, 1)</f>
        <v>0.4</v>
      </c>
      <c r="AW16" s="260" t="str">
        <f>FIXED(0.361000001, 1)</f>
        <v>0.4</v>
      </c>
      <c r="AX16" s="260" t="str">
        <f>FIXED(0.920000017, 1)</f>
        <v>0.9</v>
      </c>
      <c r="AY16" s="260" t="str">
        <f>FIXED(0, 1)</f>
        <v>0.0</v>
      </c>
      <c r="AZ16" s="105" t="str">
        <f>CHOOSE(0 + 1, "Ohms per", "Ohms")</f>
        <v>Ohms per</v>
      </c>
      <c r="BA16" s="105">
        <f>IF(0 = 0,ROUND(1, 0),"--")</f>
        <v>1</v>
      </c>
      <c r="BB16" s="105" t="str">
        <f>IF(0 = 0,CHOOSE((1 + 1), "ft", "mile", "m", "km"),"--")</f>
        <v>mile</v>
      </c>
      <c r="BC16" s="60"/>
      <c r="BD16" s="53" t="s">
        <v>6410</v>
      </c>
    </row>
    <row r="17" spans="1:56">
      <c r="A17" s="105" t="s">
        <v>6411</v>
      </c>
      <c r="B17" s="293">
        <f>ROUND(12, 1)</f>
        <v>12</v>
      </c>
      <c r="C17" s="58" t="str">
        <f>CHOOSE(2 + 1, "ft", "mile", "m", "km")</f>
        <v>m</v>
      </c>
      <c r="D17" s="105">
        <f>ROUND(0, 1)</f>
        <v>0</v>
      </c>
      <c r="E17" s="105" t="str">
        <f>IF(TRUE = TRUE, "Yes", "No")</f>
        <v>Yes</v>
      </c>
      <c r="F17" s="105" t="s">
        <v>5202</v>
      </c>
      <c r="G17" s="127" t="str">
        <f>IF(0 = 0, "3", "1")</f>
        <v>3</v>
      </c>
      <c r="H17" s="105"/>
      <c r="I17" s="105" t="str">
        <f>IF(TRIM("BUS_CNODE_JCT__1380") = "", "BUS_CNODE_JCT__1380", "BUS_CNODE_JCT__1380")</f>
        <v>BUS_CNODE_JCT__1380</v>
      </c>
      <c r="J17" s="105" t="str">
        <f>IF(TRIM("BUS_CNODE_JCT__1379") = "", "BUS_CNODE_JCT__1379", "BUS_CNODE_JCT__1379")</f>
        <v>BUS_CNODE_JCT__1379</v>
      </c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242" t="str">
        <f>IF(0=5, ROUND(0, 3),"--")</f>
        <v>--</v>
      </c>
      <c r="X17" s="242" t="str">
        <f>IF(0=5, ROUND(0, 3),"--")</f>
        <v>--</v>
      </c>
      <c r="Y17" s="242" t="str">
        <f>IF(0=5, ROUND(0, 3),"--")</f>
        <v>--</v>
      </c>
      <c r="Z17" s="242" t="str">
        <f>IF(0=5, ROUND(0, 3),"--")</f>
        <v>--</v>
      </c>
      <c r="AA17" s="242" t="str">
        <f>IF(0=5, ROUND(0, 3),"--")</f>
        <v>--</v>
      </c>
      <c r="AB17" s="242" t="str">
        <f>IF(0=5, ROUND(0, 3),"--")</f>
        <v>--</v>
      </c>
      <c r="AC17" s="242" t="str">
        <f>IF(0=1, ROUND(0, 3),"--")</f>
        <v>--</v>
      </c>
      <c r="AD17" s="242" t="str">
        <f>IF(0=1, ROUND(0, 3),"--")</f>
        <v>--</v>
      </c>
      <c r="AE17" s="242" t="str">
        <f>IF(0=1, ROUND(0, 3),"--")</f>
        <v>--</v>
      </c>
      <c r="AF17" s="242" t="str">
        <f>IF(0=1, ROUND(0, 3),"--")</f>
        <v>--</v>
      </c>
      <c r="AG17" s="242">
        <v>0</v>
      </c>
      <c r="AH17" s="242">
        <v>1</v>
      </c>
      <c r="AI17" s="242">
        <v>0</v>
      </c>
      <c r="AJ17" s="105">
        <f>ROUND(75, 0)</f>
        <v>75</v>
      </c>
      <c r="AK17" s="105">
        <f>ROUND(75, 0)</f>
        <v>75</v>
      </c>
      <c r="AL17" s="105">
        <f>ROUND(75, 0)</f>
        <v>75</v>
      </c>
      <c r="AM17" s="105">
        <f>ROUND(75, 0)</f>
        <v>75</v>
      </c>
      <c r="AN17" s="260" t="str">
        <f>FIXED(0.361000001, 1)</f>
        <v>0.4</v>
      </c>
      <c r="AO17" s="260" t="str">
        <f>FIXED(0.361000001, 1)</f>
        <v>0.4</v>
      </c>
      <c r="AP17" s="260" t="str">
        <f>FIXED(0.263000011, 1)</f>
        <v>0.3</v>
      </c>
      <c r="AQ17" s="260" t="str">
        <f>FIXED(0, 1)</f>
        <v>0.0</v>
      </c>
      <c r="AR17" s="260" t="str">
        <f>FIXED(0.361000001, 1)</f>
        <v>0.4</v>
      </c>
      <c r="AS17" s="260" t="str">
        <f>FIXED(0.361000001, 1)</f>
        <v>0.4</v>
      </c>
      <c r="AT17" s="260" t="str">
        <f>FIXED(0.263000011, 1)</f>
        <v>0.3</v>
      </c>
      <c r="AU17" s="260" t="str">
        <f>FIXED(0, 1)</f>
        <v>0.0</v>
      </c>
      <c r="AV17" s="260" t="str">
        <f>FIXED(0.361000001, 1)</f>
        <v>0.4</v>
      </c>
      <c r="AW17" s="260" t="str">
        <f>FIXED(0.361000001, 1)</f>
        <v>0.4</v>
      </c>
      <c r="AX17" s="260" t="str">
        <f>FIXED(0.920000017, 1)</f>
        <v>0.9</v>
      </c>
      <c r="AY17" s="260" t="str">
        <f>FIXED(0, 1)</f>
        <v>0.0</v>
      </c>
      <c r="AZ17" s="105" t="str">
        <f>CHOOSE(0 + 1, "Ohms per", "Ohms")</f>
        <v>Ohms per</v>
      </c>
      <c r="BA17" s="105">
        <f>IF(0 = 0,ROUND(1, 0),"--")</f>
        <v>1</v>
      </c>
      <c r="BB17" s="105" t="str">
        <f>IF(0 = 0,CHOOSE((1 + 1), "ft", "mile", "m", "km"),"--")</f>
        <v>mile</v>
      </c>
      <c r="BC17" s="60"/>
      <c r="BD17" s="53" t="s">
        <v>6412</v>
      </c>
    </row>
    <row r="18" spans="1:56">
      <c r="A18" s="105" t="s">
        <v>6413</v>
      </c>
      <c r="B18" s="293">
        <f>ROUND(3, 1)</f>
        <v>3</v>
      </c>
      <c r="C18" s="58" t="str">
        <f>CHOOSE(2 + 1, "ft", "mile", "m", "km")</f>
        <v>m</v>
      </c>
      <c r="D18" s="105">
        <f>ROUND(0, 1)</f>
        <v>0</v>
      </c>
      <c r="E18" s="105" t="str">
        <f>IF(TRUE = TRUE, "Yes", "No")</f>
        <v>Yes</v>
      </c>
      <c r="F18" s="105" t="s">
        <v>5202</v>
      </c>
      <c r="G18" s="127" t="str">
        <f>IF(0 = 0, "3", "1")</f>
        <v>3</v>
      </c>
      <c r="H18" s="105"/>
      <c r="I18" s="105" t="str">
        <f>IF(TRIM("BUS_CNODE_JCT__1381") = "", "BUS_CNODE_JCT__1381", "BUS_CNODE_JCT__1381")</f>
        <v>BUS_CNODE_JCT__1381</v>
      </c>
      <c r="J18" s="105" t="str">
        <f>IF(TRIM("BUS_CNODE_JCT__1380") = "", "BUS_CNODE_JCT__1380", "BUS_CNODE_JCT__1380")</f>
        <v>BUS_CNODE_JCT__1380</v>
      </c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242" t="str">
        <f>IF(0=5, ROUND(0, 3),"--")</f>
        <v>--</v>
      </c>
      <c r="X18" s="242" t="str">
        <f>IF(0=5, ROUND(0, 3),"--")</f>
        <v>--</v>
      </c>
      <c r="Y18" s="242" t="str">
        <f>IF(0=5, ROUND(0, 3),"--")</f>
        <v>--</v>
      </c>
      <c r="Z18" s="242" t="str">
        <f>IF(0=5, ROUND(0, 3),"--")</f>
        <v>--</v>
      </c>
      <c r="AA18" s="242" t="str">
        <f>IF(0=5, ROUND(0, 3),"--")</f>
        <v>--</v>
      </c>
      <c r="AB18" s="242" t="str">
        <f>IF(0=5, ROUND(0, 3),"--")</f>
        <v>--</v>
      </c>
      <c r="AC18" s="242" t="str">
        <f>IF(0=1, ROUND(0, 3),"--")</f>
        <v>--</v>
      </c>
      <c r="AD18" s="242" t="str">
        <f>IF(0=1, ROUND(0, 3),"--")</f>
        <v>--</v>
      </c>
      <c r="AE18" s="242" t="str">
        <f>IF(0=1, ROUND(0, 3),"--")</f>
        <v>--</v>
      </c>
      <c r="AF18" s="242" t="str">
        <f>IF(0=1, ROUND(0, 3),"--")</f>
        <v>--</v>
      </c>
      <c r="AG18" s="242">
        <v>0</v>
      </c>
      <c r="AH18" s="242">
        <v>1</v>
      </c>
      <c r="AI18" s="242">
        <v>0</v>
      </c>
      <c r="AJ18" s="105">
        <f>ROUND(75, 0)</f>
        <v>75</v>
      </c>
      <c r="AK18" s="105">
        <f>ROUND(75, 0)</f>
        <v>75</v>
      </c>
      <c r="AL18" s="105">
        <f>ROUND(75, 0)</f>
        <v>75</v>
      </c>
      <c r="AM18" s="105">
        <f>ROUND(75, 0)</f>
        <v>75</v>
      </c>
      <c r="AN18" s="260" t="str">
        <f>FIXED(0.361000001, 1)</f>
        <v>0.4</v>
      </c>
      <c r="AO18" s="260" t="str">
        <f>FIXED(0.361000001, 1)</f>
        <v>0.4</v>
      </c>
      <c r="AP18" s="260" t="str">
        <f>FIXED(0.263000011, 1)</f>
        <v>0.3</v>
      </c>
      <c r="AQ18" s="260" t="str">
        <f>FIXED(0, 1)</f>
        <v>0.0</v>
      </c>
      <c r="AR18" s="260" t="str">
        <f>FIXED(0.361000001, 1)</f>
        <v>0.4</v>
      </c>
      <c r="AS18" s="260" t="str">
        <f>FIXED(0.361000001, 1)</f>
        <v>0.4</v>
      </c>
      <c r="AT18" s="260" t="str">
        <f>FIXED(0.263000011, 1)</f>
        <v>0.3</v>
      </c>
      <c r="AU18" s="260" t="str">
        <f>FIXED(0, 1)</f>
        <v>0.0</v>
      </c>
      <c r="AV18" s="260" t="str">
        <f>FIXED(0.361000001, 1)</f>
        <v>0.4</v>
      </c>
      <c r="AW18" s="260" t="str">
        <f>FIXED(0.361000001, 1)</f>
        <v>0.4</v>
      </c>
      <c r="AX18" s="260" t="str">
        <f>FIXED(0.920000017, 1)</f>
        <v>0.9</v>
      </c>
      <c r="AY18" s="260" t="str">
        <f>FIXED(0, 1)</f>
        <v>0.0</v>
      </c>
      <c r="AZ18" s="105" t="str">
        <f>CHOOSE(0 + 1, "Ohms per", "Ohms")</f>
        <v>Ohms per</v>
      </c>
      <c r="BA18" s="105">
        <f>IF(0 = 0,ROUND(1, 0),"--")</f>
        <v>1</v>
      </c>
      <c r="BB18" s="105" t="str">
        <f>IF(0 = 0,CHOOSE((1 + 1), "ft", "mile", "m", "km"),"--")</f>
        <v>mile</v>
      </c>
      <c r="BC18" s="60"/>
      <c r="BD18" s="53" t="s">
        <v>6414</v>
      </c>
    </row>
    <row r="19" spans="1:56">
      <c r="A19" s="105" t="s">
        <v>6415</v>
      </c>
      <c r="B19" s="293">
        <f>ROUND(50, 1)</f>
        <v>50</v>
      </c>
      <c r="C19" s="58" t="str">
        <f>CHOOSE(2 + 1, "ft", "mile", "m", "km")</f>
        <v>m</v>
      </c>
      <c r="D19" s="105">
        <f>ROUND(0, 1)</f>
        <v>0</v>
      </c>
      <c r="E19" s="105" t="str">
        <f>IF(TRUE = TRUE, "Yes", "No")</f>
        <v>Yes</v>
      </c>
      <c r="F19" s="105" t="s">
        <v>5202</v>
      </c>
      <c r="G19" s="127" t="str">
        <f>IF(0 = 0, "3", "1")</f>
        <v>3</v>
      </c>
      <c r="H19" s="105"/>
      <c r="I19" s="105" t="str">
        <f>IF(TRIM("BUS_CNODE_JCT__1382") = "", "BUS_CNODE_JCT__1382", "BUS_CNODE_JCT__1382")</f>
        <v>BUS_CNODE_JCT__1382</v>
      </c>
      <c r="J19" s="105" t="str">
        <f>IF(TRIM("BUS_CNODE_JCT__1381") = "", "BUS_CNODE_JCT__1381", "BUS_CNODE_JCT__1381")</f>
        <v>BUS_CNODE_JCT__1381</v>
      </c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242" t="str">
        <f>IF(0=5, ROUND(0, 3),"--")</f>
        <v>--</v>
      </c>
      <c r="X19" s="242" t="str">
        <f>IF(0=5, ROUND(0, 3),"--")</f>
        <v>--</v>
      </c>
      <c r="Y19" s="242" t="str">
        <f>IF(0=5, ROUND(0, 3),"--")</f>
        <v>--</v>
      </c>
      <c r="Z19" s="242" t="str">
        <f>IF(0=5, ROUND(0, 3),"--")</f>
        <v>--</v>
      </c>
      <c r="AA19" s="242" t="str">
        <f>IF(0=5, ROUND(0, 3),"--")</f>
        <v>--</v>
      </c>
      <c r="AB19" s="242" t="str">
        <f>IF(0=5, ROUND(0, 3),"--")</f>
        <v>--</v>
      </c>
      <c r="AC19" s="242" t="str">
        <f>IF(0=1, ROUND(0, 3),"--")</f>
        <v>--</v>
      </c>
      <c r="AD19" s="242" t="str">
        <f>IF(0=1, ROUND(0, 3),"--")</f>
        <v>--</v>
      </c>
      <c r="AE19" s="242" t="str">
        <f>IF(0=1, ROUND(0, 3),"--")</f>
        <v>--</v>
      </c>
      <c r="AF19" s="242" t="str">
        <f>IF(0=1, ROUND(0, 3),"--")</f>
        <v>--</v>
      </c>
      <c r="AG19" s="242">
        <v>0</v>
      </c>
      <c r="AH19" s="242">
        <v>1</v>
      </c>
      <c r="AI19" s="242">
        <v>0</v>
      </c>
      <c r="AJ19" s="105">
        <f>ROUND(75, 0)</f>
        <v>75</v>
      </c>
      <c r="AK19" s="105">
        <f>ROUND(75, 0)</f>
        <v>75</v>
      </c>
      <c r="AL19" s="105">
        <f>ROUND(75, 0)</f>
        <v>75</v>
      </c>
      <c r="AM19" s="105">
        <f>ROUND(75, 0)</f>
        <v>75</v>
      </c>
      <c r="AN19" s="260" t="str">
        <f>FIXED(0.361000001, 1)</f>
        <v>0.4</v>
      </c>
      <c r="AO19" s="260" t="str">
        <f>FIXED(0.361000001, 1)</f>
        <v>0.4</v>
      </c>
      <c r="AP19" s="260" t="str">
        <f>FIXED(0.263000011, 1)</f>
        <v>0.3</v>
      </c>
      <c r="AQ19" s="260" t="str">
        <f>FIXED(0, 1)</f>
        <v>0.0</v>
      </c>
      <c r="AR19" s="260" t="str">
        <f>FIXED(0.361000001, 1)</f>
        <v>0.4</v>
      </c>
      <c r="AS19" s="260" t="str">
        <f>FIXED(0.361000001, 1)</f>
        <v>0.4</v>
      </c>
      <c r="AT19" s="260" t="str">
        <f>FIXED(0.263000011, 1)</f>
        <v>0.3</v>
      </c>
      <c r="AU19" s="260" t="str">
        <f>FIXED(0, 1)</f>
        <v>0.0</v>
      </c>
      <c r="AV19" s="260" t="str">
        <f>FIXED(0.361000001, 1)</f>
        <v>0.4</v>
      </c>
      <c r="AW19" s="260" t="str">
        <f>FIXED(0.361000001, 1)</f>
        <v>0.4</v>
      </c>
      <c r="AX19" s="260" t="str">
        <f>FIXED(0.920000017, 1)</f>
        <v>0.9</v>
      </c>
      <c r="AY19" s="260" t="str">
        <f>FIXED(0, 1)</f>
        <v>0.0</v>
      </c>
      <c r="AZ19" s="105" t="str">
        <f>CHOOSE(0 + 1, "Ohms per", "Ohms")</f>
        <v>Ohms per</v>
      </c>
      <c r="BA19" s="105">
        <f>IF(0 = 0,ROUND(1, 0),"--")</f>
        <v>1</v>
      </c>
      <c r="BB19" s="105" t="str">
        <f>IF(0 = 0,CHOOSE((1 + 1), "ft", "mile", "m", "km"),"--")</f>
        <v>mile</v>
      </c>
      <c r="BC19" s="60"/>
      <c r="BD19" s="53" t="s">
        <v>6416</v>
      </c>
    </row>
    <row r="20" spans="1:56" s="85" customFormat="1">
      <c r="A20" s="105" t="s">
        <v>6417</v>
      </c>
      <c r="B20" s="293">
        <f>ROUND(50, 1)</f>
        <v>50</v>
      </c>
      <c r="C20" s="58" t="str">
        <f>CHOOSE(2 + 1, "ft", "mile", "m", "km")</f>
        <v>m</v>
      </c>
      <c r="D20" s="105">
        <f>ROUND(0, 1)</f>
        <v>0</v>
      </c>
      <c r="E20" s="105" t="str">
        <f>IF(TRUE = TRUE, "Yes", "No")</f>
        <v>Yes</v>
      </c>
      <c r="F20" s="105" t="s">
        <v>5202</v>
      </c>
      <c r="G20" s="127" t="str">
        <f>IF(0 = 0, "3", "1")</f>
        <v>3</v>
      </c>
      <c r="H20" s="105"/>
      <c r="I20" s="105" t="str">
        <f>IF(TRIM("BUS_CNODE_JCT__1382") = "", "BUS_CNODE_JCT__1382", "BUS_CNODE_JCT__1382")</f>
        <v>BUS_CNODE_JCT__1382</v>
      </c>
      <c r="J20" s="105" t="str">
        <f>IF(TRIM("BUS_CNODE_JCT__1369") = "", "BUS_CNODE_JCT__1369", "BUS_CNODE_JCT__1369")</f>
        <v>BUS_CNODE_JCT__1369</v>
      </c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242" t="str">
        <f>IF(0=5, ROUND(0, 3),"--")</f>
        <v>--</v>
      </c>
      <c r="X20" s="242" t="str">
        <f>IF(0=5, ROUND(0, 3),"--")</f>
        <v>--</v>
      </c>
      <c r="Y20" s="242" t="str">
        <f>IF(0=5, ROUND(0, 3),"--")</f>
        <v>--</v>
      </c>
      <c r="Z20" s="242" t="str">
        <f>IF(0=5, ROUND(0, 3),"--")</f>
        <v>--</v>
      </c>
      <c r="AA20" s="242" t="str">
        <f>IF(0=5, ROUND(0, 3),"--")</f>
        <v>--</v>
      </c>
      <c r="AB20" s="242" t="str">
        <f>IF(0=5, ROUND(0, 3),"--")</f>
        <v>--</v>
      </c>
      <c r="AC20" s="242" t="str">
        <f>IF(0=1, ROUND(0, 3),"--")</f>
        <v>--</v>
      </c>
      <c r="AD20" s="242" t="str">
        <f>IF(0=1, ROUND(0, 3),"--")</f>
        <v>--</v>
      </c>
      <c r="AE20" s="242" t="str">
        <f>IF(0=1, ROUND(0, 3),"--")</f>
        <v>--</v>
      </c>
      <c r="AF20" s="242" t="str">
        <f>IF(0=1, ROUND(0, 3),"--")</f>
        <v>--</v>
      </c>
      <c r="AG20" s="242">
        <v>0</v>
      </c>
      <c r="AH20" s="242">
        <v>1</v>
      </c>
      <c r="AI20" s="242">
        <v>0</v>
      </c>
      <c r="AJ20" s="105">
        <f>ROUND(75, 0)</f>
        <v>75</v>
      </c>
      <c r="AK20" s="105">
        <f>ROUND(75, 0)</f>
        <v>75</v>
      </c>
      <c r="AL20" s="105">
        <f>ROUND(75, 0)</f>
        <v>75</v>
      </c>
      <c r="AM20" s="105">
        <f>ROUND(75, 0)</f>
        <v>75</v>
      </c>
      <c r="AN20" s="260" t="str">
        <f>FIXED(0.361000001, 1)</f>
        <v>0.4</v>
      </c>
      <c r="AO20" s="260" t="str">
        <f>FIXED(0.361000001, 1)</f>
        <v>0.4</v>
      </c>
      <c r="AP20" s="260" t="str">
        <f>FIXED(0.263000011, 1)</f>
        <v>0.3</v>
      </c>
      <c r="AQ20" s="260" t="str">
        <f>FIXED(0, 1)</f>
        <v>0.0</v>
      </c>
      <c r="AR20" s="260" t="str">
        <f>FIXED(0.361000001, 1)</f>
        <v>0.4</v>
      </c>
      <c r="AS20" s="260" t="str">
        <f>FIXED(0.361000001, 1)</f>
        <v>0.4</v>
      </c>
      <c r="AT20" s="260" t="str">
        <f>FIXED(0.263000011, 1)</f>
        <v>0.3</v>
      </c>
      <c r="AU20" s="260" t="str">
        <f>FIXED(0, 1)</f>
        <v>0.0</v>
      </c>
      <c r="AV20" s="260" t="str">
        <f>FIXED(0.361000001, 1)</f>
        <v>0.4</v>
      </c>
      <c r="AW20" s="260" t="str">
        <f>FIXED(0.361000001, 1)</f>
        <v>0.4</v>
      </c>
      <c r="AX20" s="260" t="str">
        <f>FIXED(0.920000017, 1)</f>
        <v>0.9</v>
      </c>
      <c r="AY20" s="260" t="str">
        <f>FIXED(0, 1)</f>
        <v>0.0</v>
      </c>
      <c r="AZ20" s="105" t="str">
        <f>CHOOSE(0 + 1, "Ohms per", "Ohms")</f>
        <v>Ohms per</v>
      </c>
      <c r="BA20" s="105">
        <f>IF(0 = 0,ROUND(1, 0),"--")</f>
        <v>1</v>
      </c>
      <c r="BB20" s="105" t="str">
        <f>IF(0 = 0,CHOOSE((1 + 1), "ft", "mile", "m", "km"),"--")</f>
        <v>mile</v>
      </c>
      <c r="BC20" s="60"/>
      <c r="BD20" s="53" t="s">
        <v>6418</v>
      </c>
    </row>
    <row r="21" spans="1:56" s="85" customFormat="1">
      <c r="A21" s="105" t="s">
        <v>6419</v>
      </c>
      <c r="B21" s="293">
        <f>ROUND(50, 1)</f>
        <v>50</v>
      </c>
      <c r="C21" s="58" t="str">
        <f>CHOOSE(2 + 1, "ft", "mile", "m", "km")</f>
        <v>m</v>
      </c>
      <c r="D21" s="105">
        <f>ROUND(0, 1)</f>
        <v>0</v>
      </c>
      <c r="E21" s="105" t="str">
        <f>IF(TRUE = TRUE, "Yes", "No")</f>
        <v>Yes</v>
      </c>
      <c r="F21" s="105" t="s">
        <v>5202</v>
      </c>
      <c r="G21" s="127" t="str">
        <f>IF(0 = 0, "3", "1")</f>
        <v>3</v>
      </c>
      <c r="H21" s="105"/>
      <c r="I21" s="105" t="str">
        <f>IF(TRIM("BUS_CNODE_JCT__1383") = "", "BUS_CNODE_JCT__1383", "BUS_CNODE_JCT__1383")</f>
        <v>BUS_CNODE_JCT__1383</v>
      </c>
      <c r="J21" s="105" t="str">
        <f>IF(TRIM("BUS_CNODE_JCT__1370") = "", "BUS_CNODE_JCT__1370", "BUS_CNODE_JCT__1370")</f>
        <v>BUS_CNODE_JCT__1370</v>
      </c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242" t="str">
        <f>IF(0=5, ROUND(0, 3),"--")</f>
        <v>--</v>
      </c>
      <c r="X21" s="242" t="str">
        <f>IF(0=5, ROUND(0, 3),"--")</f>
        <v>--</v>
      </c>
      <c r="Y21" s="242" t="str">
        <f>IF(0=5, ROUND(0, 3),"--")</f>
        <v>--</v>
      </c>
      <c r="Z21" s="242" t="str">
        <f>IF(0=5, ROUND(0, 3),"--")</f>
        <v>--</v>
      </c>
      <c r="AA21" s="242" t="str">
        <f>IF(0=5, ROUND(0, 3),"--")</f>
        <v>--</v>
      </c>
      <c r="AB21" s="242" t="str">
        <f>IF(0=5, ROUND(0, 3),"--")</f>
        <v>--</v>
      </c>
      <c r="AC21" s="242" t="str">
        <f>IF(0=1, ROUND(0, 3),"--")</f>
        <v>--</v>
      </c>
      <c r="AD21" s="242" t="str">
        <f>IF(0=1, ROUND(0, 3),"--")</f>
        <v>--</v>
      </c>
      <c r="AE21" s="242" t="str">
        <f>IF(0=1, ROUND(0, 3),"--")</f>
        <v>--</v>
      </c>
      <c r="AF21" s="242" t="str">
        <f>IF(0=1, ROUND(0, 3),"--")</f>
        <v>--</v>
      </c>
      <c r="AG21" s="242">
        <v>0</v>
      </c>
      <c r="AH21" s="242">
        <v>1</v>
      </c>
      <c r="AI21" s="242">
        <v>0</v>
      </c>
      <c r="AJ21" s="105">
        <f>ROUND(75, 0)</f>
        <v>75</v>
      </c>
      <c r="AK21" s="105">
        <f>ROUND(75, 0)</f>
        <v>75</v>
      </c>
      <c r="AL21" s="105">
        <f>ROUND(75, 0)</f>
        <v>75</v>
      </c>
      <c r="AM21" s="105">
        <f>ROUND(75, 0)</f>
        <v>75</v>
      </c>
      <c r="AN21" s="260" t="str">
        <f>FIXED(0.361000001, 1)</f>
        <v>0.4</v>
      </c>
      <c r="AO21" s="260" t="str">
        <f>FIXED(0.361000001, 1)</f>
        <v>0.4</v>
      </c>
      <c r="AP21" s="260" t="str">
        <f>FIXED(0.263000011, 1)</f>
        <v>0.3</v>
      </c>
      <c r="AQ21" s="260" t="str">
        <f>FIXED(0, 1)</f>
        <v>0.0</v>
      </c>
      <c r="AR21" s="260" t="str">
        <f>FIXED(0.361000001, 1)</f>
        <v>0.4</v>
      </c>
      <c r="AS21" s="260" t="str">
        <f>FIXED(0.361000001, 1)</f>
        <v>0.4</v>
      </c>
      <c r="AT21" s="260" t="str">
        <f>FIXED(0.263000011, 1)</f>
        <v>0.3</v>
      </c>
      <c r="AU21" s="260" t="str">
        <f>FIXED(0, 1)</f>
        <v>0.0</v>
      </c>
      <c r="AV21" s="260" t="str">
        <f>FIXED(0.361000001, 1)</f>
        <v>0.4</v>
      </c>
      <c r="AW21" s="260" t="str">
        <f>FIXED(0.361000001, 1)</f>
        <v>0.4</v>
      </c>
      <c r="AX21" s="260" t="str">
        <f>FIXED(0.920000017, 1)</f>
        <v>0.9</v>
      </c>
      <c r="AY21" s="260" t="str">
        <f>FIXED(0, 1)</f>
        <v>0.0</v>
      </c>
      <c r="AZ21" s="105" t="str">
        <f>CHOOSE(0 + 1, "Ohms per", "Ohms")</f>
        <v>Ohms per</v>
      </c>
      <c r="BA21" s="105">
        <f>IF(0 = 0,ROUND(1, 0),"--")</f>
        <v>1</v>
      </c>
      <c r="BB21" s="105" t="str">
        <f>IF(0 = 0,CHOOSE((1 + 1), "ft", "mile", "m", "km"),"--")</f>
        <v>mile</v>
      </c>
      <c r="BC21" s="60"/>
      <c r="BD21" s="53" t="s">
        <v>6420</v>
      </c>
    </row>
    <row r="22" spans="1:56" s="85" customFormat="1">
      <c r="A22" s="105" t="s">
        <v>6421</v>
      </c>
      <c r="B22" s="293">
        <f>ROUND(50, 1)</f>
        <v>50</v>
      </c>
      <c r="C22" s="58" t="str">
        <f>CHOOSE(2 + 1, "ft", "mile", "m", "km")</f>
        <v>m</v>
      </c>
      <c r="D22" s="105">
        <f>ROUND(0, 1)</f>
        <v>0</v>
      </c>
      <c r="E22" s="105" t="str">
        <f>IF(TRUE = TRUE, "Yes", "No")</f>
        <v>Yes</v>
      </c>
      <c r="F22" s="105" t="s">
        <v>5202</v>
      </c>
      <c r="G22" s="127" t="str">
        <f>IF(0 = 0, "3", "1")</f>
        <v>3</v>
      </c>
      <c r="H22" s="105"/>
      <c r="I22" s="105" t="str">
        <f>IF(TRIM("BUS_CNODE_JCT__1384") = "", "BUS_CNODE_JCT__1384", "BUS_CNODE_JCT__1384")</f>
        <v>BUS_CNODE_JCT__1384</v>
      </c>
      <c r="J22" s="105" t="str">
        <f>IF(TRIM("BUS_CNODE_JCT__1383") = "", "BUS_CNODE_JCT__1383", "BUS_CNODE_JCT__1383")</f>
        <v>BUS_CNODE_JCT__1383</v>
      </c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242" t="str">
        <f>IF(0=5, ROUND(0, 3),"--")</f>
        <v>--</v>
      </c>
      <c r="X22" s="242" t="str">
        <f>IF(0=5, ROUND(0, 3),"--")</f>
        <v>--</v>
      </c>
      <c r="Y22" s="242" t="str">
        <f>IF(0=5, ROUND(0, 3),"--")</f>
        <v>--</v>
      </c>
      <c r="Z22" s="242" t="str">
        <f>IF(0=5, ROUND(0, 3),"--")</f>
        <v>--</v>
      </c>
      <c r="AA22" s="242" t="str">
        <f>IF(0=5, ROUND(0, 3),"--")</f>
        <v>--</v>
      </c>
      <c r="AB22" s="242" t="str">
        <f>IF(0=5, ROUND(0, 3),"--")</f>
        <v>--</v>
      </c>
      <c r="AC22" s="242" t="str">
        <f>IF(0=1, ROUND(0, 3),"--")</f>
        <v>--</v>
      </c>
      <c r="AD22" s="242" t="str">
        <f>IF(0=1, ROUND(0, 3),"--")</f>
        <v>--</v>
      </c>
      <c r="AE22" s="242" t="str">
        <f>IF(0=1, ROUND(0, 3),"--")</f>
        <v>--</v>
      </c>
      <c r="AF22" s="242" t="str">
        <f>IF(0=1, ROUND(0, 3),"--")</f>
        <v>--</v>
      </c>
      <c r="AG22" s="242">
        <v>0</v>
      </c>
      <c r="AH22" s="242">
        <v>1</v>
      </c>
      <c r="AI22" s="242">
        <v>0</v>
      </c>
      <c r="AJ22" s="105">
        <f>ROUND(75, 0)</f>
        <v>75</v>
      </c>
      <c r="AK22" s="105">
        <f>ROUND(75, 0)</f>
        <v>75</v>
      </c>
      <c r="AL22" s="105">
        <f>ROUND(75, 0)</f>
        <v>75</v>
      </c>
      <c r="AM22" s="105">
        <f>ROUND(75, 0)</f>
        <v>75</v>
      </c>
      <c r="AN22" s="260" t="str">
        <f>FIXED(0.361000001, 1)</f>
        <v>0.4</v>
      </c>
      <c r="AO22" s="260" t="str">
        <f>FIXED(0.361000001, 1)</f>
        <v>0.4</v>
      </c>
      <c r="AP22" s="260" t="str">
        <f>FIXED(0.263000011, 1)</f>
        <v>0.3</v>
      </c>
      <c r="AQ22" s="260" t="str">
        <f>FIXED(0, 1)</f>
        <v>0.0</v>
      </c>
      <c r="AR22" s="260" t="str">
        <f>FIXED(0.361000001, 1)</f>
        <v>0.4</v>
      </c>
      <c r="AS22" s="260" t="str">
        <f>FIXED(0.361000001, 1)</f>
        <v>0.4</v>
      </c>
      <c r="AT22" s="260" t="str">
        <f>FIXED(0.263000011, 1)</f>
        <v>0.3</v>
      </c>
      <c r="AU22" s="260" t="str">
        <f>FIXED(0, 1)</f>
        <v>0.0</v>
      </c>
      <c r="AV22" s="260" t="str">
        <f>FIXED(0.361000001, 1)</f>
        <v>0.4</v>
      </c>
      <c r="AW22" s="260" t="str">
        <f>FIXED(0.361000001, 1)</f>
        <v>0.4</v>
      </c>
      <c r="AX22" s="260" t="str">
        <f>FIXED(0.920000017, 1)</f>
        <v>0.9</v>
      </c>
      <c r="AY22" s="260" t="str">
        <f>FIXED(0, 1)</f>
        <v>0.0</v>
      </c>
      <c r="AZ22" s="105" t="str">
        <f>CHOOSE(0 + 1, "Ohms per", "Ohms")</f>
        <v>Ohms per</v>
      </c>
      <c r="BA22" s="105">
        <f>IF(0 = 0,ROUND(1, 0),"--")</f>
        <v>1</v>
      </c>
      <c r="BB22" s="105" t="str">
        <f>IF(0 = 0,CHOOSE((1 + 1), "ft", "mile", "m", "km"),"--")</f>
        <v>mile</v>
      </c>
      <c r="BC22" s="60"/>
      <c r="BD22" s="53" t="s">
        <v>6422</v>
      </c>
    </row>
    <row r="23" spans="1:56">
      <c r="A23" s="105" t="s">
        <v>6423</v>
      </c>
      <c r="B23" s="293">
        <f>ROUND(37, 1)</f>
        <v>37</v>
      </c>
      <c r="C23" s="58" t="str">
        <f>CHOOSE(2 + 1, "ft", "mile", "m", "km")</f>
        <v>m</v>
      </c>
      <c r="D23" s="105">
        <f>ROUND(0, 1)</f>
        <v>0</v>
      </c>
      <c r="E23" s="105" t="str">
        <f>IF(TRUE = TRUE, "Yes", "No")</f>
        <v>Yes</v>
      </c>
      <c r="F23" s="105" t="s">
        <v>5202</v>
      </c>
      <c r="G23" s="127" t="str">
        <f>IF(0 = 0, "3", "1")</f>
        <v>3</v>
      </c>
      <c r="H23" s="105"/>
      <c r="I23" s="105" t="str">
        <f>IF(TRIM("BUS_CNODE_JCT__1372") = "", "BUS_CNODE_JCT__1372", "BUS_CNODE_JCT__1372")</f>
        <v>BUS_CNODE_JCT__1372</v>
      </c>
      <c r="J23" s="105" t="str">
        <f>IF(TRIM("BUS_CNODE_JCT__1385") = "", "BUS_CNODE_JCT__1385", "BUS_CNODE_JCT__1385")</f>
        <v>BUS_CNODE_JCT__1385</v>
      </c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242" t="str">
        <f>IF(0=5, ROUND(0, 3),"--")</f>
        <v>--</v>
      </c>
      <c r="X23" s="242" t="str">
        <f>IF(0=5, ROUND(0, 3),"--")</f>
        <v>--</v>
      </c>
      <c r="Y23" s="242" t="str">
        <f>IF(0=5, ROUND(0, 3),"--")</f>
        <v>--</v>
      </c>
      <c r="Z23" s="242" t="str">
        <f>IF(0=5, ROUND(0, 3),"--")</f>
        <v>--</v>
      </c>
      <c r="AA23" s="242" t="str">
        <f>IF(0=5, ROUND(0, 3),"--")</f>
        <v>--</v>
      </c>
      <c r="AB23" s="242" t="str">
        <f>IF(0=5, ROUND(0, 3),"--")</f>
        <v>--</v>
      </c>
      <c r="AC23" s="242" t="str">
        <f>IF(0=1, ROUND(0, 3),"--")</f>
        <v>--</v>
      </c>
      <c r="AD23" s="242" t="str">
        <f>IF(0=1, ROUND(0, 3),"--")</f>
        <v>--</v>
      </c>
      <c r="AE23" s="242" t="str">
        <f>IF(0=1, ROUND(0, 3),"--")</f>
        <v>--</v>
      </c>
      <c r="AF23" s="242" t="str">
        <f>IF(0=1, ROUND(0, 3),"--")</f>
        <v>--</v>
      </c>
      <c r="AG23" s="242">
        <v>0</v>
      </c>
      <c r="AH23" s="242">
        <v>1</v>
      </c>
      <c r="AI23" s="242">
        <v>0</v>
      </c>
      <c r="AJ23" s="105">
        <f>ROUND(75, 0)</f>
        <v>75</v>
      </c>
      <c r="AK23" s="105">
        <f>ROUND(75, 0)</f>
        <v>75</v>
      </c>
      <c r="AL23" s="105">
        <f>ROUND(75, 0)</f>
        <v>75</v>
      </c>
      <c r="AM23" s="105">
        <f>ROUND(75, 0)</f>
        <v>75</v>
      </c>
      <c r="AN23" s="260" t="str">
        <f>FIXED(0.361000001, 1)</f>
        <v>0.4</v>
      </c>
      <c r="AO23" s="260" t="str">
        <f>FIXED(0.361000001, 1)</f>
        <v>0.4</v>
      </c>
      <c r="AP23" s="260" t="str">
        <f>FIXED(0.263000011, 1)</f>
        <v>0.3</v>
      </c>
      <c r="AQ23" s="260" t="str">
        <f>FIXED(0, 1)</f>
        <v>0.0</v>
      </c>
      <c r="AR23" s="260" t="str">
        <f>FIXED(0.361000001, 1)</f>
        <v>0.4</v>
      </c>
      <c r="AS23" s="260" t="str">
        <f>FIXED(0.361000001, 1)</f>
        <v>0.4</v>
      </c>
      <c r="AT23" s="260" t="str">
        <f>FIXED(0.263000011, 1)</f>
        <v>0.3</v>
      </c>
      <c r="AU23" s="260" t="str">
        <f>FIXED(0, 1)</f>
        <v>0.0</v>
      </c>
      <c r="AV23" s="260" t="str">
        <f>FIXED(0.361000001, 1)</f>
        <v>0.4</v>
      </c>
      <c r="AW23" s="260" t="str">
        <f>FIXED(0.361000001, 1)</f>
        <v>0.4</v>
      </c>
      <c r="AX23" s="260" t="str">
        <f>FIXED(0.920000017, 1)</f>
        <v>0.9</v>
      </c>
      <c r="AY23" s="260" t="str">
        <f>FIXED(0, 1)</f>
        <v>0.0</v>
      </c>
      <c r="AZ23" s="105" t="str">
        <f>CHOOSE(0 + 1, "Ohms per", "Ohms")</f>
        <v>Ohms per</v>
      </c>
      <c r="BA23" s="105">
        <f>IF(0 = 0,ROUND(1, 0),"--")</f>
        <v>1</v>
      </c>
      <c r="BB23" s="105" t="str">
        <f>IF(0 = 0,CHOOSE((1 + 1), "ft", "mile", "m", "km"),"--")</f>
        <v>mile</v>
      </c>
      <c r="BC23" s="60"/>
      <c r="BD23" s="53" t="s">
        <v>6424</v>
      </c>
    </row>
    <row r="24" spans="1:56">
      <c r="A24" s="105" t="s">
        <v>6425</v>
      </c>
      <c r="B24" s="293">
        <f>ROUND(50, 1)</f>
        <v>50</v>
      </c>
      <c r="C24" s="58" t="str">
        <f>CHOOSE(2 + 1, "ft", "mile", "m", "km")</f>
        <v>m</v>
      </c>
      <c r="D24" s="105">
        <f>ROUND(0, 1)</f>
        <v>0</v>
      </c>
      <c r="E24" s="105" t="str">
        <f>IF(TRUE = TRUE, "Yes", "No")</f>
        <v>Yes</v>
      </c>
      <c r="F24" s="105" t="s">
        <v>5202</v>
      </c>
      <c r="G24" s="127" t="str">
        <f>IF(0 = 0, "3", "1")</f>
        <v>3</v>
      </c>
      <c r="H24" s="105"/>
      <c r="I24" s="105" t="str">
        <f>IF(TRIM("BUS_CNODE_JCT__1372") = "", "BUS_CNODE_JCT__1372", "BUS_CNODE_JCT__1372")</f>
        <v>BUS_CNODE_JCT__1372</v>
      </c>
      <c r="J24" s="105" t="str">
        <f>IF(TRIM("BUS_CNODE_JCT__1384") = "", "BUS_CNODE_JCT__1384", "BUS_CNODE_JCT__1384")</f>
        <v>BUS_CNODE_JCT__1384</v>
      </c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242" t="str">
        <f>IF(0=5, ROUND(0, 3),"--")</f>
        <v>--</v>
      </c>
      <c r="X24" s="242" t="str">
        <f>IF(0=5, ROUND(0, 3),"--")</f>
        <v>--</v>
      </c>
      <c r="Y24" s="242" t="str">
        <f>IF(0=5, ROUND(0, 3),"--")</f>
        <v>--</v>
      </c>
      <c r="Z24" s="242" t="str">
        <f>IF(0=5, ROUND(0, 3),"--")</f>
        <v>--</v>
      </c>
      <c r="AA24" s="242" t="str">
        <f>IF(0=5, ROUND(0, 3),"--")</f>
        <v>--</v>
      </c>
      <c r="AB24" s="242" t="str">
        <f>IF(0=5, ROUND(0, 3),"--")</f>
        <v>--</v>
      </c>
      <c r="AC24" s="242" t="str">
        <f>IF(0=1, ROUND(0, 3),"--")</f>
        <v>--</v>
      </c>
      <c r="AD24" s="242" t="str">
        <f>IF(0=1, ROUND(0, 3),"--")</f>
        <v>--</v>
      </c>
      <c r="AE24" s="242" t="str">
        <f>IF(0=1, ROUND(0, 3),"--")</f>
        <v>--</v>
      </c>
      <c r="AF24" s="242" t="str">
        <f>IF(0=1, ROUND(0, 3),"--")</f>
        <v>--</v>
      </c>
      <c r="AG24" s="242">
        <v>0</v>
      </c>
      <c r="AH24" s="242">
        <v>1</v>
      </c>
      <c r="AI24" s="242">
        <v>0</v>
      </c>
      <c r="AJ24" s="105">
        <f>ROUND(75, 0)</f>
        <v>75</v>
      </c>
      <c r="AK24" s="105">
        <f>ROUND(75, 0)</f>
        <v>75</v>
      </c>
      <c r="AL24" s="105">
        <f>ROUND(75, 0)</f>
        <v>75</v>
      </c>
      <c r="AM24" s="105">
        <f>ROUND(75, 0)</f>
        <v>75</v>
      </c>
      <c r="AN24" s="260" t="str">
        <f>FIXED(0.361000001, 1)</f>
        <v>0.4</v>
      </c>
      <c r="AO24" s="260" t="str">
        <f>FIXED(0.361000001, 1)</f>
        <v>0.4</v>
      </c>
      <c r="AP24" s="260" t="str">
        <f>FIXED(0.263000011, 1)</f>
        <v>0.3</v>
      </c>
      <c r="AQ24" s="260" t="str">
        <f>FIXED(0, 1)</f>
        <v>0.0</v>
      </c>
      <c r="AR24" s="260" t="str">
        <f>FIXED(0.361000001, 1)</f>
        <v>0.4</v>
      </c>
      <c r="AS24" s="260" t="str">
        <f>FIXED(0.361000001, 1)</f>
        <v>0.4</v>
      </c>
      <c r="AT24" s="260" t="str">
        <f>FIXED(0.263000011, 1)</f>
        <v>0.3</v>
      </c>
      <c r="AU24" s="260" t="str">
        <f>FIXED(0, 1)</f>
        <v>0.0</v>
      </c>
      <c r="AV24" s="260" t="str">
        <f>FIXED(0.361000001, 1)</f>
        <v>0.4</v>
      </c>
      <c r="AW24" s="260" t="str">
        <f>FIXED(0.361000001, 1)</f>
        <v>0.4</v>
      </c>
      <c r="AX24" s="260" t="str">
        <f>FIXED(0.920000017, 1)</f>
        <v>0.9</v>
      </c>
      <c r="AY24" s="260" t="str">
        <f>FIXED(0, 1)</f>
        <v>0.0</v>
      </c>
      <c r="AZ24" s="105" t="str">
        <f>CHOOSE(0 + 1, "Ohms per", "Ohms")</f>
        <v>Ohms per</v>
      </c>
      <c r="BA24" s="105">
        <f>IF(0 = 0,ROUND(1, 0),"--")</f>
        <v>1</v>
      </c>
      <c r="BB24" s="105" t="str">
        <f>IF(0 = 0,CHOOSE((1 + 1), "ft", "mile", "m", "km"),"--")</f>
        <v>mile</v>
      </c>
      <c r="BC24" s="60"/>
      <c r="BD24" s="53" t="s">
        <v>6426</v>
      </c>
    </row>
    <row r="25" spans="1:56">
      <c r="A25" s="105" t="s">
        <v>6427</v>
      </c>
      <c r="B25" s="293">
        <f>ROUND(30, 1)</f>
        <v>30</v>
      </c>
      <c r="C25" s="58" t="str">
        <f>CHOOSE(2 + 1, "ft", "mile", "m", "km")</f>
        <v>m</v>
      </c>
      <c r="D25" s="105">
        <f>ROUND(0, 1)</f>
        <v>0</v>
      </c>
      <c r="E25" s="105" t="str">
        <f>IF(TRUE = TRUE, "Yes", "No")</f>
        <v>Yes</v>
      </c>
      <c r="F25" s="105" t="s">
        <v>5202</v>
      </c>
      <c r="G25" s="127" t="str">
        <f>IF(0 = 0, "3", "1")</f>
        <v>3</v>
      </c>
      <c r="H25" s="105"/>
      <c r="I25" s="105" t="str">
        <f>IF(TRIM("BUS_CNODE_JCT__1385") = "", "BUS_CNODE_JCT__1385", "BUS_CNODE_JCT__1385")</f>
        <v>BUS_CNODE_JCT__1385</v>
      </c>
      <c r="J25" s="105" t="str">
        <f>IF(TRIM("BUS_CNODE_JCT__1394") = "", "BUS_CNODE_JCT__1394", "BUS_CNODE_JCT__1394")</f>
        <v>BUS_CNODE_JCT__1394</v>
      </c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242" t="str">
        <f>IF(0=5, ROUND(0, 3),"--")</f>
        <v>--</v>
      </c>
      <c r="X25" s="242" t="str">
        <f>IF(0=5, ROUND(0, 3),"--")</f>
        <v>--</v>
      </c>
      <c r="Y25" s="242" t="str">
        <f>IF(0=5, ROUND(0, 3),"--")</f>
        <v>--</v>
      </c>
      <c r="Z25" s="242" t="str">
        <f>IF(0=5, ROUND(0, 3),"--")</f>
        <v>--</v>
      </c>
      <c r="AA25" s="242" t="str">
        <f>IF(0=5, ROUND(0, 3),"--")</f>
        <v>--</v>
      </c>
      <c r="AB25" s="242" t="str">
        <f>IF(0=5, ROUND(0, 3),"--")</f>
        <v>--</v>
      </c>
      <c r="AC25" s="242" t="str">
        <f>IF(0=1, ROUND(0, 3),"--")</f>
        <v>--</v>
      </c>
      <c r="AD25" s="242" t="str">
        <f>IF(0=1, ROUND(0, 3),"--")</f>
        <v>--</v>
      </c>
      <c r="AE25" s="242" t="str">
        <f>IF(0=1, ROUND(0, 3),"--")</f>
        <v>--</v>
      </c>
      <c r="AF25" s="242" t="str">
        <f>IF(0=1, ROUND(0, 3),"--")</f>
        <v>--</v>
      </c>
      <c r="AG25" s="242">
        <v>0</v>
      </c>
      <c r="AH25" s="242">
        <v>1</v>
      </c>
      <c r="AI25" s="242">
        <v>0</v>
      </c>
      <c r="AJ25" s="105">
        <f>ROUND(75, 0)</f>
        <v>75</v>
      </c>
      <c r="AK25" s="105">
        <f>ROUND(75, 0)</f>
        <v>75</v>
      </c>
      <c r="AL25" s="105">
        <f>ROUND(75, 0)</f>
        <v>75</v>
      </c>
      <c r="AM25" s="105">
        <f>ROUND(75, 0)</f>
        <v>75</v>
      </c>
      <c r="AN25" s="260" t="str">
        <f>FIXED(0.361000001, 1)</f>
        <v>0.4</v>
      </c>
      <c r="AO25" s="260" t="str">
        <f>FIXED(0.361000001, 1)</f>
        <v>0.4</v>
      </c>
      <c r="AP25" s="260" t="str">
        <f>FIXED(0.263000011, 1)</f>
        <v>0.3</v>
      </c>
      <c r="AQ25" s="260" t="str">
        <f>FIXED(0, 1)</f>
        <v>0.0</v>
      </c>
      <c r="AR25" s="260" t="str">
        <f>FIXED(0.361000001, 1)</f>
        <v>0.4</v>
      </c>
      <c r="AS25" s="260" t="str">
        <f>FIXED(0.361000001, 1)</f>
        <v>0.4</v>
      </c>
      <c r="AT25" s="260" t="str">
        <f>FIXED(0.263000011, 1)</f>
        <v>0.3</v>
      </c>
      <c r="AU25" s="260" t="str">
        <f>FIXED(0, 1)</f>
        <v>0.0</v>
      </c>
      <c r="AV25" s="260" t="str">
        <f>FIXED(0.361000001, 1)</f>
        <v>0.4</v>
      </c>
      <c r="AW25" s="260" t="str">
        <f>FIXED(0.361000001, 1)</f>
        <v>0.4</v>
      </c>
      <c r="AX25" s="260" t="str">
        <f>FIXED(0.920000017, 1)</f>
        <v>0.9</v>
      </c>
      <c r="AY25" s="260" t="str">
        <f>FIXED(0, 1)</f>
        <v>0.0</v>
      </c>
      <c r="AZ25" s="105" t="str">
        <f>CHOOSE(0 + 1, "Ohms per", "Ohms")</f>
        <v>Ohms per</v>
      </c>
      <c r="BA25" s="105">
        <f>IF(0 = 0,ROUND(1, 0),"--")</f>
        <v>1</v>
      </c>
      <c r="BB25" s="105" t="str">
        <f>IF(0 = 0,CHOOSE((1 + 1), "ft", "mile", "m", "km"),"--")</f>
        <v>mile</v>
      </c>
      <c r="BC25" s="60"/>
      <c r="BD25" s="53" t="s">
        <v>6428</v>
      </c>
    </row>
    <row r="26" spans="1:56">
      <c r="A26" s="105" t="s">
        <v>6429</v>
      </c>
      <c r="B26" s="293">
        <f>ROUND(30, 1)</f>
        <v>30</v>
      </c>
      <c r="C26" s="58" t="str">
        <f>CHOOSE(2 + 1, "ft", "mile", "m", "km")</f>
        <v>m</v>
      </c>
      <c r="D26" s="105">
        <f>ROUND(0, 1)</f>
        <v>0</v>
      </c>
      <c r="E26" s="105" t="str">
        <f>IF(TRUE = TRUE, "Yes", "No")</f>
        <v>Yes</v>
      </c>
      <c r="F26" s="105" t="s">
        <v>5202</v>
      </c>
      <c r="G26" s="127" t="str">
        <f>IF(0 = 0, "3", "1")</f>
        <v>3</v>
      </c>
      <c r="H26" s="105"/>
      <c r="I26" s="105" t="str">
        <f>IF(TRIM("BUS_CNODE_JCT__1394") = "", "BUS_CNODE_JCT__1394", "BUS_CNODE_JCT__1394")</f>
        <v>BUS_CNODE_JCT__1394</v>
      </c>
      <c r="J26" s="105" t="str">
        <f>IF(TRIM("BUS_CNODE_JCT__1393") = "", "BUS_CNODE_JCT__1393", "BUS_CNODE_JCT__1393")</f>
        <v>BUS_CNODE_JCT__1393</v>
      </c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242" t="str">
        <f>IF(0=5, ROUND(0, 3),"--")</f>
        <v>--</v>
      </c>
      <c r="X26" s="242" t="str">
        <f>IF(0=5, ROUND(0, 3),"--")</f>
        <v>--</v>
      </c>
      <c r="Y26" s="242" t="str">
        <f>IF(0=5, ROUND(0, 3),"--")</f>
        <v>--</v>
      </c>
      <c r="Z26" s="242" t="str">
        <f>IF(0=5, ROUND(0, 3),"--")</f>
        <v>--</v>
      </c>
      <c r="AA26" s="242" t="str">
        <f>IF(0=5, ROUND(0, 3),"--")</f>
        <v>--</v>
      </c>
      <c r="AB26" s="242" t="str">
        <f>IF(0=5, ROUND(0, 3),"--")</f>
        <v>--</v>
      </c>
      <c r="AC26" s="242" t="str">
        <f>IF(0=1, ROUND(0, 3),"--")</f>
        <v>--</v>
      </c>
      <c r="AD26" s="242" t="str">
        <f>IF(0=1, ROUND(0, 3),"--")</f>
        <v>--</v>
      </c>
      <c r="AE26" s="242" t="str">
        <f>IF(0=1, ROUND(0, 3),"--")</f>
        <v>--</v>
      </c>
      <c r="AF26" s="242" t="str">
        <f>IF(0=1, ROUND(0, 3),"--")</f>
        <v>--</v>
      </c>
      <c r="AG26" s="242">
        <v>0</v>
      </c>
      <c r="AH26" s="242">
        <v>1</v>
      </c>
      <c r="AI26" s="242">
        <v>0</v>
      </c>
      <c r="AJ26" s="105">
        <f>ROUND(75, 0)</f>
        <v>75</v>
      </c>
      <c r="AK26" s="105">
        <f>ROUND(75, 0)</f>
        <v>75</v>
      </c>
      <c r="AL26" s="105">
        <f>ROUND(75, 0)</f>
        <v>75</v>
      </c>
      <c r="AM26" s="105">
        <f>ROUND(75, 0)</f>
        <v>75</v>
      </c>
      <c r="AN26" s="260" t="str">
        <f>FIXED(0.361000001, 1)</f>
        <v>0.4</v>
      </c>
      <c r="AO26" s="260" t="str">
        <f>FIXED(0.361000001, 1)</f>
        <v>0.4</v>
      </c>
      <c r="AP26" s="260" t="str">
        <f>FIXED(0.263000011, 1)</f>
        <v>0.3</v>
      </c>
      <c r="AQ26" s="260" t="str">
        <f>FIXED(0, 1)</f>
        <v>0.0</v>
      </c>
      <c r="AR26" s="260" t="str">
        <f>FIXED(0.361000001, 1)</f>
        <v>0.4</v>
      </c>
      <c r="AS26" s="260" t="str">
        <f>FIXED(0.361000001, 1)</f>
        <v>0.4</v>
      </c>
      <c r="AT26" s="260" t="str">
        <f>FIXED(0.263000011, 1)</f>
        <v>0.3</v>
      </c>
      <c r="AU26" s="260" t="str">
        <f>FIXED(0, 1)</f>
        <v>0.0</v>
      </c>
      <c r="AV26" s="260" t="str">
        <f>FIXED(0.361000001, 1)</f>
        <v>0.4</v>
      </c>
      <c r="AW26" s="260" t="str">
        <f>FIXED(0.361000001, 1)</f>
        <v>0.4</v>
      </c>
      <c r="AX26" s="260" t="str">
        <f>FIXED(0.920000017, 1)</f>
        <v>0.9</v>
      </c>
      <c r="AY26" s="260" t="str">
        <f>FIXED(0, 1)</f>
        <v>0.0</v>
      </c>
      <c r="AZ26" s="105" t="str">
        <f>CHOOSE(0 + 1, "Ohms per", "Ohms")</f>
        <v>Ohms per</v>
      </c>
      <c r="BA26" s="105">
        <f>IF(0 = 0,ROUND(1, 0),"--")</f>
        <v>1</v>
      </c>
      <c r="BB26" s="105" t="str">
        <f>IF(0 = 0,CHOOSE((1 + 1), "ft", "mile", "m", "km"),"--")</f>
        <v>mile</v>
      </c>
      <c r="BC26" s="60"/>
      <c r="BD26" s="53" t="s">
        <v>6430</v>
      </c>
    </row>
    <row r="27" spans="1:56">
      <c r="A27" s="105" t="s">
        <v>6431</v>
      </c>
      <c r="B27" s="293">
        <f>ROUND(30, 1)</f>
        <v>30</v>
      </c>
      <c r="C27" s="58" t="str">
        <f>CHOOSE(2 + 1, "ft", "mile", "m", "km")</f>
        <v>m</v>
      </c>
      <c r="D27" s="105">
        <f>ROUND(0, 1)</f>
        <v>0</v>
      </c>
      <c r="E27" s="105" t="str">
        <f>IF(TRUE = TRUE, "Yes", "No")</f>
        <v>Yes</v>
      </c>
      <c r="F27" s="105" t="s">
        <v>5202</v>
      </c>
      <c r="G27" s="127" t="str">
        <f>IF(0 = 0, "3", "1")</f>
        <v>3</v>
      </c>
      <c r="H27" s="105"/>
      <c r="I27" s="105" t="str">
        <f>IF(TRIM("BUS_CNODE_JCT__1393") = "", "BUS_CNODE_JCT__1393", "BUS_CNODE_JCT__1393")</f>
        <v>BUS_CNODE_JCT__1393</v>
      </c>
      <c r="J27" s="105" t="str">
        <f>IF(TRIM("BUS_CNODE_JCT__1391") = "", "BUS_CNODE_JCT__1391", "BUS_CNODE_JCT__1391")</f>
        <v>BUS_CNODE_JCT__1391</v>
      </c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242" t="str">
        <f>IF(0=5, ROUND(0, 3),"--")</f>
        <v>--</v>
      </c>
      <c r="X27" s="242" t="str">
        <f>IF(0=5, ROUND(0, 3),"--")</f>
        <v>--</v>
      </c>
      <c r="Y27" s="242" t="str">
        <f>IF(0=5, ROUND(0, 3),"--")</f>
        <v>--</v>
      </c>
      <c r="Z27" s="242" t="str">
        <f>IF(0=5, ROUND(0, 3),"--")</f>
        <v>--</v>
      </c>
      <c r="AA27" s="242" t="str">
        <f>IF(0=5, ROUND(0, 3),"--")</f>
        <v>--</v>
      </c>
      <c r="AB27" s="242" t="str">
        <f>IF(0=5, ROUND(0, 3),"--")</f>
        <v>--</v>
      </c>
      <c r="AC27" s="242" t="str">
        <f>IF(0=1, ROUND(0, 3),"--")</f>
        <v>--</v>
      </c>
      <c r="AD27" s="242" t="str">
        <f>IF(0=1, ROUND(0, 3),"--")</f>
        <v>--</v>
      </c>
      <c r="AE27" s="242" t="str">
        <f>IF(0=1, ROUND(0, 3),"--")</f>
        <v>--</v>
      </c>
      <c r="AF27" s="242" t="str">
        <f>IF(0=1, ROUND(0, 3),"--")</f>
        <v>--</v>
      </c>
      <c r="AG27" s="242">
        <v>0</v>
      </c>
      <c r="AH27" s="242">
        <v>1</v>
      </c>
      <c r="AI27" s="242">
        <v>0</v>
      </c>
      <c r="AJ27" s="105">
        <f>ROUND(75, 0)</f>
        <v>75</v>
      </c>
      <c r="AK27" s="105">
        <f>ROUND(75, 0)</f>
        <v>75</v>
      </c>
      <c r="AL27" s="105">
        <f>ROUND(75, 0)</f>
        <v>75</v>
      </c>
      <c r="AM27" s="105">
        <f>ROUND(75, 0)</f>
        <v>75</v>
      </c>
      <c r="AN27" s="260" t="str">
        <f>FIXED(0.361000001, 1)</f>
        <v>0.4</v>
      </c>
      <c r="AO27" s="260" t="str">
        <f>FIXED(0.361000001, 1)</f>
        <v>0.4</v>
      </c>
      <c r="AP27" s="260" t="str">
        <f>FIXED(0.263000011, 1)</f>
        <v>0.3</v>
      </c>
      <c r="AQ27" s="260" t="str">
        <f>FIXED(0, 1)</f>
        <v>0.0</v>
      </c>
      <c r="AR27" s="260" t="str">
        <f>FIXED(0.361000001, 1)</f>
        <v>0.4</v>
      </c>
      <c r="AS27" s="260" t="str">
        <f>FIXED(0.361000001, 1)</f>
        <v>0.4</v>
      </c>
      <c r="AT27" s="260" t="str">
        <f>FIXED(0.263000011, 1)</f>
        <v>0.3</v>
      </c>
      <c r="AU27" s="260" t="str">
        <f>FIXED(0, 1)</f>
        <v>0.0</v>
      </c>
      <c r="AV27" s="260" t="str">
        <f>FIXED(0.361000001, 1)</f>
        <v>0.4</v>
      </c>
      <c r="AW27" s="260" t="str">
        <f>FIXED(0.361000001, 1)</f>
        <v>0.4</v>
      </c>
      <c r="AX27" s="260" t="str">
        <f>FIXED(0.920000017, 1)</f>
        <v>0.9</v>
      </c>
      <c r="AY27" s="260" t="str">
        <f>FIXED(0, 1)</f>
        <v>0.0</v>
      </c>
      <c r="AZ27" s="105" t="str">
        <f>CHOOSE(0 + 1, "Ohms per", "Ohms")</f>
        <v>Ohms per</v>
      </c>
      <c r="BA27" s="105">
        <f>IF(0 = 0,ROUND(1, 0),"--")</f>
        <v>1</v>
      </c>
      <c r="BB27" s="105" t="str">
        <f>IF(0 = 0,CHOOSE((1 + 1), "ft", "mile", "m", "km"),"--")</f>
        <v>mile</v>
      </c>
      <c r="BC27" s="60"/>
      <c r="BD27" s="53" t="s">
        <v>6432</v>
      </c>
    </row>
    <row r="28" spans="1:56">
      <c r="A28" s="105" t="s">
        <v>6433</v>
      </c>
      <c r="B28" s="293">
        <f>ROUND(30, 1)</f>
        <v>30</v>
      </c>
      <c r="C28" s="58" t="str">
        <f>CHOOSE(2 + 1, "ft", "mile", "m", "km")</f>
        <v>m</v>
      </c>
      <c r="D28" s="105">
        <f>ROUND(0, 1)</f>
        <v>0</v>
      </c>
      <c r="E28" s="105" t="str">
        <f>IF(TRUE = TRUE, "Yes", "No")</f>
        <v>Yes</v>
      </c>
      <c r="F28" s="105" t="s">
        <v>5202</v>
      </c>
      <c r="G28" s="127" t="str">
        <f>IF(0 = 0, "3", "1")</f>
        <v>3</v>
      </c>
      <c r="H28" s="105"/>
      <c r="I28" s="105" t="str">
        <f>IF(TRIM("BUS_CNODE_JCT__1391") = "", "BUS_CNODE_JCT__1391", "BUS_CNODE_JCT__1391")</f>
        <v>BUS_CNODE_JCT__1391</v>
      </c>
      <c r="J28" s="105" t="str">
        <f>IF(TRIM("BUS_CNODE_JCT__1392") = "", "BUS_CNODE_JCT__1392", "BUS_CNODE_JCT__1392")</f>
        <v>BUS_CNODE_JCT__1392</v>
      </c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242" t="str">
        <f>IF(0=5, ROUND(0, 3),"--")</f>
        <v>--</v>
      </c>
      <c r="X28" s="242" t="str">
        <f>IF(0=5, ROUND(0, 3),"--")</f>
        <v>--</v>
      </c>
      <c r="Y28" s="242" t="str">
        <f>IF(0=5, ROUND(0, 3),"--")</f>
        <v>--</v>
      </c>
      <c r="Z28" s="242" t="str">
        <f>IF(0=5, ROUND(0, 3),"--")</f>
        <v>--</v>
      </c>
      <c r="AA28" s="242" t="str">
        <f>IF(0=5, ROUND(0, 3),"--")</f>
        <v>--</v>
      </c>
      <c r="AB28" s="242" t="str">
        <f>IF(0=5, ROUND(0, 3),"--")</f>
        <v>--</v>
      </c>
      <c r="AC28" s="242" t="str">
        <f>IF(0=1, ROUND(0, 3),"--")</f>
        <v>--</v>
      </c>
      <c r="AD28" s="242" t="str">
        <f>IF(0=1, ROUND(0, 3),"--")</f>
        <v>--</v>
      </c>
      <c r="AE28" s="242" t="str">
        <f>IF(0=1, ROUND(0, 3),"--")</f>
        <v>--</v>
      </c>
      <c r="AF28" s="242" t="str">
        <f>IF(0=1, ROUND(0, 3),"--")</f>
        <v>--</v>
      </c>
      <c r="AG28" s="242">
        <v>0</v>
      </c>
      <c r="AH28" s="242">
        <v>1</v>
      </c>
      <c r="AI28" s="242">
        <v>0</v>
      </c>
      <c r="AJ28" s="105">
        <f>ROUND(75, 0)</f>
        <v>75</v>
      </c>
      <c r="AK28" s="105">
        <f>ROUND(75, 0)</f>
        <v>75</v>
      </c>
      <c r="AL28" s="105">
        <f>ROUND(75, 0)</f>
        <v>75</v>
      </c>
      <c r="AM28" s="105">
        <f>ROUND(75, 0)</f>
        <v>75</v>
      </c>
      <c r="AN28" s="260" t="str">
        <f>FIXED(0.361000001, 1)</f>
        <v>0.4</v>
      </c>
      <c r="AO28" s="260" t="str">
        <f>FIXED(0.361000001, 1)</f>
        <v>0.4</v>
      </c>
      <c r="AP28" s="260" t="str">
        <f>FIXED(0.263000011, 1)</f>
        <v>0.3</v>
      </c>
      <c r="AQ28" s="260" t="str">
        <f>FIXED(0, 1)</f>
        <v>0.0</v>
      </c>
      <c r="AR28" s="260" t="str">
        <f>FIXED(0.361000001, 1)</f>
        <v>0.4</v>
      </c>
      <c r="AS28" s="260" t="str">
        <f>FIXED(0.361000001, 1)</f>
        <v>0.4</v>
      </c>
      <c r="AT28" s="260" t="str">
        <f>FIXED(0.263000011, 1)</f>
        <v>0.3</v>
      </c>
      <c r="AU28" s="260" t="str">
        <f>FIXED(0, 1)</f>
        <v>0.0</v>
      </c>
      <c r="AV28" s="260" t="str">
        <f>FIXED(0.361000001, 1)</f>
        <v>0.4</v>
      </c>
      <c r="AW28" s="260" t="str">
        <f>FIXED(0.361000001, 1)</f>
        <v>0.4</v>
      </c>
      <c r="AX28" s="260" t="str">
        <f>FIXED(0.920000017, 1)</f>
        <v>0.9</v>
      </c>
      <c r="AY28" s="260" t="str">
        <f>FIXED(0, 1)</f>
        <v>0.0</v>
      </c>
      <c r="AZ28" s="105" t="str">
        <f>CHOOSE(0 + 1, "Ohms per", "Ohms")</f>
        <v>Ohms per</v>
      </c>
      <c r="BA28" s="105">
        <f>IF(0 = 0,ROUND(1, 0),"--")</f>
        <v>1</v>
      </c>
      <c r="BB28" s="105" t="str">
        <f>IF(0 = 0,CHOOSE((1 + 1), "ft", "mile", "m", "km"),"--")</f>
        <v>mile</v>
      </c>
      <c r="BC28" s="60"/>
      <c r="BD28" s="53" t="s">
        <v>6434</v>
      </c>
    </row>
    <row r="29" spans="1:56">
      <c r="A29" s="105" t="s">
        <v>6435</v>
      </c>
      <c r="B29" s="293">
        <f>ROUND(30, 1)</f>
        <v>30</v>
      </c>
      <c r="C29" s="58" t="str">
        <f>CHOOSE(2 + 1, "ft", "mile", "m", "km")</f>
        <v>m</v>
      </c>
      <c r="D29" s="105">
        <f>ROUND(0, 1)</f>
        <v>0</v>
      </c>
      <c r="E29" s="105" t="str">
        <f>IF(TRUE = TRUE, "Yes", "No")</f>
        <v>Yes</v>
      </c>
      <c r="F29" s="105" t="s">
        <v>5202</v>
      </c>
      <c r="G29" s="127" t="str">
        <f>IF(0 = 0, "3", "1")</f>
        <v>3</v>
      </c>
      <c r="H29" s="105"/>
      <c r="I29" s="105" t="str">
        <f>IF(TRIM("BUS_CNODE_JCT__1392") = "", "BUS_CNODE_JCT__1392", "BUS_CNODE_JCT__1392")</f>
        <v>BUS_CNODE_JCT__1392</v>
      </c>
      <c r="J29" s="105" t="str">
        <f>IF(TRIM("BUS_CNODE_JCT__1390") = "", "BUS_CNODE_JCT__1390", "BUS_CNODE_JCT__1390")</f>
        <v>BUS_CNODE_JCT__1390</v>
      </c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242" t="str">
        <f>IF(0=5, ROUND(0, 3),"--")</f>
        <v>--</v>
      </c>
      <c r="X29" s="242" t="str">
        <f>IF(0=5, ROUND(0, 3),"--")</f>
        <v>--</v>
      </c>
      <c r="Y29" s="242" t="str">
        <f>IF(0=5, ROUND(0, 3),"--")</f>
        <v>--</v>
      </c>
      <c r="Z29" s="242" t="str">
        <f>IF(0=5, ROUND(0, 3),"--")</f>
        <v>--</v>
      </c>
      <c r="AA29" s="242" t="str">
        <f>IF(0=5, ROUND(0, 3),"--")</f>
        <v>--</v>
      </c>
      <c r="AB29" s="242" t="str">
        <f>IF(0=5, ROUND(0, 3),"--")</f>
        <v>--</v>
      </c>
      <c r="AC29" s="242" t="str">
        <f>IF(0=1, ROUND(0, 3),"--")</f>
        <v>--</v>
      </c>
      <c r="AD29" s="242" t="str">
        <f>IF(0=1, ROUND(0, 3),"--")</f>
        <v>--</v>
      </c>
      <c r="AE29" s="242" t="str">
        <f>IF(0=1, ROUND(0, 3),"--")</f>
        <v>--</v>
      </c>
      <c r="AF29" s="242" t="str">
        <f>IF(0=1, ROUND(0, 3),"--")</f>
        <v>--</v>
      </c>
      <c r="AG29" s="242">
        <v>0</v>
      </c>
      <c r="AH29" s="242">
        <v>1</v>
      </c>
      <c r="AI29" s="242">
        <v>0</v>
      </c>
      <c r="AJ29" s="105">
        <f>ROUND(75, 0)</f>
        <v>75</v>
      </c>
      <c r="AK29" s="105">
        <f>ROUND(75, 0)</f>
        <v>75</v>
      </c>
      <c r="AL29" s="105">
        <f>ROUND(75, 0)</f>
        <v>75</v>
      </c>
      <c r="AM29" s="105">
        <f>ROUND(75, 0)</f>
        <v>75</v>
      </c>
      <c r="AN29" s="260" t="str">
        <f>FIXED(0.361000001, 1)</f>
        <v>0.4</v>
      </c>
      <c r="AO29" s="260" t="str">
        <f>FIXED(0.361000001, 1)</f>
        <v>0.4</v>
      </c>
      <c r="AP29" s="260" t="str">
        <f>FIXED(0.263000011, 1)</f>
        <v>0.3</v>
      </c>
      <c r="AQ29" s="260" t="str">
        <f>FIXED(0, 1)</f>
        <v>0.0</v>
      </c>
      <c r="AR29" s="260" t="str">
        <f>FIXED(0.361000001, 1)</f>
        <v>0.4</v>
      </c>
      <c r="AS29" s="260" t="str">
        <f>FIXED(0.361000001, 1)</f>
        <v>0.4</v>
      </c>
      <c r="AT29" s="260" t="str">
        <f>FIXED(0.263000011, 1)</f>
        <v>0.3</v>
      </c>
      <c r="AU29" s="260" t="str">
        <f>FIXED(0, 1)</f>
        <v>0.0</v>
      </c>
      <c r="AV29" s="260" t="str">
        <f>FIXED(0.361000001, 1)</f>
        <v>0.4</v>
      </c>
      <c r="AW29" s="260" t="str">
        <f>FIXED(0.361000001, 1)</f>
        <v>0.4</v>
      </c>
      <c r="AX29" s="260" t="str">
        <f>FIXED(0.920000017, 1)</f>
        <v>0.9</v>
      </c>
      <c r="AY29" s="260" t="str">
        <f>FIXED(0, 1)</f>
        <v>0.0</v>
      </c>
      <c r="AZ29" s="105" t="str">
        <f>CHOOSE(0 + 1, "Ohms per", "Ohms")</f>
        <v>Ohms per</v>
      </c>
      <c r="BA29" s="105">
        <f>IF(0 = 0,ROUND(1, 0),"--")</f>
        <v>1</v>
      </c>
      <c r="BB29" s="105" t="str">
        <f>IF(0 = 0,CHOOSE((1 + 1), "ft", "mile", "m", "km"),"--")</f>
        <v>mile</v>
      </c>
      <c r="BC29" s="60"/>
      <c r="BD29" s="53" t="s">
        <v>6436</v>
      </c>
    </row>
    <row r="30" spans="1:56">
      <c r="A30" s="105" t="s">
        <v>6437</v>
      </c>
      <c r="B30" s="293">
        <f>ROUND(50, 1)</f>
        <v>50</v>
      </c>
      <c r="C30" s="58" t="str">
        <f>CHOOSE(2 + 1, "ft", "mile", "m", "km")</f>
        <v>m</v>
      </c>
      <c r="D30" s="105">
        <f>ROUND(0, 1)</f>
        <v>0</v>
      </c>
      <c r="E30" s="105" t="str">
        <f>IF(TRUE = TRUE, "Yes", "No")</f>
        <v>Yes</v>
      </c>
      <c r="F30" s="105" t="s">
        <v>5202</v>
      </c>
      <c r="G30" s="127" t="str">
        <f>IF(0 = 0, "3", "1")</f>
        <v>3</v>
      </c>
      <c r="H30" s="105"/>
      <c r="I30" s="105" t="str">
        <f>IF(TRIM("BUS_CNODE_JCT__1390") = "", "BUS_CNODE_JCT__1390", "BUS_CNODE_JCT__1390")</f>
        <v>BUS_CNODE_JCT__1390</v>
      </c>
      <c r="J30" s="105" t="str">
        <f>IF(TRIM("BUS_CNODE_JCT__1300") = "", "BUS_CNODE_JCT__1300", "BUS_CNODE_JCT__1300")</f>
        <v>BUS_CNODE_JCT__1300</v>
      </c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242" t="str">
        <f>IF(0=5, ROUND(0, 3),"--")</f>
        <v>--</v>
      </c>
      <c r="X30" s="242" t="str">
        <f>IF(0=5, ROUND(0, 3),"--")</f>
        <v>--</v>
      </c>
      <c r="Y30" s="242" t="str">
        <f>IF(0=5, ROUND(0, 3),"--")</f>
        <v>--</v>
      </c>
      <c r="Z30" s="242" t="str">
        <f>IF(0=5, ROUND(0, 3),"--")</f>
        <v>--</v>
      </c>
      <c r="AA30" s="242" t="str">
        <f>IF(0=5, ROUND(0, 3),"--")</f>
        <v>--</v>
      </c>
      <c r="AB30" s="242" t="str">
        <f>IF(0=5, ROUND(0, 3),"--")</f>
        <v>--</v>
      </c>
      <c r="AC30" s="242" t="str">
        <f>IF(0=1, ROUND(0, 3),"--")</f>
        <v>--</v>
      </c>
      <c r="AD30" s="242" t="str">
        <f>IF(0=1, ROUND(0, 3),"--")</f>
        <v>--</v>
      </c>
      <c r="AE30" s="242" t="str">
        <f>IF(0=1, ROUND(0, 3),"--")</f>
        <v>--</v>
      </c>
      <c r="AF30" s="242" t="str">
        <f>IF(0=1, ROUND(0, 3),"--")</f>
        <v>--</v>
      </c>
      <c r="AG30" s="242">
        <v>0</v>
      </c>
      <c r="AH30" s="242">
        <v>1</v>
      </c>
      <c r="AI30" s="242">
        <v>0</v>
      </c>
      <c r="AJ30" s="105">
        <f>ROUND(75, 0)</f>
        <v>75</v>
      </c>
      <c r="AK30" s="105">
        <f>ROUND(75, 0)</f>
        <v>75</v>
      </c>
      <c r="AL30" s="105">
        <f>ROUND(75, 0)</f>
        <v>75</v>
      </c>
      <c r="AM30" s="105">
        <f>ROUND(75, 0)</f>
        <v>75</v>
      </c>
      <c r="AN30" s="260" t="str">
        <f>FIXED(0.361000001, 1)</f>
        <v>0.4</v>
      </c>
      <c r="AO30" s="260" t="str">
        <f>FIXED(0.361000001, 1)</f>
        <v>0.4</v>
      </c>
      <c r="AP30" s="260" t="str">
        <f>FIXED(0.263000011, 1)</f>
        <v>0.3</v>
      </c>
      <c r="AQ30" s="260" t="str">
        <f>FIXED(0, 1)</f>
        <v>0.0</v>
      </c>
      <c r="AR30" s="260" t="str">
        <f>FIXED(0.361000001, 1)</f>
        <v>0.4</v>
      </c>
      <c r="AS30" s="260" t="str">
        <f>FIXED(0.361000001, 1)</f>
        <v>0.4</v>
      </c>
      <c r="AT30" s="260" t="str">
        <f>FIXED(0.263000011, 1)</f>
        <v>0.3</v>
      </c>
      <c r="AU30" s="260" t="str">
        <f>FIXED(0, 1)</f>
        <v>0.0</v>
      </c>
      <c r="AV30" s="260" t="str">
        <f>FIXED(0.361000001, 1)</f>
        <v>0.4</v>
      </c>
      <c r="AW30" s="260" t="str">
        <f>FIXED(0.361000001, 1)</f>
        <v>0.4</v>
      </c>
      <c r="AX30" s="260" t="str">
        <f>FIXED(0.920000017, 1)</f>
        <v>0.9</v>
      </c>
      <c r="AY30" s="260" t="str">
        <f>FIXED(0, 1)</f>
        <v>0.0</v>
      </c>
      <c r="AZ30" s="105" t="str">
        <f>CHOOSE(0 + 1, "Ohms per", "Ohms")</f>
        <v>Ohms per</v>
      </c>
      <c r="BA30" s="105">
        <f>IF(0 = 0,ROUND(1, 0),"--")</f>
        <v>1</v>
      </c>
      <c r="BB30" s="105" t="str">
        <f>IF(0 = 0,CHOOSE((1 + 1), "ft", "mile", "m", "km"),"--")</f>
        <v>mile</v>
      </c>
      <c r="BC30" s="60"/>
      <c r="BD30" s="53" t="s">
        <v>6438</v>
      </c>
    </row>
    <row r="31" spans="1:56">
      <c r="A31" s="105" t="s">
        <v>6439</v>
      </c>
      <c r="B31" s="293">
        <f>ROUND(50, 1)</f>
        <v>50</v>
      </c>
      <c r="C31" s="58" t="str">
        <f>CHOOSE(2 + 1, "ft", "mile", "m", "km")</f>
        <v>m</v>
      </c>
      <c r="D31" s="105">
        <f>ROUND(0, 1)</f>
        <v>0</v>
      </c>
      <c r="E31" s="105" t="str">
        <f>IF(TRUE = TRUE, "Yes", "No")</f>
        <v>Yes</v>
      </c>
      <c r="F31" s="105" t="s">
        <v>5202</v>
      </c>
      <c r="G31" s="127" t="str">
        <f>IF(0 = 0, "3", "1")</f>
        <v>3</v>
      </c>
      <c r="H31" s="105"/>
      <c r="I31" s="105" t="str">
        <f>IF(TRIM("BUS_CNODE_JCT__1300") = "", "BUS_CNODE_JCT__1300", "BUS_CNODE_JCT__1300")</f>
        <v>BUS_CNODE_JCT__1300</v>
      </c>
      <c r="J31" s="105" t="str">
        <f>IF(TRIM("BUS_CNODE_JCT__1389") = "", "BUS_CNODE_JCT__1389", "BUS_CNODE_JCT__1389")</f>
        <v>BUS_CNODE_JCT__1389</v>
      </c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242" t="str">
        <f>IF(0=5, ROUND(0, 3),"--")</f>
        <v>--</v>
      </c>
      <c r="X31" s="242" t="str">
        <f>IF(0=5, ROUND(0, 3),"--")</f>
        <v>--</v>
      </c>
      <c r="Y31" s="242" t="str">
        <f>IF(0=5, ROUND(0, 3),"--")</f>
        <v>--</v>
      </c>
      <c r="Z31" s="242" t="str">
        <f>IF(0=5, ROUND(0, 3),"--")</f>
        <v>--</v>
      </c>
      <c r="AA31" s="242" t="str">
        <f>IF(0=5, ROUND(0, 3),"--")</f>
        <v>--</v>
      </c>
      <c r="AB31" s="242" t="str">
        <f>IF(0=5, ROUND(0, 3),"--")</f>
        <v>--</v>
      </c>
      <c r="AC31" s="242" t="str">
        <f>IF(0=1, ROUND(0, 3),"--")</f>
        <v>--</v>
      </c>
      <c r="AD31" s="242" t="str">
        <f>IF(0=1, ROUND(0, 3),"--")</f>
        <v>--</v>
      </c>
      <c r="AE31" s="242" t="str">
        <f>IF(0=1, ROUND(0, 3),"--")</f>
        <v>--</v>
      </c>
      <c r="AF31" s="242" t="str">
        <f>IF(0=1, ROUND(0, 3),"--")</f>
        <v>--</v>
      </c>
      <c r="AG31" s="242">
        <v>0</v>
      </c>
      <c r="AH31" s="242">
        <v>1</v>
      </c>
      <c r="AI31" s="242">
        <v>0</v>
      </c>
      <c r="AJ31" s="105">
        <f>ROUND(75, 0)</f>
        <v>75</v>
      </c>
      <c r="AK31" s="105">
        <f>ROUND(75, 0)</f>
        <v>75</v>
      </c>
      <c r="AL31" s="105">
        <f>ROUND(75, 0)</f>
        <v>75</v>
      </c>
      <c r="AM31" s="105">
        <f>ROUND(75, 0)</f>
        <v>75</v>
      </c>
      <c r="AN31" s="260" t="str">
        <f>FIXED(0.361000001, 1)</f>
        <v>0.4</v>
      </c>
      <c r="AO31" s="260" t="str">
        <f>FIXED(0.361000001, 1)</f>
        <v>0.4</v>
      </c>
      <c r="AP31" s="260" t="str">
        <f>FIXED(0.263000011, 1)</f>
        <v>0.3</v>
      </c>
      <c r="AQ31" s="260" t="str">
        <f>FIXED(0, 1)</f>
        <v>0.0</v>
      </c>
      <c r="AR31" s="260" t="str">
        <f>FIXED(0.361000001, 1)</f>
        <v>0.4</v>
      </c>
      <c r="AS31" s="260" t="str">
        <f>FIXED(0.361000001, 1)</f>
        <v>0.4</v>
      </c>
      <c r="AT31" s="260" t="str">
        <f>FIXED(0.263000011, 1)</f>
        <v>0.3</v>
      </c>
      <c r="AU31" s="260" t="str">
        <f>FIXED(0, 1)</f>
        <v>0.0</v>
      </c>
      <c r="AV31" s="260" t="str">
        <f>FIXED(0.361000001, 1)</f>
        <v>0.4</v>
      </c>
      <c r="AW31" s="260" t="str">
        <f>FIXED(0.361000001, 1)</f>
        <v>0.4</v>
      </c>
      <c r="AX31" s="260" t="str">
        <f>FIXED(0.920000017, 1)</f>
        <v>0.9</v>
      </c>
      <c r="AY31" s="260" t="str">
        <f>FIXED(0, 1)</f>
        <v>0.0</v>
      </c>
      <c r="AZ31" s="105" t="str">
        <f>CHOOSE(0 + 1, "Ohms per", "Ohms")</f>
        <v>Ohms per</v>
      </c>
      <c r="BA31" s="105">
        <f>IF(0 = 0,ROUND(1, 0),"--")</f>
        <v>1</v>
      </c>
      <c r="BB31" s="105" t="str">
        <f>IF(0 = 0,CHOOSE((1 + 1), "ft", "mile", "m", "km"),"--")</f>
        <v>mile</v>
      </c>
      <c r="BC31" s="60"/>
      <c r="BD31" s="53" t="s">
        <v>6440</v>
      </c>
    </row>
    <row r="32" spans="1:56">
      <c r="A32" s="105" t="s">
        <v>6441</v>
      </c>
      <c r="B32" s="293">
        <f>ROUND(50, 1)</f>
        <v>50</v>
      </c>
      <c r="C32" s="58" t="str">
        <f>CHOOSE(2 + 1, "ft", "mile", "m", "km")</f>
        <v>m</v>
      </c>
      <c r="D32" s="105">
        <f>ROUND(0, 1)</f>
        <v>0</v>
      </c>
      <c r="E32" s="105" t="str">
        <f>IF(TRUE = TRUE, "Yes", "No")</f>
        <v>Yes</v>
      </c>
      <c r="F32" s="105" t="s">
        <v>5202</v>
      </c>
      <c r="G32" s="127" t="str">
        <f>IF(0 = 0, "3", "1")</f>
        <v>3</v>
      </c>
      <c r="H32" s="105"/>
      <c r="I32" s="105" t="str">
        <f>IF(TRIM("BUS_CNODE_JCT__1389") = "", "BUS_CNODE_JCT__1389", "BUS_CNODE_JCT__1389")</f>
        <v>BUS_CNODE_JCT__1389</v>
      </c>
      <c r="J32" s="105" t="str">
        <f>IF(TRIM("BUS_CNODE_JCT__1388") = "", "BUS_CNODE_JCT__1388", "BUS_CNODE_JCT__1388")</f>
        <v>BUS_CNODE_JCT__1388</v>
      </c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242" t="str">
        <f>IF(0=5, ROUND(0, 3),"--")</f>
        <v>--</v>
      </c>
      <c r="X32" s="242" t="str">
        <f>IF(0=5, ROUND(0, 3),"--")</f>
        <v>--</v>
      </c>
      <c r="Y32" s="242" t="str">
        <f>IF(0=5, ROUND(0, 3),"--")</f>
        <v>--</v>
      </c>
      <c r="Z32" s="242" t="str">
        <f>IF(0=5, ROUND(0, 3),"--")</f>
        <v>--</v>
      </c>
      <c r="AA32" s="242" t="str">
        <f>IF(0=5, ROUND(0, 3),"--")</f>
        <v>--</v>
      </c>
      <c r="AB32" s="242" t="str">
        <f>IF(0=5, ROUND(0, 3),"--")</f>
        <v>--</v>
      </c>
      <c r="AC32" s="242" t="str">
        <f>IF(0=1, ROUND(0, 3),"--")</f>
        <v>--</v>
      </c>
      <c r="AD32" s="242" t="str">
        <f>IF(0=1, ROUND(0, 3),"--")</f>
        <v>--</v>
      </c>
      <c r="AE32" s="242" t="str">
        <f>IF(0=1, ROUND(0, 3),"--")</f>
        <v>--</v>
      </c>
      <c r="AF32" s="242" t="str">
        <f>IF(0=1, ROUND(0, 3),"--")</f>
        <v>--</v>
      </c>
      <c r="AG32" s="242">
        <v>0</v>
      </c>
      <c r="AH32" s="242">
        <v>1</v>
      </c>
      <c r="AI32" s="242">
        <v>0</v>
      </c>
      <c r="AJ32" s="105">
        <f>ROUND(75, 0)</f>
        <v>75</v>
      </c>
      <c r="AK32" s="105">
        <f>ROUND(75, 0)</f>
        <v>75</v>
      </c>
      <c r="AL32" s="105">
        <f>ROUND(75, 0)</f>
        <v>75</v>
      </c>
      <c r="AM32" s="105">
        <f>ROUND(75, 0)</f>
        <v>75</v>
      </c>
      <c r="AN32" s="260" t="str">
        <f>FIXED(0.361000001, 1)</f>
        <v>0.4</v>
      </c>
      <c r="AO32" s="260" t="str">
        <f>FIXED(0.361000001, 1)</f>
        <v>0.4</v>
      </c>
      <c r="AP32" s="260" t="str">
        <f>FIXED(0.263000011, 1)</f>
        <v>0.3</v>
      </c>
      <c r="AQ32" s="260" t="str">
        <f>FIXED(0, 1)</f>
        <v>0.0</v>
      </c>
      <c r="AR32" s="260" t="str">
        <f>FIXED(0.361000001, 1)</f>
        <v>0.4</v>
      </c>
      <c r="AS32" s="260" t="str">
        <f>FIXED(0.361000001, 1)</f>
        <v>0.4</v>
      </c>
      <c r="AT32" s="260" t="str">
        <f>FIXED(0.263000011, 1)</f>
        <v>0.3</v>
      </c>
      <c r="AU32" s="260" t="str">
        <f>FIXED(0, 1)</f>
        <v>0.0</v>
      </c>
      <c r="AV32" s="260" t="str">
        <f>FIXED(0.361000001, 1)</f>
        <v>0.4</v>
      </c>
      <c r="AW32" s="260" t="str">
        <f>FIXED(0.361000001, 1)</f>
        <v>0.4</v>
      </c>
      <c r="AX32" s="260" t="str">
        <f>FIXED(0.920000017, 1)</f>
        <v>0.9</v>
      </c>
      <c r="AY32" s="260" t="str">
        <f>FIXED(0, 1)</f>
        <v>0.0</v>
      </c>
      <c r="AZ32" s="105" t="str">
        <f>CHOOSE(0 + 1, "Ohms per", "Ohms")</f>
        <v>Ohms per</v>
      </c>
      <c r="BA32" s="105">
        <f>IF(0 = 0,ROUND(1, 0),"--")</f>
        <v>1</v>
      </c>
      <c r="BB32" s="105" t="str">
        <f>IF(0 = 0,CHOOSE((1 + 1), "ft", "mile", "m", "km"),"--")</f>
        <v>mile</v>
      </c>
      <c r="BC32" s="60"/>
      <c r="BD32" s="53" t="s">
        <v>6442</v>
      </c>
    </row>
    <row r="33" spans="1:56">
      <c r="A33" s="105" t="s">
        <v>6443</v>
      </c>
      <c r="B33" s="293">
        <f>ROUND(30, 1)</f>
        <v>30</v>
      </c>
      <c r="C33" s="58" t="str">
        <f>CHOOSE(2 + 1, "ft", "mile", "m", "km")</f>
        <v>m</v>
      </c>
      <c r="D33" s="105">
        <f>ROUND(0, 1)</f>
        <v>0</v>
      </c>
      <c r="E33" s="105" t="str">
        <f>IF(TRUE = TRUE, "Yes", "No")</f>
        <v>Yes</v>
      </c>
      <c r="F33" s="105" t="s">
        <v>5202</v>
      </c>
      <c r="G33" s="127" t="str">
        <f>IF(0 = 0, "3", "1")</f>
        <v>3</v>
      </c>
      <c r="H33" s="105"/>
      <c r="I33" s="105" t="str">
        <f>IF(TRIM("BUS_CNODE_JCT__1388") = "", "BUS_CNODE_JCT__1388", "BUS_CNODE_JCT__1388")</f>
        <v>BUS_CNODE_JCT__1388</v>
      </c>
      <c r="J33" s="105" t="str">
        <f>IF(TRIM("BUS_CNODE_JCT__1386") = "", "BUS_CNODE_JCT__1386", "BUS_CNODE_JCT__1386")</f>
        <v>BUS_CNODE_JCT__1386</v>
      </c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242" t="str">
        <f>IF(0=5, ROUND(0, 3),"--")</f>
        <v>--</v>
      </c>
      <c r="X33" s="242" t="str">
        <f>IF(0=5, ROUND(0, 3),"--")</f>
        <v>--</v>
      </c>
      <c r="Y33" s="242" t="str">
        <f>IF(0=5, ROUND(0, 3),"--")</f>
        <v>--</v>
      </c>
      <c r="Z33" s="242" t="str">
        <f>IF(0=5, ROUND(0, 3),"--")</f>
        <v>--</v>
      </c>
      <c r="AA33" s="242" t="str">
        <f>IF(0=5, ROUND(0, 3),"--")</f>
        <v>--</v>
      </c>
      <c r="AB33" s="242" t="str">
        <f>IF(0=5, ROUND(0, 3),"--")</f>
        <v>--</v>
      </c>
      <c r="AC33" s="242" t="str">
        <f>IF(0=1, ROUND(0, 3),"--")</f>
        <v>--</v>
      </c>
      <c r="AD33" s="242" t="str">
        <f>IF(0=1, ROUND(0, 3),"--")</f>
        <v>--</v>
      </c>
      <c r="AE33" s="242" t="str">
        <f>IF(0=1, ROUND(0, 3),"--")</f>
        <v>--</v>
      </c>
      <c r="AF33" s="242" t="str">
        <f>IF(0=1, ROUND(0, 3),"--")</f>
        <v>--</v>
      </c>
      <c r="AG33" s="242">
        <v>0</v>
      </c>
      <c r="AH33" s="242">
        <v>1</v>
      </c>
      <c r="AI33" s="242">
        <v>0</v>
      </c>
      <c r="AJ33" s="105">
        <f>ROUND(75, 0)</f>
        <v>75</v>
      </c>
      <c r="AK33" s="105">
        <f>ROUND(75, 0)</f>
        <v>75</v>
      </c>
      <c r="AL33" s="105">
        <f>ROUND(75, 0)</f>
        <v>75</v>
      </c>
      <c r="AM33" s="105">
        <f>ROUND(75, 0)</f>
        <v>75</v>
      </c>
      <c r="AN33" s="260" t="str">
        <f>FIXED(0.361000001, 1)</f>
        <v>0.4</v>
      </c>
      <c r="AO33" s="260" t="str">
        <f>FIXED(0.361000001, 1)</f>
        <v>0.4</v>
      </c>
      <c r="AP33" s="260" t="str">
        <f>FIXED(0.263000011, 1)</f>
        <v>0.3</v>
      </c>
      <c r="AQ33" s="260" t="str">
        <f>FIXED(0, 1)</f>
        <v>0.0</v>
      </c>
      <c r="AR33" s="260" t="str">
        <f>FIXED(0.361000001, 1)</f>
        <v>0.4</v>
      </c>
      <c r="AS33" s="260" t="str">
        <f>FIXED(0.361000001, 1)</f>
        <v>0.4</v>
      </c>
      <c r="AT33" s="260" t="str">
        <f>FIXED(0.263000011, 1)</f>
        <v>0.3</v>
      </c>
      <c r="AU33" s="260" t="str">
        <f>FIXED(0, 1)</f>
        <v>0.0</v>
      </c>
      <c r="AV33" s="260" t="str">
        <f>FIXED(0.361000001, 1)</f>
        <v>0.4</v>
      </c>
      <c r="AW33" s="260" t="str">
        <f>FIXED(0.361000001, 1)</f>
        <v>0.4</v>
      </c>
      <c r="AX33" s="260" t="str">
        <f>FIXED(0.920000017, 1)</f>
        <v>0.9</v>
      </c>
      <c r="AY33" s="260" t="str">
        <f>FIXED(0, 1)</f>
        <v>0.0</v>
      </c>
      <c r="AZ33" s="105" t="str">
        <f>CHOOSE(0 + 1, "Ohms per", "Ohms")</f>
        <v>Ohms per</v>
      </c>
      <c r="BA33" s="105">
        <f>IF(0 = 0,ROUND(1, 0),"--")</f>
        <v>1</v>
      </c>
      <c r="BB33" s="105" t="str">
        <f>IF(0 = 0,CHOOSE((1 + 1), "ft", "mile", "m", "km"),"--")</f>
        <v>mile</v>
      </c>
      <c r="BC33" s="60"/>
      <c r="BD33" s="53" t="s">
        <v>6444</v>
      </c>
    </row>
    <row r="34" spans="1:56">
      <c r="A34" s="105" t="s">
        <v>6445</v>
      </c>
      <c r="B34" s="293">
        <f>ROUND(30, 1)</f>
        <v>30</v>
      </c>
      <c r="C34" s="58" t="str">
        <f>CHOOSE(2 + 1, "ft", "mile", "m", "km")</f>
        <v>m</v>
      </c>
      <c r="D34" s="105">
        <f>ROUND(0, 1)</f>
        <v>0</v>
      </c>
      <c r="E34" s="105" t="str">
        <f>IF(TRUE = TRUE, "Yes", "No")</f>
        <v>Yes</v>
      </c>
      <c r="F34" s="105" t="s">
        <v>5202</v>
      </c>
      <c r="G34" s="127" t="str">
        <f>IF(0 = 0, "3", "1")</f>
        <v>3</v>
      </c>
      <c r="H34" s="105"/>
      <c r="I34" s="105" t="str">
        <f>IF(TRIM("BUS_CNODE_JCT__1386") = "", "BUS_CNODE_JCT__1386", "BUS_CNODE_JCT__1386")</f>
        <v>BUS_CNODE_JCT__1386</v>
      </c>
      <c r="J34" s="105" t="str">
        <f>IF(TRIM("BUS_CNODE_JCT__1387") = "", "BUS_CNODE_JCT__1387", "BUS_CNODE_JCT__1387")</f>
        <v>BUS_CNODE_JCT__1387</v>
      </c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242" t="str">
        <f>IF(0=5, ROUND(0, 3),"--")</f>
        <v>--</v>
      </c>
      <c r="X34" s="242" t="str">
        <f>IF(0=5, ROUND(0, 3),"--")</f>
        <v>--</v>
      </c>
      <c r="Y34" s="242" t="str">
        <f>IF(0=5, ROUND(0, 3),"--")</f>
        <v>--</v>
      </c>
      <c r="Z34" s="242" t="str">
        <f>IF(0=5, ROUND(0, 3),"--")</f>
        <v>--</v>
      </c>
      <c r="AA34" s="242" t="str">
        <f>IF(0=5, ROUND(0, 3),"--")</f>
        <v>--</v>
      </c>
      <c r="AB34" s="242" t="str">
        <f>IF(0=5, ROUND(0, 3),"--")</f>
        <v>--</v>
      </c>
      <c r="AC34" s="242" t="str">
        <f>IF(0=1, ROUND(0, 3),"--")</f>
        <v>--</v>
      </c>
      <c r="AD34" s="242" t="str">
        <f>IF(0=1, ROUND(0, 3),"--")</f>
        <v>--</v>
      </c>
      <c r="AE34" s="242" t="str">
        <f>IF(0=1, ROUND(0, 3),"--")</f>
        <v>--</v>
      </c>
      <c r="AF34" s="242" t="str">
        <f>IF(0=1, ROUND(0, 3),"--")</f>
        <v>--</v>
      </c>
      <c r="AG34" s="242">
        <v>0</v>
      </c>
      <c r="AH34" s="242">
        <v>1</v>
      </c>
      <c r="AI34" s="242">
        <v>0</v>
      </c>
      <c r="AJ34" s="105">
        <f>ROUND(75, 0)</f>
        <v>75</v>
      </c>
      <c r="AK34" s="105">
        <f>ROUND(75, 0)</f>
        <v>75</v>
      </c>
      <c r="AL34" s="105">
        <f>ROUND(75, 0)</f>
        <v>75</v>
      </c>
      <c r="AM34" s="105">
        <f>ROUND(75, 0)</f>
        <v>75</v>
      </c>
      <c r="AN34" s="260" t="str">
        <f>FIXED(0.361000001, 1)</f>
        <v>0.4</v>
      </c>
      <c r="AO34" s="260" t="str">
        <f>FIXED(0.361000001, 1)</f>
        <v>0.4</v>
      </c>
      <c r="AP34" s="260" t="str">
        <f>FIXED(0.263000011, 1)</f>
        <v>0.3</v>
      </c>
      <c r="AQ34" s="260" t="str">
        <f>FIXED(0, 1)</f>
        <v>0.0</v>
      </c>
      <c r="AR34" s="260" t="str">
        <f>FIXED(0.361000001, 1)</f>
        <v>0.4</v>
      </c>
      <c r="AS34" s="260" t="str">
        <f>FIXED(0.361000001, 1)</f>
        <v>0.4</v>
      </c>
      <c r="AT34" s="260" t="str">
        <f>FIXED(0.263000011, 1)</f>
        <v>0.3</v>
      </c>
      <c r="AU34" s="260" t="str">
        <f>FIXED(0, 1)</f>
        <v>0.0</v>
      </c>
      <c r="AV34" s="260" t="str">
        <f>FIXED(0.361000001, 1)</f>
        <v>0.4</v>
      </c>
      <c r="AW34" s="260" t="str">
        <f>FIXED(0.361000001, 1)</f>
        <v>0.4</v>
      </c>
      <c r="AX34" s="260" t="str">
        <f>FIXED(0.920000017, 1)</f>
        <v>0.9</v>
      </c>
      <c r="AY34" s="260" t="str">
        <f>FIXED(0, 1)</f>
        <v>0.0</v>
      </c>
      <c r="AZ34" s="105" t="str">
        <f>CHOOSE(0 + 1, "Ohms per", "Ohms")</f>
        <v>Ohms per</v>
      </c>
      <c r="BA34" s="105">
        <f>IF(0 = 0,ROUND(1, 0),"--")</f>
        <v>1</v>
      </c>
      <c r="BB34" s="105" t="str">
        <f>IF(0 = 0,CHOOSE((1 + 1), "ft", "mile", "m", "km"),"--")</f>
        <v>mile</v>
      </c>
      <c r="BC34" s="60"/>
      <c r="BD34" s="53" t="s">
        <v>6446</v>
      </c>
    </row>
    <row r="35" spans="1:56">
      <c r="A35" s="105" t="s">
        <v>6447</v>
      </c>
      <c r="B35" s="293">
        <f>ROUND(50, 1)</f>
        <v>50</v>
      </c>
      <c r="C35" s="58" t="str">
        <f>CHOOSE(2 + 1, "ft", "mile", "m", "km")</f>
        <v>m</v>
      </c>
      <c r="D35" s="105">
        <f>ROUND(0, 1)</f>
        <v>0</v>
      </c>
      <c r="E35" s="105" t="str">
        <f>IF(TRUE = TRUE, "Yes", "No")</f>
        <v>Yes</v>
      </c>
      <c r="F35" s="105" t="s">
        <v>5202</v>
      </c>
      <c r="G35" s="127" t="str">
        <f>IF(0 = 0, "3", "1")</f>
        <v>3</v>
      </c>
      <c r="H35" s="105"/>
      <c r="I35" s="105" t="str">
        <f>IF(TRIM("BUS_CNODE_JCT__1387") = "", "BUS_CNODE_JCT__1387", "BUS_CNODE_JCT__1387")</f>
        <v>BUS_CNODE_JCT__1387</v>
      </c>
      <c r="J35" s="105" t="str">
        <f>IF(TRIM("BUS_CNODE_JCT__1412") = "", "BUS_CNODE_JCT__1412", "BUS_CNODE_JCT__1412")</f>
        <v>BUS_CNODE_JCT__1412</v>
      </c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242" t="str">
        <f>IF(0=5, ROUND(0, 3),"--")</f>
        <v>--</v>
      </c>
      <c r="X35" s="242" t="str">
        <f>IF(0=5, ROUND(0, 3),"--")</f>
        <v>--</v>
      </c>
      <c r="Y35" s="242" t="str">
        <f>IF(0=5, ROUND(0, 3),"--")</f>
        <v>--</v>
      </c>
      <c r="Z35" s="242" t="str">
        <f>IF(0=5, ROUND(0, 3),"--")</f>
        <v>--</v>
      </c>
      <c r="AA35" s="242" t="str">
        <f>IF(0=5, ROUND(0, 3),"--")</f>
        <v>--</v>
      </c>
      <c r="AB35" s="242" t="str">
        <f>IF(0=5, ROUND(0, 3),"--")</f>
        <v>--</v>
      </c>
      <c r="AC35" s="242" t="str">
        <f>IF(0=1, ROUND(0, 3),"--")</f>
        <v>--</v>
      </c>
      <c r="AD35" s="242" t="str">
        <f>IF(0=1, ROUND(0, 3),"--")</f>
        <v>--</v>
      </c>
      <c r="AE35" s="242" t="str">
        <f>IF(0=1, ROUND(0, 3),"--")</f>
        <v>--</v>
      </c>
      <c r="AF35" s="242" t="str">
        <f>IF(0=1, ROUND(0, 3),"--")</f>
        <v>--</v>
      </c>
      <c r="AG35" s="242">
        <v>0</v>
      </c>
      <c r="AH35" s="242">
        <v>1</v>
      </c>
      <c r="AI35" s="242">
        <v>0</v>
      </c>
      <c r="AJ35" s="105">
        <f>ROUND(75, 0)</f>
        <v>75</v>
      </c>
      <c r="AK35" s="105">
        <f>ROUND(75, 0)</f>
        <v>75</v>
      </c>
      <c r="AL35" s="105">
        <f>ROUND(75, 0)</f>
        <v>75</v>
      </c>
      <c r="AM35" s="105">
        <f>ROUND(75, 0)</f>
        <v>75</v>
      </c>
      <c r="AN35" s="260" t="str">
        <f>FIXED(0.361000001, 1)</f>
        <v>0.4</v>
      </c>
      <c r="AO35" s="260" t="str">
        <f>FIXED(0.361000001, 1)</f>
        <v>0.4</v>
      </c>
      <c r="AP35" s="260" t="str">
        <f>FIXED(0.263000011, 1)</f>
        <v>0.3</v>
      </c>
      <c r="AQ35" s="260" t="str">
        <f>FIXED(0, 1)</f>
        <v>0.0</v>
      </c>
      <c r="AR35" s="260" t="str">
        <f>FIXED(0.361000001, 1)</f>
        <v>0.4</v>
      </c>
      <c r="AS35" s="260" t="str">
        <f>FIXED(0.361000001, 1)</f>
        <v>0.4</v>
      </c>
      <c r="AT35" s="260" t="str">
        <f>FIXED(0.263000011, 1)</f>
        <v>0.3</v>
      </c>
      <c r="AU35" s="260" t="str">
        <f>FIXED(0, 1)</f>
        <v>0.0</v>
      </c>
      <c r="AV35" s="260" t="str">
        <f>FIXED(0.361000001, 1)</f>
        <v>0.4</v>
      </c>
      <c r="AW35" s="260" t="str">
        <f>FIXED(0.361000001, 1)</f>
        <v>0.4</v>
      </c>
      <c r="AX35" s="260" t="str">
        <f>FIXED(0.920000017, 1)</f>
        <v>0.9</v>
      </c>
      <c r="AY35" s="260" t="str">
        <f>FIXED(0, 1)</f>
        <v>0.0</v>
      </c>
      <c r="AZ35" s="105" t="str">
        <f>CHOOSE(0 + 1, "Ohms per", "Ohms")</f>
        <v>Ohms per</v>
      </c>
      <c r="BA35" s="105">
        <f>IF(0 = 0,ROUND(1, 0),"--")</f>
        <v>1</v>
      </c>
      <c r="BB35" s="105" t="str">
        <f>IF(0 = 0,CHOOSE((1 + 1), "ft", "mile", "m", "km"),"--")</f>
        <v>mile</v>
      </c>
      <c r="BC35" s="60"/>
      <c r="BD35" s="53" t="s">
        <v>6448</v>
      </c>
    </row>
    <row r="36" spans="1:56">
      <c r="A36" s="105" t="s">
        <v>6449</v>
      </c>
      <c r="B36" s="293">
        <f>ROUND(50, 1)</f>
        <v>50</v>
      </c>
      <c r="C36" s="58" t="str">
        <f>CHOOSE(2 + 1, "ft", "mile", "m", "km")</f>
        <v>m</v>
      </c>
      <c r="D36" s="105">
        <f>ROUND(0, 1)</f>
        <v>0</v>
      </c>
      <c r="E36" s="105" t="str">
        <f>IF(TRUE = TRUE, "Yes", "No")</f>
        <v>Yes</v>
      </c>
      <c r="F36" s="105" t="s">
        <v>5202</v>
      </c>
      <c r="G36" s="127" t="str">
        <f>IF(0 = 0, "3", "1")</f>
        <v>3</v>
      </c>
      <c r="H36" s="105"/>
      <c r="I36" s="105" t="str">
        <f>IF(TRIM("BUS_CNODE_JCT__1412") = "", "BUS_CNODE_JCT__1412", "BUS_CNODE_JCT__1412")</f>
        <v>BUS_CNODE_JCT__1412</v>
      </c>
      <c r="J36" s="105" t="str">
        <f>IF(TRIM("BUS_CNODE_JCT__1410") = "", "BUS_CNODE_JCT__1410", "BUS_CNODE_JCT__1410")</f>
        <v>BUS_CNODE_JCT__1410</v>
      </c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242" t="str">
        <f>IF(0=5, ROUND(0, 3),"--")</f>
        <v>--</v>
      </c>
      <c r="X36" s="242" t="str">
        <f>IF(0=5, ROUND(0, 3),"--")</f>
        <v>--</v>
      </c>
      <c r="Y36" s="242" t="str">
        <f>IF(0=5, ROUND(0, 3),"--")</f>
        <v>--</v>
      </c>
      <c r="Z36" s="242" t="str">
        <f>IF(0=5, ROUND(0, 3),"--")</f>
        <v>--</v>
      </c>
      <c r="AA36" s="242" t="str">
        <f>IF(0=5, ROUND(0, 3),"--")</f>
        <v>--</v>
      </c>
      <c r="AB36" s="242" t="str">
        <f>IF(0=5, ROUND(0, 3),"--")</f>
        <v>--</v>
      </c>
      <c r="AC36" s="242" t="str">
        <f>IF(0=1, ROUND(0, 3),"--")</f>
        <v>--</v>
      </c>
      <c r="AD36" s="242" t="str">
        <f>IF(0=1, ROUND(0, 3),"--")</f>
        <v>--</v>
      </c>
      <c r="AE36" s="242" t="str">
        <f>IF(0=1, ROUND(0, 3),"--")</f>
        <v>--</v>
      </c>
      <c r="AF36" s="242" t="str">
        <f>IF(0=1, ROUND(0, 3),"--")</f>
        <v>--</v>
      </c>
      <c r="AG36" s="242">
        <v>0</v>
      </c>
      <c r="AH36" s="242">
        <v>1</v>
      </c>
      <c r="AI36" s="242">
        <v>0</v>
      </c>
      <c r="AJ36" s="105">
        <f>ROUND(75, 0)</f>
        <v>75</v>
      </c>
      <c r="AK36" s="105">
        <f>ROUND(75, 0)</f>
        <v>75</v>
      </c>
      <c r="AL36" s="105">
        <f>ROUND(75, 0)</f>
        <v>75</v>
      </c>
      <c r="AM36" s="105">
        <f>ROUND(75, 0)</f>
        <v>75</v>
      </c>
      <c r="AN36" s="260" t="str">
        <f>FIXED(0.361000001, 1)</f>
        <v>0.4</v>
      </c>
      <c r="AO36" s="260" t="str">
        <f>FIXED(0.361000001, 1)</f>
        <v>0.4</v>
      </c>
      <c r="AP36" s="260" t="str">
        <f>FIXED(0.263000011, 1)</f>
        <v>0.3</v>
      </c>
      <c r="AQ36" s="260" t="str">
        <f>FIXED(0, 1)</f>
        <v>0.0</v>
      </c>
      <c r="AR36" s="260" t="str">
        <f>FIXED(0.361000001, 1)</f>
        <v>0.4</v>
      </c>
      <c r="AS36" s="260" t="str">
        <f>FIXED(0.361000001, 1)</f>
        <v>0.4</v>
      </c>
      <c r="AT36" s="260" t="str">
        <f>FIXED(0.263000011, 1)</f>
        <v>0.3</v>
      </c>
      <c r="AU36" s="260" t="str">
        <f>FIXED(0, 1)</f>
        <v>0.0</v>
      </c>
      <c r="AV36" s="260" t="str">
        <f>FIXED(0.361000001, 1)</f>
        <v>0.4</v>
      </c>
      <c r="AW36" s="260" t="str">
        <f>FIXED(0.361000001, 1)</f>
        <v>0.4</v>
      </c>
      <c r="AX36" s="260" t="str">
        <f>FIXED(0.920000017, 1)</f>
        <v>0.9</v>
      </c>
      <c r="AY36" s="260" t="str">
        <f>FIXED(0, 1)</f>
        <v>0.0</v>
      </c>
      <c r="AZ36" s="105" t="str">
        <f>CHOOSE(0 + 1, "Ohms per", "Ohms")</f>
        <v>Ohms per</v>
      </c>
      <c r="BA36" s="105">
        <f>IF(0 = 0,ROUND(1, 0),"--")</f>
        <v>1</v>
      </c>
      <c r="BB36" s="105" t="str">
        <f>IF(0 = 0,CHOOSE((1 + 1), "ft", "mile", "m", "km"),"--")</f>
        <v>mile</v>
      </c>
      <c r="BC36" s="60"/>
      <c r="BD36" s="53" t="s">
        <v>6450</v>
      </c>
    </row>
    <row r="37" spans="1:56">
      <c r="A37" s="105" t="s">
        <v>6451</v>
      </c>
      <c r="B37" s="293">
        <f>ROUND(50, 1)</f>
        <v>50</v>
      </c>
      <c r="C37" s="58" t="str">
        <f>CHOOSE(2 + 1, "ft", "mile", "m", "km")</f>
        <v>m</v>
      </c>
      <c r="D37" s="105">
        <f>ROUND(0, 1)</f>
        <v>0</v>
      </c>
      <c r="E37" s="105" t="str">
        <f>IF(TRUE = TRUE, "Yes", "No")</f>
        <v>Yes</v>
      </c>
      <c r="F37" s="105" t="s">
        <v>5202</v>
      </c>
      <c r="G37" s="127" t="str">
        <f>IF(0 = 0, "3", "1")</f>
        <v>3</v>
      </c>
      <c r="H37" s="105"/>
      <c r="I37" s="105" t="str">
        <f>IF(TRIM("BUS_CNODE_JCT__1410") = "", "BUS_CNODE_JCT__1410", "BUS_CNODE_JCT__1410")</f>
        <v>BUS_CNODE_JCT__1410</v>
      </c>
      <c r="J37" s="105" t="str">
        <f>IF(TRIM("BUS_CNODE_JCT__1411") = "", "BUS_CNODE_JCT__1411", "BUS_CNODE_JCT__1411")</f>
        <v>BUS_CNODE_JCT__1411</v>
      </c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242" t="str">
        <f>IF(0=5, ROUND(0, 3),"--")</f>
        <v>--</v>
      </c>
      <c r="X37" s="242" t="str">
        <f>IF(0=5, ROUND(0, 3),"--")</f>
        <v>--</v>
      </c>
      <c r="Y37" s="242" t="str">
        <f>IF(0=5, ROUND(0, 3),"--")</f>
        <v>--</v>
      </c>
      <c r="Z37" s="242" t="str">
        <f>IF(0=5, ROUND(0, 3),"--")</f>
        <v>--</v>
      </c>
      <c r="AA37" s="242" t="str">
        <f>IF(0=5, ROUND(0, 3),"--")</f>
        <v>--</v>
      </c>
      <c r="AB37" s="242" t="str">
        <f>IF(0=5, ROUND(0, 3),"--")</f>
        <v>--</v>
      </c>
      <c r="AC37" s="242" t="str">
        <f>IF(0=1, ROUND(0, 3),"--")</f>
        <v>--</v>
      </c>
      <c r="AD37" s="242" t="str">
        <f>IF(0=1, ROUND(0, 3),"--")</f>
        <v>--</v>
      </c>
      <c r="AE37" s="242" t="str">
        <f>IF(0=1, ROUND(0, 3),"--")</f>
        <v>--</v>
      </c>
      <c r="AF37" s="242" t="str">
        <f>IF(0=1, ROUND(0, 3),"--")</f>
        <v>--</v>
      </c>
      <c r="AG37" s="242">
        <v>0</v>
      </c>
      <c r="AH37" s="242">
        <v>1</v>
      </c>
      <c r="AI37" s="242">
        <v>0</v>
      </c>
      <c r="AJ37" s="105">
        <f>ROUND(75, 0)</f>
        <v>75</v>
      </c>
      <c r="AK37" s="105">
        <f>ROUND(75, 0)</f>
        <v>75</v>
      </c>
      <c r="AL37" s="105">
        <f>ROUND(75, 0)</f>
        <v>75</v>
      </c>
      <c r="AM37" s="105">
        <f>ROUND(75, 0)</f>
        <v>75</v>
      </c>
      <c r="AN37" s="260" t="str">
        <f>FIXED(0.361000001, 1)</f>
        <v>0.4</v>
      </c>
      <c r="AO37" s="260" t="str">
        <f>FIXED(0.361000001, 1)</f>
        <v>0.4</v>
      </c>
      <c r="AP37" s="260" t="str">
        <f>FIXED(0.263000011, 1)</f>
        <v>0.3</v>
      </c>
      <c r="AQ37" s="260" t="str">
        <f>FIXED(0, 1)</f>
        <v>0.0</v>
      </c>
      <c r="AR37" s="260" t="str">
        <f>FIXED(0.361000001, 1)</f>
        <v>0.4</v>
      </c>
      <c r="AS37" s="260" t="str">
        <f>FIXED(0.361000001, 1)</f>
        <v>0.4</v>
      </c>
      <c r="AT37" s="260" t="str">
        <f>FIXED(0.263000011, 1)</f>
        <v>0.3</v>
      </c>
      <c r="AU37" s="260" t="str">
        <f>FIXED(0, 1)</f>
        <v>0.0</v>
      </c>
      <c r="AV37" s="260" t="str">
        <f>FIXED(0.361000001, 1)</f>
        <v>0.4</v>
      </c>
      <c r="AW37" s="260" t="str">
        <f>FIXED(0.361000001, 1)</f>
        <v>0.4</v>
      </c>
      <c r="AX37" s="260" t="str">
        <f>FIXED(0.920000017, 1)</f>
        <v>0.9</v>
      </c>
      <c r="AY37" s="260" t="str">
        <f>FIXED(0, 1)</f>
        <v>0.0</v>
      </c>
      <c r="AZ37" s="105" t="str">
        <f>CHOOSE(0 + 1, "Ohms per", "Ohms")</f>
        <v>Ohms per</v>
      </c>
      <c r="BA37" s="105">
        <f>IF(0 = 0,ROUND(1, 0),"--")</f>
        <v>1</v>
      </c>
      <c r="BB37" s="105" t="str">
        <f>IF(0 = 0,CHOOSE((1 + 1), "ft", "mile", "m", "km"),"--")</f>
        <v>mile</v>
      </c>
      <c r="BC37" s="60"/>
      <c r="BD37" s="53" t="s">
        <v>6452</v>
      </c>
    </row>
    <row r="38" spans="1:56">
      <c r="A38" s="105" t="s">
        <v>6453</v>
      </c>
      <c r="B38" s="293">
        <f>ROUND(50, 1)</f>
        <v>50</v>
      </c>
      <c r="C38" s="58" t="str">
        <f>CHOOSE(2 + 1, "ft", "mile", "m", "km")</f>
        <v>m</v>
      </c>
      <c r="D38" s="105">
        <f>ROUND(0, 1)</f>
        <v>0</v>
      </c>
      <c r="E38" s="105" t="str">
        <f>IF(TRUE = TRUE, "Yes", "No")</f>
        <v>Yes</v>
      </c>
      <c r="F38" s="105" t="s">
        <v>5202</v>
      </c>
      <c r="G38" s="127" t="str">
        <f>IF(0 = 0, "3", "1")</f>
        <v>3</v>
      </c>
      <c r="H38" s="105"/>
      <c r="I38" s="105" t="str">
        <f>IF(TRIM("BUS_CNODE_JCT__1420") = "", "BUS_CNODE_JCT__1420", "BUS_CNODE_JCT__1420")</f>
        <v>BUS_CNODE_JCT__1420</v>
      </c>
      <c r="J38" s="105" t="str">
        <f>IF(TRIM("BUS_CNODE_JCT__1409") = "", "BUS_CNODE_JCT__1409", "BUS_CNODE_JCT__1409")</f>
        <v>BUS_CNODE_JCT__1409</v>
      </c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242" t="str">
        <f>IF(0=5, ROUND(0, 3),"--")</f>
        <v>--</v>
      </c>
      <c r="X38" s="242" t="str">
        <f>IF(0=5, ROUND(0, 3),"--")</f>
        <v>--</v>
      </c>
      <c r="Y38" s="242" t="str">
        <f>IF(0=5, ROUND(0, 3),"--")</f>
        <v>--</v>
      </c>
      <c r="Z38" s="242" t="str">
        <f>IF(0=5, ROUND(0, 3),"--")</f>
        <v>--</v>
      </c>
      <c r="AA38" s="242" t="str">
        <f>IF(0=5, ROUND(0, 3),"--")</f>
        <v>--</v>
      </c>
      <c r="AB38" s="242" t="str">
        <f>IF(0=5, ROUND(0, 3),"--")</f>
        <v>--</v>
      </c>
      <c r="AC38" s="242" t="str">
        <f>IF(0=1, ROUND(0, 3),"--")</f>
        <v>--</v>
      </c>
      <c r="AD38" s="242" t="str">
        <f>IF(0=1, ROUND(0, 3),"--")</f>
        <v>--</v>
      </c>
      <c r="AE38" s="242" t="str">
        <f>IF(0=1, ROUND(0, 3),"--")</f>
        <v>--</v>
      </c>
      <c r="AF38" s="242" t="str">
        <f>IF(0=1, ROUND(0, 3),"--")</f>
        <v>--</v>
      </c>
      <c r="AG38" s="242">
        <v>0</v>
      </c>
      <c r="AH38" s="242">
        <v>1</v>
      </c>
      <c r="AI38" s="242">
        <v>0</v>
      </c>
      <c r="AJ38" s="105">
        <f>ROUND(75, 0)</f>
        <v>75</v>
      </c>
      <c r="AK38" s="105">
        <f>ROUND(75, 0)</f>
        <v>75</v>
      </c>
      <c r="AL38" s="105">
        <f>ROUND(75, 0)</f>
        <v>75</v>
      </c>
      <c r="AM38" s="105">
        <f>ROUND(75, 0)</f>
        <v>75</v>
      </c>
      <c r="AN38" s="260" t="str">
        <f>FIXED(0.361000001, 1)</f>
        <v>0.4</v>
      </c>
      <c r="AO38" s="260" t="str">
        <f>FIXED(0.361000001, 1)</f>
        <v>0.4</v>
      </c>
      <c r="AP38" s="260" t="str">
        <f>FIXED(0.263000011, 1)</f>
        <v>0.3</v>
      </c>
      <c r="AQ38" s="260" t="str">
        <f>FIXED(0, 1)</f>
        <v>0.0</v>
      </c>
      <c r="AR38" s="260" t="str">
        <f>FIXED(0.361000001, 1)</f>
        <v>0.4</v>
      </c>
      <c r="AS38" s="260" t="str">
        <f>FIXED(0.361000001, 1)</f>
        <v>0.4</v>
      </c>
      <c r="AT38" s="260" t="str">
        <f>FIXED(0.263000011, 1)</f>
        <v>0.3</v>
      </c>
      <c r="AU38" s="260" t="str">
        <f>FIXED(0, 1)</f>
        <v>0.0</v>
      </c>
      <c r="AV38" s="260" t="str">
        <f>FIXED(0.361000001, 1)</f>
        <v>0.4</v>
      </c>
      <c r="AW38" s="260" t="str">
        <f>FIXED(0.361000001, 1)</f>
        <v>0.4</v>
      </c>
      <c r="AX38" s="260" t="str">
        <f>FIXED(0.920000017, 1)</f>
        <v>0.9</v>
      </c>
      <c r="AY38" s="260" t="str">
        <f>FIXED(0, 1)</f>
        <v>0.0</v>
      </c>
      <c r="AZ38" s="105" t="str">
        <f>CHOOSE(0 + 1, "Ohms per", "Ohms")</f>
        <v>Ohms per</v>
      </c>
      <c r="BA38" s="105">
        <f>IF(0 = 0,ROUND(1, 0),"--")</f>
        <v>1</v>
      </c>
      <c r="BB38" s="105" t="str">
        <f>IF(0 = 0,CHOOSE((1 + 1), "ft", "mile", "m", "km"),"--")</f>
        <v>mile</v>
      </c>
      <c r="BC38" s="60"/>
      <c r="BD38" s="53" t="s">
        <v>6454</v>
      </c>
    </row>
    <row r="39" spans="1:56">
      <c r="A39" s="105" t="s">
        <v>6455</v>
      </c>
      <c r="B39" s="293">
        <f>ROUND(50, 1)</f>
        <v>50</v>
      </c>
      <c r="C39" s="58" t="str">
        <f>CHOOSE(2 + 1, "ft", "mile", "m", "km")</f>
        <v>m</v>
      </c>
      <c r="D39" s="105">
        <f>ROUND(0, 1)</f>
        <v>0</v>
      </c>
      <c r="E39" s="105" t="str">
        <f>IF(TRUE = TRUE, "Yes", "No")</f>
        <v>Yes</v>
      </c>
      <c r="F39" s="105" t="s">
        <v>5202</v>
      </c>
      <c r="G39" s="127" t="str">
        <f>IF(0 = 0, "3", "1")</f>
        <v>3</v>
      </c>
      <c r="H39" s="105"/>
      <c r="I39" s="105" t="str">
        <f>IF(TRIM("BUS_CNODE_JCT__1409") = "", "BUS_CNODE_JCT__1409", "BUS_CNODE_JCT__1409")</f>
        <v>BUS_CNODE_JCT__1409</v>
      </c>
      <c r="J39" s="105" t="str">
        <f>IF(TRIM("BUS_CNODE_JCT__1408") = "", "BUS_CNODE_JCT__1408", "BUS_CNODE_JCT__1408")</f>
        <v>BUS_CNODE_JCT__1408</v>
      </c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242" t="str">
        <f>IF(0=5, ROUND(0, 3),"--")</f>
        <v>--</v>
      </c>
      <c r="X39" s="242" t="str">
        <f>IF(0=5, ROUND(0, 3),"--")</f>
        <v>--</v>
      </c>
      <c r="Y39" s="242" t="str">
        <f>IF(0=5, ROUND(0, 3),"--")</f>
        <v>--</v>
      </c>
      <c r="Z39" s="242" t="str">
        <f>IF(0=5, ROUND(0, 3),"--")</f>
        <v>--</v>
      </c>
      <c r="AA39" s="242" t="str">
        <f>IF(0=5, ROUND(0, 3),"--")</f>
        <v>--</v>
      </c>
      <c r="AB39" s="242" t="str">
        <f>IF(0=5, ROUND(0, 3),"--")</f>
        <v>--</v>
      </c>
      <c r="AC39" s="242" t="str">
        <f>IF(0=1, ROUND(0, 3),"--")</f>
        <v>--</v>
      </c>
      <c r="AD39" s="242" t="str">
        <f>IF(0=1, ROUND(0, 3),"--")</f>
        <v>--</v>
      </c>
      <c r="AE39" s="242" t="str">
        <f>IF(0=1, ROUND(0, 3),"--")</f>
        <v>--</v>
      </c>
      <c r="AF39" s="242" t="str">
        <f>IF(0=1, ROUND(0, 3),"--")</f>
        <v>--</v>
      </c>
      <c r="AG39" s="242">
        <v>0</v>
      </c>
      <c r="AH39" s="242">
        <v>1</v>
      </c>
      <c r="AI39" s="242">
        <v>0</v>
      </c>
      <c r="AJ39" s="105">
        <f>ROUND(75, 0)</f>
        <v>75</v>
      </c>
      <c r="AK39" s="105">
        <f>ROUND(75, 0)</f>
        <v>75</v>
      </c>
      <c r="AL39" s="105">
        <f>ROUND(75, 0)</f>
        <v>75</v>
      </c>
      <c r="AM39" s="105">
        <f>ROUND(75, 0)</f>
        <v>75</v>
      </c>
      <c r="AN39" s="260" t="str">
        <f>FIXED(0.361000001, 1)</f>
        <v>0.4</v>
      </c>
      <c r="AO39" s="260" t="str">
        <f>FIXED(0.361000001, 1)</f>
        <v>0.4</v>
      </c>
      <c r="AP39" s="260" t="str">
        <f>FIXED(0.263000011, 1)</f>
        <v>0.3</v>
      </c>
      <c r="AQ39" s="260" t="str">
        <f>FIXED(0, 1)</f>
        <v>0.0</v>
      </c>
      <c r="AR39" s="260" t="str">
        <f>FIXED(0.361000001, 1)</f>
        <v>0.4</v>
      </c>
      <c r="AS39" s="260" t="str">
        <f>FIXED(0.361000001, 1)</f>
        <v>0.4</v>
      </c>
      <c r="AT39" s="260" t="str">
        <f>FIXED(0.263000011, 1)</f>
        <v>0.3</v>
      </c>
      <c r="AU39" s="260" t="str">
        <f>FIXED(0, 1)</f>
        <v>0.0</v>
      </c>
      <c r="AV39" s="260" t="str">
        <f>FIXED(0.361000001, 1)</f>
        <v>0.4</v>
      </c>
      <c r="AW39" s="260" t="str">
        <f>FIXED(0.361000001, 1)</f>
        <v>0.4</v>
      </c>
      <c r="AX39" s="260" t="str">
        <f>FIXED(0.920000017, 1)</f>
        <v>0.9</v>
      </c>
      <c r="AY39" s="260" t="str">
        <f>FIXED(0, 1)</f>
        <v>0.0</v>
      </c>
      <c r="AZ39" s="105" t="str">
        <f>CHOOSE(0 + 1, "Ohms per", "Ohms")</f>
        <v>Ohms per</v>
      </c>
      <c r="BA39" s="105">
        <f>IF(0 = 0,ROUND(1, 0),"--")</f>
        <v>1</v>
      </c>
      <c r="BB39" s="105" t="str">
        <f>IF(0 = 0,CHOOSE((1 + 1), "ft", "mile", "m", "km"),"--")</f>
        <v>mile</v>
      </c>
      <c r="BC39" s="60"/>
      <c r="BD39" s="53" t="s">
        <v>6456</v>
      </c>
    </row>
    <row r="40" spans="1:56">
      <c r="A40" s="105" t="s">
        <v>6457</v>
      </c>
      <c r="B40" s="293">
        <f>ROUND(50, 1)</f>
        <v>50</v>
      </c>
      <c r="C40" s="58" t="str">
        <f>CHOOSE(2 + 1, "ft", "mile", "m", "km")</f>
        <v>m</v>
      </c>
      <c r="D40" s="105">
        <f>ROUND(0, 1)</f>
        <v>0</v>
      </c>
      <c r="E40" s="105" t="str">
        <f>IF(TRUE = TRUE, "Yes", "No")</f>
        <v>Yes</v>
      </c>
      <c r="F40" s="105" t="s">
        <v>5202</v>
      </c>
      <c r="G40" s="127" t="str">
        <f>IF(0 = 0, "3", "1")</f>
        <v>3</v>
      </c>
      <c r="H40" s="105"/>
      <c r="I40" s="105" t="str">
        <f>IF(TRIM("BUS_CNODE_JCT__1408") = "", "BUS_CNODE_JCT__1408", "BUS_CNODE_JCT__1408")</f>
        <v>BUS_CNODE_JCT__1408</v>
      </c>
      <c r="J40" s="105" t="str">
        <f>IF(TRIM("BUS_CNODE_JCT__1407") = "", "BUS_CNODE_JCT__1407", "BUS_CNODE_JCT__1407")</f>
        <v>BUS_CNODE_JCT__1407</v>
      </c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242" t="str">
        <f>IF(0=5, ROUND(0, 3),"--")</f>
        <v>--</v>
      </c>
      <c r="X40" s="242" t="str">
        <f>IF(0=5, ROUND(0, 3),"--")</f>
        <v>--</v>
      </c>
      <c r="Y40" s="242" t="str">
        <f>IF(0=5, ROUND(0, 3),"--")</f>
        <v>--</v>
      </c>
      <c r="Z40" s="242" t="str">
        <f>IF(0=5, ROUND(0, 3),"--")</f>
        <v>--</v>
      </c>
      <c r="AA40" s="242" t="str">
        <f>IF(0=5, ROUND(0, 3),"--")</f>
        <v>--</v>
      </c>
      <c r="AB40" s="242" t="str">
        <f>IF(0=5, ROUND(0, 3),"--")</f>
        <v>--</v>
      </c>
      <c r="AC40" s="242" t="str">
        <f>IF(0=1, ROUND(0, 3),"--")</f>
        <v>--</v>
      </c>
      <c r="AD40" s="242" t="str">
        <f>IF(0=1, ROUND(0, 3),"--")</f>
        <v>--</v>
      </c>
      <c r="AE40" s="242" t="str">
        <f>IF(0=1, ROUND(0, 3),"--")</f>
        <v>--</v>
      </c>
      <c r="AF40" s="242" t="str">
        <f>IF(0=1, ROUND(0, 3),"--")</f>
        <v>--</v>
      </c>
      <c r="AG40" s="242">
        <v>0</v>
      </c>
      <c r="AH40" s="242">
        <v>1</v>
      </c>
      <c r="AI40" s="242">
        <v>0</v>
      </c>
      <c r="AJ40" s="105">
        <f>ROUND(75, 0)</f>
        <v>75</v>
      </c>
      <c r="AK40" s="105">
        <f>ROUND(75, 0)</f>
        <v>75</v>
      </c>
      <c r="AL40" s="105">
        <f>ROUND(75, 0)</f>
        <v>75</v>
      </c>
      <c r="AM40" s="105">
        <f>ROUND(75, 0)</f>
        <v>75</v>
      </c>
      <c r="AN40" s="260" t="str">
        <f>FIXED(0.361000001, 1)</f>
        <v>0.4</v>
      </c>
      <c r="AO40" s="260" t="str">
        <f>FIXED(0.361000001, 1)</f>
        <v>0.4</v>
      </c>
      <c r="AP40" s="260" t="str">
        <f>FIXED(0.263000011, 1)</f>
        <v>0.3</v>
      </c>
      <c r="AQ40" s="260" t="str">
        <f>FIXED(0, 1)</f>
        <v>0.0</v>
      </c>
      <c r="AR40" s="260" t="str">
        <f>FIXED(0.361000001, 1)</f>
        <v>0.4</v>
      </c>
      <c r="AS40" s="260" t="str">
        <f>FIXED(0.361000001, 1)</f>
        <v>0.4</v>
      </c>
      <c r="AT40" s="260" t="str">
        <f>FIXED(0.263000011, 1)</f>
        <v>0.3</v>
      </c>
      <c r="AU40" s="260" t="str">
        <f>FIXED(0, 1)</f>
        <v>0.0</v>
      </c>
      <c r="AV40" s="260" t="str">
        <f>FIXED(0.361000001, 1)</f>
        <v>0.4</v>
      </c>
      <c r="AW40" s="260" t="str">
        <f>FIXED(0.361000001, 1)</f>
        <v>0.4</v>
      </c>
      <c r="AX40" s="260" t="str">
        <f>FIXED(0.920000017, 1)</f>
        <v>0.9</v>
      </c>
      <c r="AY40" s="260" t="str">
        <f>FIXED(0, 1)</f>
        <v>0.0</v>
      </c>
      <c r="AZ40" s="105" t="str">
        <f>CHOOSE(0 + 1, "Ohms per", "Ohms")</f>
        <v>Ohms per</v>
      </c>
      <c r="BA40" s="105">
        <f>IF(0 = 0,ROUND(1, 0),"--")</f>
        <v>1</v>
      </c>
      <c r="BB40" s="105" t="str">
        <f>IF(0 = 0,CHOOSE((1 + 1), "ft", "mile", "m", "km"),"--")</f>
        <v>mile</v>
      </c>
      <c r="BC40" s="60"/>
      <c r="BD40" s="53" t="s">
        <v>6458</v>
      </c>
    </row>
    <row r="41" spans="1:56">
      <c r="A41" s="105" t="s">
        <v>6459</v>
      </c>
      <c r="B41" s="293">
        <f>ROUND(50, 1)</f>
        <v>50</v>
      </c>
      <c r="C41" s="58" t="str">
        <f>CHOOSE(2 + 1, "ft", "mile", "m", "km")</f>
        <v>m</v>
      </c>
      <c r="D41" s="105">
        <f>ROUND(0, 1)</f>
        <v>0</v>
      </c>
      <c r="E41" s="105" t="str">
        <f>IF(TRUE = TRUE, "Yes", "No")</f>
        <v>Yes</v>
      </c>
      <c r="F41" s="105" t="s">
        <v>5202</v>
      </c>
      <c r="G41" s="127" t="str">
        <f>IF(0 = 0, "3", "1")</f>
        <v>3</v>
      </c>
      <c r="H41" s="105"/>
      <c r="I41" s="105" t="str">
        <f>IF(TRIM("BUS_CNODE_JCT__1421") = "", "BUS_CNODE_JCT__1421", "BUS_CNODE_JCT__1421")</f>
        <v>BUS_CNODE_JCT__1421</v>
      </c>
      <c r="J41" s="105" t="str">
        <f>IF(TRIM("BUS_CNODE_JCT__1408") = "", "BUS_CNODE_JCT__1408", "BUS_CNODE_JCT__1408")</f>
        <v>BUS_CNODE_JCT__1408</v>
      </c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242" t="str">
        <f>IF(0=5, ROUND(0, 3),"--")</f>
        <v>--</v>
      </c>
      <c r="X41" s="242" t="str">
        <f>IF(0=5, ROUND(0, 3),"--")</f>
        <v>--</v>
      </c>
      <c r="Y41" s="242" t="str">
        <f>IF(0=5, ROUND(0, 3),"--")</f>
        <v>--</v>
      </c>
      <c r="Z41" s="242" t="str">
        <f>IF(0=5, ROUND(0, 3),"--")</f>
        <v>--</v>
      </c>
      <c r="AA41" s="242" t="str">
        <f>IF(0=5, ROUND(0, 3),"--")</f>
        <v>--</v>
      </c>
      <c r="AB41" s="242" t="str">
        <f>IF(0=5, ROUND(0, 3),"--")</f>
        <v>--</v>
      </c>
      <c r="AC41" s="242" t="str">
        <f>IF(0=1, ROUND(0, 3),"--")</f>
        <v>--</v>
      </c>
      <c r="AD41" s="242" t="str">
        <f>IF(0=1, ROUND(0, 3),"--")</f>
        <v>--</v>
      </c>
      <c r="AE41" s="242" t="str">
        <f>IF(0=1, ROUND(0, 3),"--")</f>
        <v>--</v>
      </c>
      <c r="AF41" s="242" t="str">
        <f>IF(0=1, ROUND(0, 3),"--")</f>
        <v>--</v>
      </c>
      <c r="AG41" s="242">
        <v>0</v>
      </c>
      <c r="AH41" s="242">
        <v>1</v>
      </c>
      <c r="AI41" s="242">
        <v>0</v>
      </c>
      <c r="AJ41" s="105">
        <f>ROUND(75, 0)</f>
        <v>75</v>
      </c>
      <c r="AK41" s="105">
        <f>ROUND(75, 0)</f>
        <v>75</v>
      </c>
      <c r="AL41" s="105">
        <f>ROUND(75, 0)</f>
        <v>75</v>
      </c>
      <c r="AM41" s="105">
        <f>ROUND(75, 0)</f>
        <v>75</v>
      </c>
      <c r="AN41" s="260" t="str">
        <f>FIXED(0.361000001, 1)</f>
        <v>0.4</v>
      </c>
      <c r="AO41" s="260" t="str">
        <f>FIXED(0.361000001, 1)</f>
        <v>0.4</v>
      </c>
      <c r="AP41" s="260" t="str">
        <f>FIXED(0.263000011, 1)</f>
        <v>0.3</v>
      </c>
      <c r="AQ41" s="260" t="str">
        <f>FIXED(0, 1)</f>
        <v>0.0</v>
      </c>
      <c r="AR41" s="260" t="str">
        <f>FIXED(0.361000001, 1)</f>
        <v>0.4</v>
      </c>
      <c r="AS41" s="260" t="str">
        <f>FIXED(0.361000001, 1)</f>
        <v>0.4</v>
      </c>
      <c r="AT41" s="260" t="str">
        <f>FIXED(0.263000011, 1)</f>
        <v>0.3</v>
      </c>
      <c r="AU41" s="260" t="str">
        <f>FIXED(0, 1)</f>
        <v>0.0</v>
      </c>
      <c r="AV41" s="260" t="str">
        <f>FIXED(0.361000001, 1)</f>
        <v>0.4</v>
      </c>
      <c r="AW41" s="260" t="str">
        <f>FIXED(0.361000001, 1)</f>
        <v>0.4</v>
      </c>
      <c r="AX41" s="260" t="str">
        <f>FIXED(0.920000017, 1)</f>
        <v>0.9</v>
      </c>
      <c r="AY41" s="260" t="str">
        <f>FIXED(0, 1)</f>
        <v>0.0</v>
      </c>
      <c r="AZ41" s="105" t="str">
        <f>CHOOSE(0 + 1, "Ohms per", "Ohms")</f>
        <v>Ohms per</v>
      </c>
      <c r="BA41" s="105">
        <f>IF(0 = 0,ROUND(1, 0),"--")</f>
        <v>1</v>
      </c>
      <c r="BB41" s="105" t="str">
        <f>IF(0 = 0,CHOOSE((1 + 1), "ft", "mile", "m", "km"),"--")</f>
        <v>mile</v>
      </c>
      <c r="BC41" s="60"/>
      <c r="BD41" s="53" t="s">
        <v>6460</v>
      </c>
    </row>
    <row r="42" spans="1:56">
      <c r="A42" s="105" t="s">
        <v>6461</v>
      </c>
      <c r="B42" s="293">
        <f>ROUND(50, 1)</f>
        <v>50</v>
      </c>
      <c r="C42" s="58" t="str">
        <f>CHOOSE(2 + 1, "ft", "mile", "m", "km")</f>
        <v>m</v>
      </c>
      <c r="D42" s="105">
        <f>ROUND(0, 1)</f>
        <v>0</v>
      </c>
      <c r="E42" s="105" t="str">
        <f>IF(TRUE = TRUE, "Yes", "No")</f>
        <v>Yes</v>
      </c>
      <c r="F42" s="105" t="s">
        <v>5202</v>
      </c>
      <c r="G42" s="127" t="str">
        <f>IF(0 = 0, "3", "1")</f>
        <v>3</v>
      </c>
      <c r="H42" s="105"/>
      <c r="I42" s="105" t="str">
        <f>IF(TRIM("BUS_CNODE_JCT__1407") = "", "BUS_CNODE_JCT__1407", "BUS_CNODE_JCT__1407")</f>
        <v>BUS_CNODE_JCT__1407</v>
      </c>
      <c r="J42" s="105" t="str">
        <f>IF(TRIM("BUS_CNODE_JCT__1406") = "", "BUS_CNODE_JCT__1406", "BUS_CNODE_JCT__1406")</f>
        <v>BUS_CNODE_JCT__1406</v>
      </c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242" t="str">
        <f>IF(0=5, ROUND(0, 3),"--")</f>
        <v>--</v>
      </c>
      <c r="X42" s="242" t="str">
        <f>IF(0=5, ROUND(0, 3),"--")</f>
        <v>--</v>
      </c>
      <c r="Y42" s="242" t="str">
        <f>IF(0=5, ROUND(0, 3),"--")</f>
        <v>--</v>
      </c>
      <c r="Z42" s="242" t="str">
        <f>IF(0=5, ROUND(0, 3),"--")</f>
        <v>--</v>
      </c>
      <c r="AA42" s="242" t="str">
        <f>IF(0=5, ROUND(0, 3),"--")</f>
        <v>--</v>
      </c>
      <c r="AB42" s="242" t="str">
        <f>IF(0=5, ROUND(0, 3),"--")</f>
        <v>--</v>
      </c>
      <c r="AC42" s="242" t="str">
        <f>IF(0=1, ROUND(0, 3),"--")</f>
        <v>--</v>
      </c>
      <c r="AD42" s="242" t="str">
        <f>IF(0=1, ROUND(0, 3),"--")</f>
        <v>--</v>
      </c>
      <c r="AE42" s="242" t="str">
        <f>IF(0=1, ROUND(0, 3),"--")</f>
        <v>--</v>
      </c>
      <c r="AF42" s="242" t="str">
        <f>IF(0=1, ROUND(0, 3),"--")</f>
        <v>--</v>
      </c>
      <c r="AG42" s="242">
        <v>0</v>
      </c>
      <c r="AH42" s="242">
        <v>1</v>
      </c>
      <c r="AI42" s="242">
        <v>0</v>
      </c>
      <c r="AJ42" s="105">
        <f>ROUND(75, 0)</f>
        <v>75</v>
      </c>
      <c r="AK42" s="105">
        <f>ROUND(75, 0)</f>
        <v>75</v>
      </c>
      <c r="AL42" s="105">
        <f>ROUND(75, 0)</f>
        <v>75</v>
      </c>
      <c r="AM42" s="105">
        <f>ROUND(75, 0)</f>
        <v>75</v>
      </c>
      <c r="AN42" s="260" t="str">
        <f>FIXED(0.361000001, 1)</f>
        <v>0.4</v>
      </c>
      <c r="AO42" s="260" t="str">
        <f>FIXED(0.361000001, 1)</f>
        <v>0.4</v>
      </c>
      <c r="AP42" s="260" t="str">
        <f>FIXED(0.263000011, 1)</f>
        <v>0.3</v>
      </c>
      <c r="AQ42" s="260" t="str">
        <f>FIXED(0, 1)</f>
        <v>0.0</v>
      </c>
      <c r="AR42" s="260" t="str">
        <f>FIXED(0.361000001, 1)</f>
        <v>0.4</v>
      </c>
      <c r="AS42" s="260" t="str">
        <f>FIXED(0.361000001, 1)</f>
        <v>0.4</v>
      </c>
      <c r="AT42" s="260" t="str">
        <f>FIXED(0.263000011, 1)</f>
        <v>0.3</v>
      </c>
      <c r="AU42" s="260" t="str">
        <f>FIXED(0, 1)</f>
        <v>0.0</v>
      </c>
      <c r="AV42" s="260" t="str">
        <f>FIXED(0.361000001, 1)</f>
        <v>0.4</v>
      </c>
      <c r="AW42" s="260" t="str">
        <f>FIXED(0.361000001, 1)</f>
        <v>0.4</v>
      </c>
      <c r="AX42" s="260" t="str">
        <f>FIXED(0.920000017, 1)</f>
        <v>0.9</v>
      </c>
      <c r="AY42" s="260" t="str">
        <f>FIXED(0, 1)</f>
        <v>0.0</v>
      </c>
      <c r="AZ42" s="105" t="str">
        <f>CHOOSE(0 + 1, "Ohms per", "Ohms")</f>
        <v>Ohms per</v>
      </c>
      <c r="BA42" s="105">
        <f>IF(0 = 0,ROUND(1, 0),"--")</f>
        <v>1</v>
      </c>
      <c r="BB42" s="105" t="str">
        <f>IF(0 = 0,CHOOSE((1 + 1), "ft", "mile", "m", "km"),"--")</f>
        <v>mile</v>
      </c>
      <c r="BC42" s="60"/>
      <c r="BD42" s="53" t="s">
        <v>6462</v>
      </c>
    </row>
    <row r="43" spans="1:56">
      <c r="A43" s="105" t="s">
        <v>6463</v>
      </c>
      <c r="B43" s="293">
        <f>ROUND(50, 1)</f>
        <v>50</v>
      </c>
      <c r="C43" s="58" t="str">
        <f>CHOOSE(2 + 1, "ft", "mile", "m", "km")</f>
        <v>m</v>
      </c>
      <c r="D43" s="105">
        <f>ROUND(0, 1)</f>
        <v>0</v>
      </c>
      <c r="E43" s="105" t="str">
        <f>IF(TRUE = TRUE, "Yes", "No")</f>
        <v>Yes</v>
      </c>
      <c r="F43" s="105" t="s">
        <v>5202</v>
      </c>
      <c r="G43" s="127" t="str">
        <f>IF(0 = 0, "3", "1")</f>
        <v>3</v>
      </c>
      <c r="H43" s="105"/>
      <c r="I43" s="105" t="str">
        <f>IF(TRIM("BUS_CNODE_JCT__1406") = "", "BUS_CNODE_JCT__1406", "BUS_CNODE_JCT__1406")</f>
        <v>BUS_CNODE_JCT__1406</v>
      </c>
      <c r="J43" s="105" t="str">
        <f>IF(TRIM("BUS_CNODE_JCT__1405") = "", "BUS_CNODE_JCT__1405", "BUS_CNODE_JCT__1405")</f>
        <v>BUS_CNODE_JCT__1405</v>
      </c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242" t="str">
        <f>IF(0=5, ROUND(0, 3),"--")</f>
        <v>--</v>
      </c>
      <c r="X43" s="242" t="str">
        <f>IF(0=5, ROUND(0, 3),"--")</f>
        <v>--</v>
      </c>
      <c r="Y43" s="242" t="str">
        <f>IF(0=5, ROUND(0, 3),"--")</f>
        <v>--</v>
      </c>
      <c r="Z43" s="242" t="str">
        <f>IF(0=5, ROUND(0, 3),"--")</f>
        <v>--</v>
      </c>
      <c r="AA43" s="242" t="str">
        <f>IF(0=5, ROUND(0, 3),"--")</f>
        <v>--</v>
      </c>
      <c r="AB43" s="242" t="str">
        <f>IF(0=5, ROUND(0, 3),"--")</f>
        <v>--</v>
      </c>
      <c r="AC43" s="242" t="str">
        <f>IF(0=1, ROUND(0, 3),"--")</f>
        <v>--</v>
      </c>
      <c r="AD43" s="242" t="str">
        <f>IF(0=1, ROUND(0, 3),"--")</f>
        <v>--</v>
      </c>
      <c r="AE43" s="242" t="str">
        <f>IF(0=1, ROUND(0, 3),"--")</f>
        <v>--</v>
      </c>
      <c r="AF43" s="242" t="str">
        <f>IF(0=1, ROUND(0, 3),"--")</f>
        <v>--</v>
      </c>
      <c r="AG43" s="242">
        <v>0</v>
      </c>
      <c r="AH43" s="242">
        <v>1</v>
      </c>
      <c r="AI43" s="242">
        <v>0</v>
      </c>
      <c r="AJ43" s="105">
        <f>ROUND(75, 0)</f>
        <v>75</v>
      </c>
      <c r="AK43" s="105">
        <f>ROUND(75, 0)</f>
        <v>75</v>
      </c>
      <c r="AL43" s="105">
        <f>ROUND(75, 0)</f>
        <v>75</v>
      </c>
      <c r="AM43" s="105">
        <f>ROUND(75, 0)</f>
        <v>75</v>
      </c>
      <c r="AN43" s="260" t="str">
        <f>FIXED(0.361000001, 1)</f>
        <v>0.4</v>
      </c>
      <c r="AO43" s="260" t="str">
        <f>FIXED(0.361000001, 1)</f>
        <v>0.4</v>
      </c>
      <c r="AP43" s="260" t="str">
        <f>FIXED(0.263000011, 1)</f>
        <v>0.3</v>
      </c>
      <c r="AQ43" s="260" t="str">
        <f>FIXED(0, 1)</f>
        <v>0.0</v>
      </c>
      <c r="AR43" s="260" t="str">
        <f>FIXED(0.361000001, 1)</f>
        <v>0.4</v>
      </c>
      <c r="AS43" s="260" t="str">
        <f>FIXED(0.361000001, 1)</f>
        <v>0.4</v>
      </c>
      <c r="AT43" s="260" t="str">
        <f>FIXED(0.263000011, 1)</f>
        <v>0.3</v>
      </c>
      <c r="AU43" s="260" t="str">
        <f>FIXED(0, 1)</f>
        <v>0.0</v>
      </c>
      <c r="AV43" s="260" t="str">
        <f>FIXED(0.361000001, 1)</f>
        <v>0.4</v>
      </c>
      <c r="AW43" s="260" t="str">
        <f>FIXED(0.361000001, 1)</f>
        <v>0.4</v>
      </c>
      <c r="AX43" s="260" t="str">
        <f>FIXED(0.920000017, 1)</f>
        <v>0.9</v>
      </c>
      <c r="AY43" s="260" t="str">
        <f>FIXED(0, 1)</f>
        <v>0.0</v>
      </c>
      <c r="AZ43" s="105" t="str">
        <f>CHOOSE(0 + 1, "Ohms per", "Ohms")</f>
        <v>Ohms per</v>
      </c>
      <c r="BA43" s="105">
        <f>IF(0 = 0,ROUND(1, 0),"--")</f>
        <v>1</v>
      </c>
      <c r="BB43" s="105" t="str">
        <f>IF(0 = 0,CHOOSE((1 + 1), "ft", "mile", "m", "km"),"--")</f>
        <v>mile</v>
      </c>
      <c r="BC43" s="60"/>
      <c r="BD43" s="53" t="s">
        <v>6464</v>
      </c>
    </row>
    <row r="44" spans="1:56">
      <c r="A44" s="105" t="s">
        <v>6465</v>
      </c>
      <c r="B44" s="293">
        <f>ROUND(50, 1)</f>
        <v>50</v>
      </c>
      <c r="C44" s="58" t="str">
        <f>CHOOSE(2 + 1, "ft", "mile", "m", "km")</f>
        <v>m</v>
      </c>
      <c r="D44" s="105">
        <f>ROUND(0, 1)</f>
        <v>0</v>
      </c>
      <c r="E44" s="105" t="str">
        <f>IF(TRUE = TRUE, "Yes", "No")</f>
        <v>Yes</v>
      </c>
      <c r="F44" s="105" t="s">
        <v>5202</v>
      </c>
      <c r="G44" s="127" t="str">
        <f>IF(0 = 0, "3", "1")</f>
        <v>3</v>
      </c>
      <c r="H44" s="105"/>
      <c r="I44" s="105" t="str">
        <f>IF(TRIM("BUS_CNODE_JCT__1405") = "", "BUS_CNODE_JCT__1405", "BUS_CNODE_JCT__1405")</f>
        <v>BUS_CNODE_JCT__1405</v>
      </c>
      <c r="J44" s="105" t="str">
        <f>IF(TRIM("BUS_CNODE_JCT__1404") = "", "BUS_CNODE_JCT__1404", "BUS_CNODE_JCT__1404")</f>
        <v>BUS_CNODE_JCT__1404</v>
      </c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242" t="str">
        <f>IF(0=5, ROUND(0, 3),"--")</f>
        <v>--</v>
      </c>
      <c r="X44" s="242" t="str">
        <f>IF(0=5, ROUND(0, 3),"--")</f>
        <v>--</v>
      </c>
      <c r="Y44" s="242" t="str">
        <f>IF(0=5, ROUND(0, 3),"--")</f>
        <v>--</v>
      </c>
      <c r="Z44" s="242" t="str">
        <f>IF(0=5, ROUND(0, 3),"--")</f>
        <v>--</v>
      </c>
      <c r="AA44" s="242" t="str">
        <f>IF(0=5, ROUND(0, 3),"--")</f>
        <v>--</v>
      </c>
      <c r="AB44" s="242" t="str">
        <f>IF(0=5, ROUND(0, 3),"--")</f>
        <v>--</v>
      </c>
      <c r="AC44" s="242" t="str">
        <f>IF(0=1, ROUND(0, 3),"--")</f>
        <v>--</v>
      </c>
      <c r="AD44" s="242" t="str">
        <f>IF(0=1, ROUND(0, 3),"--")</f>
        <v>--</v>
      </c>
      <c r="AE44" s="242" t="str">
        <f>IF(0=1, ROUND(0, 3),"--")</f>
        <v>--</v>
      </c>
      <c r="AF44" s="242" t="str">
        <f>IF(0=1, ROUND(0, 3),"--")</f>
        <v>--</v>
      </c>
      <c r="AG44" s="242">
        <v>0</v>
      </c>
      <c r="AH44" s="242">
        <v>1</v>
      </c>
      <c r="AI44" s="242">
        <v>0</v>
      </c>
      <c r="AJ44" s="105">
        <f>ROUND(75, 0)</f>
        <v>75</v>
      </c>
      <c r="AK44" s="105">
        <f>ROUND(75, 0)</f>
        <v>75</v>
      </c>
      <c r="AL44" s="105">
        <f>ROUND(75, 0)</f>
        <v>75</v>
      </c>
      <c r="AM44" s="105">
        <f>ROUND(75, 0)</f>
        <v>75</v>
      </c>
      <c r="AN44" s="260" t="str">
        <f>FIXED(0.361000001, 1)</f>
        <v>0.4</v>
      </c>
      <c r="AO44" s="260" t="str">
        <f>FIXED(0.361000001, 1)</f>
        <v>0.4</v>
      </c>
      <c r="AP44" s="260" t="str">
        <f>FIXED(0.263000011, 1)</f>
        <v>0.3</v>
      </c>
      <c r="AQ44" s="260" t="str">
        <f>FIXED(0, 1)</f>
        <v>0.0</v>
      </c>
      <c r="AR44" s="260" t="str">
        <f>FIXED(0.361000001, 1)</f>
        <v>0.4</v>
      </c>
      <c r="AS44" s="260" t="str">
        <f>FIXED(0.361000001, 1)</f>
        <v>0.4</v>
      </c>
      <c r="AT44" s="260" t="str">
        <f>FIXED(0.263000011, 1)</f>
        <v>0.3</v>
      </c>
      <c r="AU44" s="260" t="str">
        <f>FIXED(0, 1)</f>
        <v>0.0</v>
      </c>
      <c r="AV44" s="260" t="str">
        <f>FIXED(0.361000001, 1)</f>
        <v>0.4</v>
      </c>
      <c r="AW44" s="260" t="str">
        <f>FIXED(0.361000001, 1)</f>
        <v>0.4</v>
      </c>
      <c r="AX44" s="260" t="str">
        <f>FIXED(0.920000017, 1)</f>
        <v>0.9</v>
      </c>
      <c r="AY44" s="260" t="str">
        <f>FIXED(0, 1)</f>
        <v>0.0</v>
      </c>
      <c r="AZ44" s="105" t="str">
        <f>CHOOSE(0 + 1, "Ohms per", "Ohms")</f>
        <v>Ohms per</v>
      </c>
      <c r="BA44" s="105">
        <f>IF(0 = 0,ROUND(1, 0),"--")</f>
        <v>1</v>
      </c>
      <c r="BB44" s="105" t="str">
        <f>IF(0 = 0,CHOOSE((1 + 1), "ft", "mile", "m", "km"),"--")</f>
        <v>mile</v>
      </c>
      <c r="BC44" s="60"/>
      <c r="BD44" s="53" t="s">
        <v>6466</v>
      </c>
    </row>
    <row r="45" spans="1:56">
      <c r="A45" s="105" t="s">
        <v>6467</v>
      </c>
      <c r="B45" s="293">
        <f>ROUND(50, 1)</f>
        <v>50</v>
      </c>
      <c r="C45" s="58" t="str">
        <f>CHOOSE(2 + 1, "ft", "mile", "m", "km")</f>
        <v>m</v>
      </c>
      <c r="D45" s="105">
        <f>ROUND(0, 1)</f>
        <v>0</v>
      </c>
      <c r="E45" s="105" t="str">
        <f>IF(TRUE = TRUE, "Yes", "No")</f>
        <v>Yes</v>
      </c>
      <c r="F45" s="105" t="s">
        <v>5202</v>
      </c>
      <c r="G45" s="127" t="str">
        <f>IF(0 = 0, "3", "1")</f>
        <v>3</v>
      </c>
      <c r="H45" s="105"/>
      <c r="I45" s="105" t="str">
        <f>IF(TRIM("BUS_CNODE_JCT__1404") = "", "BUS_CNODE_JCT__1404", "BUS_CNODE_JCT__1404")</f>
        <v>BUS_CNODE_JCT__1404</v>
      </c>
      <c r="J45" s="105" t="str">
        <f>IF(TRIM("BUS_CNODE_JCT__1403") = "", "BUS_CNODE_JCT__1403", "BUS_CNODE_JCT__1403")</f>
        <v>BUS_CNODE_JCT__1403</v>
      </c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242" t="str">
        <f>IF(0=5, ROUND(0, 3),"--")</f>
        <v>--</v>
      </c>
      <c r="X45" s="242" t="str">
        <f>IF(0=5, ROUND(0, 3),"--")</f>
        <v>--</v>
      </c>
      <c r="Y45" s="242" t="str">
        <f>IF(0=5, ROUND(0, 3),"--")</f>
        <v>--</v>
      </c>
      <c r="Z45" s="242" t="str">
        <f>IF(0=5, ROUND(0, 3),"--")</f>
        <v>--</v>
      </c>
      <c r="AA45" s="242" t="str">
        <f>IF(0=5, ROUND(0, 3),"--")</f>
        <v>--</v>
      </c>
      <c r="AB45" s="242" t="str">
        <f>IF(0=5, ROUND(0, 3),"--")</f>
        <v>--</v>
      </c>
      <c r="AC45" s="242" t="str">
        <f>IF(0=1, ROUND(0, 3),"--")</f>
        <v>--</v>
      </c>
      <c r="AD45" s="242" t="str">
        <f>IF(0=1, ROUND(0, 3),"--")</f>
        <v>--</v>
      </c>
      <c r="AE45" s="242" t="str">
        <f>IF(0=1, ROUND(0, 3),"--")</f>
        <v>--</v>
      </c>
      <c r="AF45" s="242" t="str">
        <f>IF(0=1, ROUND(0, 3),"--")</f>
        <v>--</v>
      </c>
      <c r="AG45" s="242">
        <v>0</v>
      </c>
      <c r="AH45" s="242">
        <v>1</v>
      </c>
      <c r="AI45" s="242">
        <v>0</v>
      </c>
      <c r="AJ45" s="105">
        <f>ROUND(75, 0)</f>
        <v>75</v>
      </c>
      <c r="AK45" s="105">
        <f>ROUND(75, 0)</f>
        <v>75</v>
      </c>
      <c r="AL45" s="105">
        <f>ROUND(75, 0)</f>
        <v>75</v>
      </c>
      <c r="AM45" s="105">
        <f>ROUND(75, 0)</f>
        <v>75</v>
      </c>
      <c r="AN45" s="260" t="str">
        <f>FIXED(0.361000001, 1)</f>
        <v>0.4</v>
      </c>
      <c r="AO45" s="260" t="str">
        <f>FIXED(0.361000001, 1)</f>
        <v>0.4</v>
      </c>
      <c r="AP45" s="260" t="str">
        <f>FIXED(0.263000011, 1)</f>
        <v>0.3</v>
      </c>
      <c r="AQ45" s="260" t="str">
        <f>FIXED(0, 1)</f>
        <v>0.0</v>
      </c>
      <c r="AR45" s="260" t="str">
        <f>FIXED(0.361000001, 1)</f>
        <v>0.4</v>
      </c>
      <c r="AS45" s="260" t="str">
        <f>FIXED(0.361000001, 1)</f>
        <v>0.4</v>
      </c>
      <c r="AT45" s="260" t="str">
        <f>FIXED(0.263000011, 1)</f>
        <v>0.3</v>
      </c>
      <c r="AU45" s="260" t="str">
        <f>FIXED(0, 1)</f>
        <v>0.0</v>
      </c>
      <c r="AV45" s="260" t="str">
        <f>FIXED(0.361000001, 1)</f>
        <v>0.4</v>
      </c>
      <c r="AW45" s="260" t="str">
        <f>FIXED(0.361000001, 1)</f>
        <v>0.4</v>
      </c>
      <c r="AX45" s="260" t="str">
        <f>FIXED(0.920000017, 1)</f>
        <v>0.9</v>
      </c>
      <c r="AY45" s="260" t="str">
        <f>FIXED(0, 1)</f>
        <v>0.0</v>
      </c>
      <c r="AZ45" s="105" t="str">
        <f>CHOOSE(0 + 1, "Ohms per", "Ohms")</f>
        <v>Ohms per</v>
      </c>
      <c r="BA45" s="105">
        <f>IF(0 = 0,ROUND(1, 0),"--")</f>
        <v>1</v>
      </c>
      <c r="BB45" s="105" t="str">
        <f>IF(0 = 0,CHOOSE((1 + 1), "ft", "mile", "m", "km"),"--")</f>
        <v>mile</v>
      </c>
      <c r="BC45" s="60"/>
      <c r="BD45" s="53" t="s">
        <v>6468</v>
      </c>
    </row>
    <row r="46" spans="1:56">
      <c r="A46" s="105" t="s">
        <v>6469</v>
      </c>
      <c r="B46" s="293">
        <f>ROUND(50, 1)</f>
        <v>50</v>
      </c>
      <c r="C46" s="58" t="str">
        <f>CHOOSE(2 + 1, "ft", "mile", "m", "km")</f>
        <v>m</v>
      </c>
      <c r="D46" s="105">
        <f>ROUND(0, 1)</f>
        <v>0</v>
      </c>
      <c r="E46" s="105" t="str">
        <f>IF(TRUE = TRUE, "Yes", "No")</f>
        <v>Yes</v>
      </c>
      <c r="F46" s="105" t="s">
        <v>5202</v>
      </c>
      <c r="G46" s="127" t="str">
        <f>IF(0 = 0, "3", "1")</f>
        <v>3</v>
      </c>
      <c r="H46" s="105"/>
      <c r="I46" s="105" t="str">
        <f>IF(TRIM("BUS_CNODE_JCT__1403") = "", "BUS_CNODE_JCT__1403", "BUS_CNODE_JCT__1403")</f>
        <v>BUS_CNODE_JCT__1403</v>
      </c>
      <c r="J46" s="105" t="str">
        <f>IF(TRIM("BUS_CNODE_JCT__1401") = "", "BUS_CNODE_JCT__1401", "BUS_CNODE_JCT__1401")</f>
        <v>BUS_CNODE_JCT__1401</v>
      </c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242" t="str">
        <f>IF(0=5, ROUND(0, 3),"--")</f>
        <v>--</v>
      </c>
      <c r="X46" s="242" t="str">
        <f>IF(0=5, ROUND(0, 3),"--")</f>
        <v>--</v>
      </c>
      <c r="Y46" s="242" t="str">
        <f>IF(0=5, ROUND(0, 3),"--")</f>
        <v>--</v>
      </c>
      <c r="Z46" s="242" t="str">
        <f>IF(0=5, ROUND(0, 3),"--")</f>
        <v>--</v>
      </c>
      <c r="AA46" s="242" t="str">
        <f>IF(0=5, ROUND(0, 3),"--")</f>
        <v>--</v>
      </c>
      <c r="AB46" s="242" t="str">
        <f>IF(0=5, ROUND(0, 3),"--")</f>
        <v>--</v>
      </c>
      <c r="AC46" s="242" t="str">
        <f>IF(0=1, ROUND(0, 3),"--")</f>
        <v>--</v>
      </c>
      <c r="AD46" s="242" t="str">
        <f>IF(0=1, ROUND(0, 3),"--")</f>
        <v>--</v>
      </c>
      <c r="AE46" s="242" t="str">
        <f>IF(0=1, ROUND(0, 3),"--")</f>
        <v>--</v>
      </c>
      <c r="AF46" s="242" t="str">
        <f>IF(0=1, ROUND(0, 3),"--")</f>
        <v>--</v>
      </c>
      <c r="AG46" s="242">
        <v>0</v>
      </c>
      <c r="AH46" s="242">
        <v>1</v>
      </c>
      <c r="AI46" s="242">
        <v>0</v>
      </c>
      <c r="AJ46" s="105">
        <f>ROUND(75, 0)</f>
        <v>75</v>
      </c>
      <c r="AK46" s="105">
        <f>ROUND(75, 0)</f>
        <v>75</v>
      </c>
      <c r="AL46" s="105">
        <f>ROUND(75, 0)</f>
        <v>75</v>
      </c>
      <c r="AM46" s="105">
        <f>ROUND(75, 0)</f>
        <v>75</v>
      </c>
      <c r="AN46" s="260" t="str">
        <f>FIXED(0.361000001, 1)</f>
        <v>0.4</v>
      </c>
      <c r="AO46" s="260" t="str">
        <f>FIXED(0.361000001, 1)</f>
        <v>0.4</v>
      </c>
      <c r="AP46" s="260" t="str">
        <f>FIXED(0.263000011, 1)</f>
        <v>0.3</v>
      </c>
      <c r="AQ46" s="260" t="str">
        <f>FIXED(0, 1)</f>
        <v>0.0</v>
      </c>
      <c r="AR46" s="260" t="str">
        <f>FIXED(0.361000001, 1)</f>
        <v>0.4</v>
      </c>
      <c r="AS46" s="260" t="str">
        <f>FIXED(0.361000001, 1)</f>
        <v>0.4</v>
      </c>
      <c r="AT46" s="260" t="str">
        <f>FIXED(0.263000011, 1)</f>
        <v>0.3</v>
      </c>
      <c r="AU46" s="260" t="str">
        <f>FIXED(0, 1)</f>
        <v>0.0</v>
      </c>
      <c r="AV46" s="260" t="str">
        <f>FIXED(0.361000001, 1)</f>
        <v>0.4</v>
      </c>
      <c r="AW46" s="260" t="str">
        <f>FIXED(0.361000001, 1)</f>
        <v>0.4</v>
      </c>
      <c r="AX46" s="260" t="str">
        <f>FIXED(0.920000017, 1)</f>
        <v>0.9</v>
      </c>
      <c r="AY46" s="260" t="str">
        <f>FIXED(0, 1)</f>
        <v>0.0</v>
      </c>
      <c r="AZ46" s="105" t="str">
        <f>CHOOSE(0 + 1, "Ohms per", "Ohms")</f>
        <v>Ohms per</v>
      </c>
      <c r="BA46" s="105">
        <f>IF(0 = 0,ROUND(1, 0),"--")</f>
        <v>1</v>
      </c>
      <c r="BB46" s="105" t="str">
        <f>IF(0 = 0,CHOOSE((1 + 1), "ft", "mile", "m", "km"),"--")</f>
        <v>mile</v>
      </c>
      <c r="BC46" s="60"/>
      <c r="BD46" s="53" t="s">
        <v>6470</v>
      </c>
    </row>
    <row r="47" spans="1:56">
      <c r="A47" s="105" t="s">
        <v>6471</v>
      </c>
      <c r="B47" s="293">
        <f>ROUND(50, 1)</f>
        <v>50</v>
      </c>
      <c r="C47" s="58" t="str">
        <f>CHOOSE(2 + 1, "ft", "mile", "m", "km")</f>
        <v>m</v>
      </c>
      <c r="D47" s="105">
        <f>ROUND(0, 1)</f>
        <v>0</v>
      </c>
      <c r="E47" s="105" t="str">
        <f>IF(TRUE = TRUE, "Yes", "No")</f>
        <v>Yes</v>
      </c>
      <c r="F47" s="105" t="s">
        <v>5202</v>
      </c>
      <c r="G47" s="127" t="str">
        <f>IF(0 = 0, "3", "1")</f>
        <v>3</v>
      </c>
      <c r="H47" s="105"/>
      <c r="I47" s="105" t="str">
        <f>IF(TRIM("BUS_CNODE_JCT__1401") = "", "BUS_CNODE_JCT__1401", "BUS_CNODE_JCT__1401")</f>
        <v>BUS_CNODE_JCT__1401</v>
      </c>
      <c r="J47" s="105" t="str">
        <f>IF(TRIM("BUS_CNODE_JCT__1402") = "", "BUS_CNODE_JCT__1402", "BUS_CNODE_JCT__1402")</f>
        <v>BUS_CNODE_JCT__1402</v>
      </c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242" t="str">
        <f>IF(0=5, ROUND(0, 3),"--")</f>
        <v>--</v>
      </c>
      <c r="X47" s="242" t="str">
        <f>IF(0=5, ROUND(0, 3),"--")</f>
        <v>--</v>
      </c>
      <c r="Y47" s="242" t="str">
        <f>IF(0=5, ROUND(0, 3),"--")</f>
        <v>--</v>
      </c>
      <c r="Z47" s="242" t="str">
        <f>IF(0=5, ROUND(0, 3),"--")</f>
        <v>--</v>
      </c>
      <c r="AA47" s="242" t="str">
        <f>IF(0=5, ROUND(0, 3),"--")</f>
        <v>--</v>
      </c>
      <c r="AB47" s="242" t="str">
        <f>IF(0=5, ROUND(0, 3),"--")</f>
        <v>--</v>
      </c>
      <c r="AC47" s="242" t="str">
        <f>IF(0=1, ROUND(0, 3),"--")</f>
        <v>--</v>
      </c>
      <c r="AD47" s="242" t="str">
        <f>IF(0=1, ROUND(0, 3),"--")</f>
        <v>--</v>
      </c>
      <c r="AE47" s="242" t="str">
        <f>IF(0=1, ROUND(0, 3),"--")</f>
        <v>--</v>
      </c>
      <c r="AF47" s="242" t="str">
        <f>IF(0=1, ROUND(0, 3),"--")</f>
        <v>--</v>
      </c>
      <c r="AG47" s="242">
        <v>0</v>
      </c>
      <c r="AH47" s="242">
        <v>1</v>
      </c>
      <c r="AI47" s="242">
        <v>0</v>
      </c>
      <c r="AJ47" s="105">
        <f>ROUND(75, 0)</f>
        <v>75</v>
      </c>
      <c r="AK47" s="105">
        <f>ROUND(75, 0)</f>
        <v>75</v>
      </c>
      <c r="AL47" s="105">
        <f>ROUND(75, 0)</f>
        <v>75</v>
      </c>
      <c r="AM47" s="105">
        <f>ROUND(75, 0)</f>
        <v>75</v>
      </c>
      <c r="AN47" s="260" t="str">
        <f>FIXED(0.361000001, 1)</f>
        <v>0.4</v>
      </c>
      <c r="AO47" s="260" t="str">
        <f>FIXED(0.361000001, 1)</f>
        <v>0.4</v>
      </c>
      <c r="AP47" s="260" t="str">
        <f>FIXED(0.263000011, 1)</f>
        <v>0.3</v>
      </c>
      <c r="AQ47" s="260" t="str">
        <f>FIXED(0, 1)</f>
        <v>0.0</v>
      </c>
      <c r="AR47" s="260" t="str">
        <f>FIXED(0.361000001, 1)</f>
        <v>0.4</v>
      </c>
      <c r="AS47" s="260" t="str">
        <f>FIXED(0.361000001, 1)</f>
        <v>0.4</v>
      </c>
      <c r="AT47" s="260" t="str">
        <f>FIXED(0.263000011, 1)</f>
        <v>0.3</v>
      </c>
      <c r="AU47" s="260" t="str">
        <f>FIXED(0, 1)</f>
        <v>0.0</v>
      </c>
      <c r="AV47" s="260" t="str">
        <f>FIXED(0.361000001, 1)</f>
        <v>0.4</v>
      </c>
      <c r="AW47" s="260" t="str">
        <f>FIXED(0.361000001, 1)</f>
        <v>0.4</v>
      </c>
      <c r="AX47" s="260" t="str">
        <f>FIXED(0.920000017, 1)</f>
        <v>0.9</v>
      </c>
      <c r="AY47" s="260" t="str">
        <f>FIXED(0, 1)</f>
        <v>0.0</v>
      </c>
      <c r="AZ47" s="105" t="str">
        <f>CHOOSE(0 + 1, "Ohms per", "Ohms")</f>
        <v>Ohms per</v>
      </c>
      <c r="BA47" s="105">
        <f>IF(0 = 0,ROUND(1, 0),"--")</f>
        <v>1</v>
      </c>
      <c r="BB47" s="105" t="str">
        <f>IF(0 = 0,CHOOSE((1 + 1), "ft", "mile", "m", "km"),"--")</f>
        <v>mile</v>
      </c>
      <c r="BC47" s="60"/>
      <c r="BD47" s="53" t="s">
        <v>6472</v>
      </c>
    </row>
    <row r="48" spans="1:56">
      <c r="A48" s="105" t="s">
        <v>6473</v>
      </c>
      <c r="B48" s="293">
        <f>ROUND(50, 1)</f>
        <v>50</v>
      </c>
      <c r="C48" s="58" t="str">
        <f>CHOOSE(2 + 1, "ft", "mile", "m", "km")</f>
        <v>m</v>
      </c>
      <c r="D48" s="105">
        <f>ROUND(0, 1)</f>
        <v>0</v>
      </c>
      <c r="E48" s="105" t="str">
        <f>IF(TRUE = TRUE, "Yes", "No")</f>
        <v>Yes</v>
      </c>
      <c r="F48" s="105" t="s">
        <v>5202</v>
      </c>
      <c r="G48" s="127" t="str">
        <f>IF(0 = 0, "3", "1")</f>
        <v>3</v>
      </c>
      <c r="H48" s="105"/>
      <c r="I48" s="105" t="str">
        <f>IF(TRIM("BUS_CNODE_JCT__1402") = "", "BUS_CNODE_JCT__1402", "BUS_CNODE_JCT__1402")</f>
        <v>BUS_CNODE_JCT__1402</v>
      </c>
      <c r="J48" s="105" t="str">
        <f>IF(TRIM("BUS_CNODE_JCT__1422") = "", "BUS_CNODE_JCT__1422", "BUS_CNODE_JCT__1422")</f>
        <v>BUS_CNODE_JCT__1422</v>
      </c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242" t="str">
        <f>IF(0=5, ROUND(0, 3),"--")</f>
        <v>--</v>
      </c>
      <c r="X48" s="242" t="str">
        <f>IF(0=5, ROUND(0, 3),"--")</f>
        <v>--</v>
      </c>
      <c r="Y48" s="242" t="str">
        <f>IF(0=5, ROUND(0, 3),"--")</f>
        <v>--</v>
      </c>
      <c r="Z48" s="242" t="str">
        <f>IF(0=5, ROUND(0, 3),"--")</f>
        <v>--</v>
      </c>
      <c r="AA48" s="242" t="str">
        <f>IF(0=5, ROUND(0, 3),"--")</f>
        <v>--</v>
      </c>
      <c r="AB48" s="242" t="str">
        <f>IF(0=5, ROUND(0, 3),"--")</f>
        <v>--</v>
      </c>
      <c r="AC48" s="242" t="str">
        <f>IF(0=1, ROUND(0, 3),"--")</f>
        <v>--</v>
      </c>
      <c r="AD48" s="242" t="str">
        <f>IF(0=1, ROUND(0, 3),"--")</f>
        <v>--</v>
      </c>
      <c r="AE48" s="242" t="str">
        <f>IF(0=1, ROUND(0, 3),"--")</f>
        <v>--</v>
      </c>
      <c r="AF48" s="242" t="str">
        <f>IF(0=1, ROUND(0, 3),"--")</f>
        <v>--</v>
      </c>
      <c r="AG48" s="242">
        <v>0</v>
      </c>
      <c r="AH48" s="242">
        <v>1</v>
      </c>
      <c r="AI48" s="242">
        <v>0</v>
      </c>
      <c r="AJ48" s="105">
        <f>ROUND(75, 0)</f>
        <v>75</v>
      </c>
      <c r="AK48" s="105">
        <f>ROUND(75, 0)</f>
        <v>75</v>
      </c>
      <c r="AL48" s="105">
        <f>ROUND(75, 0)</f>
        <v>75</v>
      </c>
      <c r="AM48" s="105">
        <f>ROUND(75, 0)</f>
        <v>75</v>
      </c>
      <c r="AN48" s="260" t="str">
        <f>FIXED(0.361000001, 1)</f>
        <v>0.4</v>
      </c>
      <c r="AO48" s="260" t="str">
        <f>FIXED(0.361000001, 1)</f>
        <v>0.4</v>
      </c>
      <c r="AP48" s="260" t="str">
        <f>FIXED(0.263000011, 1)</f>
        <v>0.3</v>
      </c>
      <c r="AQ48" s="260" t="str">
        <f>FIXED(0, 1)</f>
        <v>0.0</v>
      </c>
      <c r="AR48" s="260" t="str">
        <f>FIXED(0.361000001, 1)</f>
        <v>0.4</v>
      </c>
      <c r="AS48" s="260" t="str">
        <f>FIXED(0.361000001, 1)</f>
        <v>0.4</v>
      </c>
      <c r="AT48" s="260" t="str">
        <f>FIXED(0.263000011, 1)</f>
        <v>0.3</v>
      </c>
      <c r="AU48" s="260" t="str">
        <f>FIXED(0, 1)</f>
        <v>0.0</v>
      </c>
      <c r="AV48" s="260" t="str">
        <f>FIXED(0.361000001, 1)</f>
        <v>0.4</v>
      </c>
      <c r="AW48" s="260" t="str">
        <f>FIXED(0.361000001, 1)</f>
        <v>0.4</v>
      </c>
      <c r="AX48" s="260" t="str">
        <f>FIXED(0.920000017, 1)</f>
        <v>0.9</v>
      </c>
      <c r="AY48" s="260" t="str">
        <f>FIXED(0, 1)</f>
        <v>0.0</v>
      </c>
      <c r="AZ48" s="105" t="str">
        <f>CHOOSE(0 + 1, "Ohms per", "Ohms")</f>
        <v>Ohms per</v>
      </c>
      <c r="BA48" s="105">
        <f>IF(0 = 0,ROUND(1, 0),"--")</f>
        <v>1</v>
      </c>
      <c r="BB48" s="105" t="str">
        <f>IF(0 = 0,CHOOSE((1 + 1), "ft", "mile", "m", "km"),"--")</f>
        <v>mile</v>
      </c>
      <c r="BC48" s="60"/>
      <c r="BD48" s="53" t="s">
        <v>6474</v>
      </c>
    </row>
    <row r="49" spans="1:56">
      <c r="A49" s="105" t="s">
        <v>6475</v>
      </c>
      <c r="B49" s="293">
        <f>ROUND(3, 1)</f>
        <v>3</v>
      </c>
      <c r="C49" s="58" t="str">
        <f>CHOOSE(2 + 1, "ft", "mile", "m", "km")</f>
        <v>m</v>
      </c>
      <c r="D49" s="105">
        <f>ROUND(0, 1)</f>
        <v>0</v>
      </c>
      <c r="E49" s="105" t="str">
        <f>IF(TRUE = TRUE, "Yes", "No")</f>
        <v>Yes</v>
      </c>
      <c r="F49" s="105" t="s">
        <v>5202</v>
      </c>
      <c r="G49" s="127" t="str">
        <f>IF(0 = 0, "3", "1")</f>
        <v>3</v>
      </c>
      <c r="H49" s="105"/>
      <c r="I49" s="105" t="str">
        <f>IF(TRIM("BUS_CNODE_JCT__1400") = "", "BUS_CNODE_JCT__1400", "BUS_CNODE_JCT__1400")</f>
        <v>BUS_CNODE_JCT__1400</v>
      </c>
      <c r="J49" s="105" t="str">
        <f>IF(TRIM("BUS_CNODE_JCT__1310") = "", "BUS_CNODE_JCT__1310", "BUS_CNODE_JCT__1310")</f>
        <v>BUS_CNODE_JCT__1310</v>
      </c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242" t="str">
        <f>IF(0=5, ROUND(0, 3),"--")</f>
        <v>--</v>
      </c>
      <c r="X49" s="242" t="str">
        <f>IF(0=5, ROUND(0, 3),"--")</f>
        <v>--</v>
      </c>
      <c r="Y49" s="242" t="str">
        <f>IF(0=5, ROUND(0, 3),"--")</f>
        <v>--</v>
      </c>
      <c r="Z49" s="242" t="str">
        <f>IF(0=5, ROUND(0, 3),"--")</f>
        <v>--</v>
      </c>
      <c r="AA49" s="242" t="str">
        <f>IF(0=5, ROUND(0, 3),"--")</f>
        <v>--</v>
      </c>
      <c r="AB49" s="242" t="str">
        <f>IF(0=5, ROUND(0, 3),"--")</f>
        <v>--</v>
      </c>
      <c r="AC49" s="242" t="str">
        <f>IF(0=1, ROUND(0, 3),"--")</f>
        <v>--</v>
      </c>
      <c r="AD49" s="242" t="str">
        <f>IF(0=1, ROUND(0, 3),"--")</f>
        <v>--</v>
      </c>
      <c r="AE49" s="242" t="str">
        <f>IF(0=1, ROUND(0, 3),"--")</f>
        <v>--</v>
      </c>
      <c r="AF49" s="242" t="str">
        <f>IF(0=1, ROUND(0, 3),"--")</f>
        <v>--</v>
      </c>
      <c r="AG49" s="242">
        <v>0</v>
      </c>
      <c r="AH49" s="242">
        <v>1</v>
      </c>
      <c r="AI49" s="242">
        <v>0</v>
      </c>
      <c r="AJ49" s="105">
        <f>ROUND(75, 0)</f>
        <v>75</v>
      </c>
      <c r="AK49" s="105">
        <f>ROUND(75, 0)</f>
        <v>75</v>
      </c>
      <c r="AL49" s="105">
        <f>ROUND(75, 0)</f>
        <v>75</v>
      </c>
      <c r="AM49" s="105">
        <f>ROUND(75, 0)</f>
        <v>75</v>
      </c>
      <c r="AN49" s="260" t="str">
        <f>FIXED(0.361000001, 1)</f>
        <v>0.4</v>
      </c>
      <c r="AO49" s="260" t="str">
        <f>FIXED(0.361000001, 1)</f>
        <v>0.4</v>
      </c>
      <c r="AP49" s="260" t="str">
        <f>FIXED(0.263000011, 1)</f>
        <v>0.3</v>
      </c>
      <c r="AQ49" s="260" t="str">
        <f>FIXED(0, 1)</f>
        <v>0.0</v>
      </c>
      <c r="AR49" s="260" t="str">
        <f>FIXED(0.361000001, 1)</f>
        <v>0.4</v>
      </c>
      <c r="AS49" s="260" t="str">
        <f>FIXED(0.361000001, 1)</f>
        <v>0.4</v>
      </c>
      <c r="AT49" s="260" t="str">
        <f>FIXED(0.263000011, 1)</f>
        <v>0.3</v>
      </c>
      <c r="AU49" s="260" t="str">
        <f>FIXED(0, 1)</f>
        <v>0.0</v>
      </c>
      <c r="AV49" s="260" t="str">
        <f>FIXED(0.361000001, 1)</f>
        <v>0.4</v>
      </c>
      <c r="AW49" s="260" t="str">
        <f>FIXED(0.361000001, 1)</f>
        <v>0.4</v>
      </c>
      <c r="AX49" s="260" t="str">
        <f>FIXED(0.920000017, 1)</f>
        <v>0.9</v>
      </c>
      <c r="AY49" s="260" t="str">
        <f>FIXED(0, 1)</f>
        <v>0.0</v>
      </c>
      <c r="AZ49" s="105" t="str">
        <f>CHOOSE(0 + 1, "Ohms per", "Ohms")</f>
        <v>Ohms per</v>
      </c>
      <c r="BA49" s="105">
        <f>IF(0 = 0,ROUND(1, 0),"--")</f>
        <v>1</v>
      </c>
      <c r="BB49" s="105" t="str">
        <f>IF(0 = 0,CHOOSE((1 + 1), "ft", "mile", "m", "km"),"--")</f>
        <v>mile</v>
      </c>
      <c r="BC49" s="60"/>
      <c r="BD49" s="53" t="s">
        <v>6476</v>
      </c>
    </row>
    <row r="50" spans="1:56">
      <c r="A50" s="105" t="s">
        <v>6477</v>
      </c>
      <c r="B50" s="293">
        <f>ROUND(45, 1)</f>
        <v>45</v>
      </c>
      <c r="C50" s="58" t="str">
        <f>CHOOSE(2 + 1, "ft", "mile", "m", "km")</f>
        <v>m</v>
      </c>
      <c r="D50" s="105">
        <f>ROUND(0, 1)</f>
        <v>0</v>
      </c>
      <c r="E50" s="105" t="str">
        <f>IF(TRUE = TRUE, "Yes", "No")</f>
        <v>Yes</v>
      </c>
      <c r="F50" s="105" t="s">
        <v>5202</v>
      </c>
      <c r="G50" s="127" t="str">
        <f>IF(0 = 0, "3", "1")</f>
        <v>3</v>
      </c>
      <c r="H50" s="105"/>
      <c r="I50" s="105" t="str">
        <f>IF(TRIM("BUS_CNODE_JCT__1310") = "", "BUS_CNODE_JCT__1310", "BUS_CNODE_JCT__1310")</f>
        <v>BUS_CNODE_JCT__1310</v>
      </c>
      <c r="J50" s="105" t="str">
        <f>IF(TRIM("BUS_CNODE_JCT__1311") = "", "BUS_CNODE_JCT__1311", "BUS_CNODE_JCT__1311")</f>
        <v>BUS_CNODE_JCT__1311</v>
      </c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242" t="str">
        <f>IF(0=5, ROUND(0, 3),"--")</f>
        <v>--</v>
      </c>
      <c r="X50" s="242" t="str">
        <f>IF(0=5, ROUND(0, 3),"--")</f>
        <v>--</v>
      </c>
      <c r="Y50" s="242" t="str">
        <f>IF(0=5, ROUND(0, 3),"--")</f>
        <v>--</v>
      </c>
      <c r="Z50" s="242" t="str">
        <f>IF(0=5, ROUND(0, 3),"--")</f>
        <v>--</v>
      </c>
      <c r="AA50" s="242" t="str">
        <f>IF(0=5, ROUND(0, 3),"--")</f>
        <v>--</v>
      </c>
      <c r="AB50" s="242" t="str">
        <f>IF(0=5, ROUND(0, 3),"--")</f>
        <v>--</v>
      </c>
      <c r="AC50" s="242" t="str">
        <f>IF(0=1, ROUND(0, 3),"--")</f>
        <v>--</v>
      </c>
      <c r="AD50" s="242" t="str">
        <f>IF(0=1, ROUND(0, 3),"--")</f>
        <v>--</v>
      </c>
      <c r="AE50" s="242" t="str">
        <f>IF(0=1, ROUND(0, 3),"--")</f>
        <v>--</v>
      </c>
      <c r="AF50" s="242" t="str">
        <f>IF(0=1, ROUND(0, 3),"--")</f>
        <v>--</v>
      </c>
      <c r="AG50" s="242">
        <v>0</v>
      </c>
      <c r="AH50" s="242">
        <v>1</v>
      </c>
      <c r="AI50" s="242">
        <v>0</v>
      </c>
      <c r="AJ50" s="105">
        <f>ROUND(75, 0)</f>
        <v>75</v>
      </c>
      <c r="AK50" s="105">
        <f>ROUND(75, 0)</f>
        <v>75</v>
      </c>
      <c r="AL50" s="105">
        <f>ROUND(75, 0)</f>
        <v>75</v>
      </c>
      <c r="AM50" s="105">
        <f>ROUND(75, 0)</f>
        <v>75</v>
      </c>
      <c r="AN50" s="260" t="str">
        <f>FIXED(0.361000001, 1)</f>
        <v>0.4</v>
      </c>
      <c r="AO50" s="260" t="str">
        <f>FIXED(0.361000001, 1)</f>
        <v>0.4</v>
      </c>
      <c r="AP50" s="260" t="str">
        <f>FIXED(0.263000011, 1)</f>
        <v>0.3</v>
      </c>
      <c r="AQ50" s="260" t="str">
        <f>FIXED(0, 1)</f>
        <v>0.0</v>
      </c>
      <c r="AR50" s="260" t="str">
        <f>FIXED(0.361000001, 1)</f>
        <v>0.4</v>
      </c>
      <c r="AS50" s="260" t="str">
        <f>FIXED(0.361000001, 1)</f>
        <v>0.4</v>
      </c>
      <c r="AT50" s="260" t="str">
        <f>FIXED(0.263000011, 1)</f>
        <v>0.3</v>
      </c>
      <c r="AU50" s="260" t="str">
        <f>FIXED(0, 1)</f>
        <v>0.0</v>
      </c>
      <c r="AV50" s="260" t="str">
        <f>FIXED(0.361000001, 1)</f>
        <v>0.4</v>
      </c>
      <c r="AW50" s="260" t="str">
        <f>FIXED(0.361000001, 1)</f>
        <v>0.4</v>
      </c>
      <c r="AX50" s="260" t="str">
        <f>FIXED(0.920000017, 1)</f>
        <v>0.9</v>
      </c>
      <c r="AY50" s="260" t="str">
        <f>FIXED(0, 1)</f>
        <v>0.0</v>
      </c>
      <c r="AZ50" s="105" t="str">
        <f>CHOOSE(0 + 1, "Ohms per", "Ohms")</f>
        <v>Ohms per</v>
      </c>
      <c r="BA50" s="105">
        <f>IF(0 = 0,ROUND(1, 0),"--")</f>
        <v>1</v>
      </c>
      <c r="BB50" s="105" t="str">
        <f>IF(0 = 0,CHOOSE((1 + 1), "ft", "mile", "m", "km"),"--")</f>
        <v>mile</v>
      </c>
      <c r="BC50" s="60"/>
      <c r="BD50" s="53" t="s">
        <v>6478</v>
      </c>
    </row>
    <row r="51" spans="1:56">
      <c r="A51" s="105" t="s">
        <v>6479</v>
      </c>
      <c r="B51" s="293">
        <f>ROUND(51, 1)</f>
        <v>51</v>
      </c>
      <c r="C51" s="58" t="str">
        <f>CHOOSE(2 + 1, "ft", "mile", "m", "km")</f>
        <v>m</v>
      </c>
      <c r="D51" s="105">
        <f>ROUND(0, 1)</f>
        <v>0</v>
      </c>
      <c r="E51" s="105" t="str">
        <f>IF(TRUE = TRUE, "Yes", "No")</f>
        <v>Yes</v>
      </c>
      <c r="F51" s="105" t="s">
        <v>5202</v>
      </c>
      <c r="G51" s="127" t="str">
        <f>IF(0 = 0, "3", "1")</f>
        <v>3</v>
      </c>
      <c r="H51" s="105"/>
      <c r="I51" s="105" t="str">
        <f>IF(TRIM("BUS_CNODE_JCT__1311") = "", "BUS_CNODE_JCT__1311", "BUS_CNODE_JCT__1311")</f>
        <v>BUS_CNODE_JCT__1311</v>
      </c>
      <c r="J51" s="105" t="str">
        <f>IF(TRIM("BUS_CNODE_JCT__1399") = "", "BUS_CNODE_JCT__1399", "BUS_CNODE_JCT__1399")</f>
        <v>BUS_CNODE_JCT__1399</v>
      </c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242" t="str">
        <f>IF(0=5, ROUND(0, 3),"--")</f>
        <v>--</v>
      </c>
      <c r="X51" s="242" t="str">
        <f>IF(0=5, ROUND(0, 3),"--")</f>
        <v>--</v>
      </c>
      <c r="Y51" s="242" t="str">
        <f>IF(0=5, ROUND(0, 3),"--")</f>
        <v>--</v>
      </c>
      <c r="Z51" s="242" t="str">
        <f>IF(0=5, ROUND(0, 3),"--")</f>
        <v>--</v>
      </c>
      <c r="AA51" s="242" t="str">
        <f>IF(0=5, ROUND(0, 3),"--")</f>
        <v>--</v>
      </c>
      <c r="AB51" s="242" t="str">
        <f>IF(0=5, ROUND(0, 3),"--")</f>
        <v>--</v>
      </c>
      <c r="AC51" s="242" t="str">
        <f>IF(0=1, ROUND(0, 3),"--")</f>
        <v>--</v>
      </c>
      <c r="AD51" s="242" t="str">
        <f>IF(0=1, ROUND(0, 3),"--")</f>
        <v>--</v>
      </c>
      <c r="AE51" s="242" t="str">
        <f>IF(0=1, ROUND(0, 3),"--")</f>
        <v>--</v>
      </c>
      <c r="AF51" s="242" t="str">
        <f>IF(0=1, ROUND(0, 3),"--")</f>
        <v>--</v>
      </c>
      <c r="AG51" s="242">
        <v>0</v>
      </c>
      <c r="AH51" s="242">
        <v>1</v>
      </c>
      <c r="AI51" s="242">
        <v>0</v>
      </c>
      <c r="AJ51" s="105">
        <f>ROUND(75, 0)</f>
        <v>75</v>
      </c>
      <c r="AK51" s="105">
        <f>ROUND(75, 0)</f>
        <v>75</v>
      </c>
      <c r="AL51" s="105">
        <f>ROUND(75, 0)</f>
        <v>75</v>
      </c>
      <c r="AM51" s="105">
        <f>ROUND(75, 0)</f>
        <v>75</v>
      </c>
      <c r="AN51" s="260" t="str">
        <f>FIXED(0.361000001, 1)</f>
        <v>0.4</v>
      </c>
      <c r="AO51" s="260" t="str">
        <f>FIXED(0.361000001, 1)</f>
        <v>0.4</v>
      </c>
      <c r="AP51" s="260" t="str">
        <f>FIXED(0.263000011, 1)</f>
        <v>0.3</v>
      </c>
      <c r="AQ51" s="260" t="str">
        <f>FIXED(0, 1)</f>
        <v>0.0</v>
      </c>
      <c r="AR51" s="260" t="str">
        <f>FIXED(0.361000001, 1)</f>
        <v>0.4</v>
      </c>
      <c r="AS51" s="260" t="str">
        <f>FIXED(0.361000001, 1)</f>
        <v>0.4</v>
      </c>
      <c r="AT51" s="260" t="str">
        <f>FIXED(0.263000011, 1)</f>
        <v>0.3</v>
      </c>
      <c r="AU51" s="260" t="str">
        <f>FIXED(0, 1)</f>
        <v>0.0</v>
      </c>
      <c r="AV51" s="260" t="str">
        <f>FIXED(0.361000001, 1)</f>
        <v>0.4</v>
      </c>
      <c r="AW51" s="260" t="str">
        <f>FIXED(0.361000001, 1)</f>
        <v>0.4</v>
      </c>
      <c r="AX51" s="260" t="str">
        <f>FIXED(0.920000017, 1)</f>
        <v>0.9</v>
      </c>
      <c r="AY51" s="260" t="str">
        <f>FIXED(0, 1)</f>
        <v>0.0</v>
      </c>
      <c r="AZ51" s="105" t="str">
        <f>CHOOSE(0 + 1, "Ohms per", "Ohms")</f>
        <v>Ohms per</v>
      </c>
      <c r="BA51" s="105">
        <f>IF(0 = 0,ROUND(1, 0),"--")</f>
        <v>1</v>
      </c>
      <c r="BB51" s="105" t="str">
        <f>IF(0 = 0,CHOOSE((1 + 1), "ft", "mile", "m", "km"),"--")</f>
        <v>mile</v>
      </c>
      <c r="BC51" s="60"/>
      <c r="BD51" s="53" t="s">
        <v>6480</v>
      </c>
    </row>
    <row r="52" spans="1:56">
      <c r="A52" s="105" t="s">
        <v>6481</v>
      </c>
      <c r="B52" s="293">
        <f>ROUND(50, 1)</f>
        <v>50</v>
      </c>
      <c r="C52" s="58" t="str">
        <f>CHOOSE(2 + 1, "ft", "mile", "m", "km")</f>
        <v>m</v>
      </c>
      <c r="D52" s="105">
        <f>ROUND(0, 1)</f>
        <v>0</v>
      </c>
      <c r="E52" s="105" t="str">
        <f>IF(TRUE = TRUE, "Yes", "No")</f>
        <v>Yes</v>
      </c>
      <c r="F52" s="105" t="s">
        <v>5202</v>
      </c>
      <c r="G52" s="127" t="str">
        <f>IF(0 = 0, "3", "1")</f>
        <v>3</v>
      </c>
      <c r="H52" s="105"/>
      <c r="I52" s="105" t="str">
        <f>IF(TRIM("BUS_CNODE_JCT__1399") = "", "BUS_CNODE_JCT__1399", "BUS_CNODE_JCT__1399")</f>
        <v>BUS_CNODE_JCT__1399</v>
      </c>
      <c r="J52" s="105" t="str">
        <f>IF(TRIM("BUS_CNODE_JCT__1312") = "", "BUS_CNODE_JCT__1312", "BUS_CNODE_JCT__1312")</f>
        <v>BUS_CNODE_JCT__1312</v>
      </c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242" t="str">
        <f>IF(0=5, ROUND(0, 3),"--")</f>
        <v>--</v>
      </c>
      <c r="X52" s="242" t="str">
        <f>IF(0=5, ROUND(0, 3),"--")</f>
        <v>--</v>
      </c>
      <c r="Y52" s="242" t="str">
        <f>IF(0=5, ROUND(0, 3),"--")</f>
        <v>--</v>
      </c>
      <c r="Z52" s="242" t="str">
        <f>IF(0=5, ROUND(0, 3),"--")</f>
        <v>--</v>
      </c>
      <c r="AA52" s="242" t="str">
        <f>IF(0=5, ROUND(0, 3),"--")</f>
        <v>--</v>
      </c>
      <c r="AB52" s="242" t="str">
        <f>IF(0=5, ROUND(0, 3),"--")</f>
        <v>--</v>
      </c>
      <c r="AC52" s="242" t="str">
        <f>IF(0=1, ROUND(0, 3),"--")</f>
        <v>--</v>
      </c>
      <c r="AD52" s="242" t="str">
        <f>IF(0=1, ROUND(0, 3),"--")</f>
        <v>--</v>
      </c>
      <c r="AE52" s="242" t="str">
        <f>IF(0=1, ROUND(0, 3),"--")</f>
        <v>--</v>
      </c>
      <c r="AF52" s="242" t="str">
        <f>IF(0=1, ROUND(0, 3),"--")</f>
        <v>--</v>
      </c>
      <c r="AG52" s="242">
        <v>0</v>
      </c>
      <c r="AH52" s="242">
        <v>1</v>
      </c>
      <c r="AI52" s="242">
        <v>0</v>
      </c>
      <c r="AJ52" s="105">
        <f>ROUND(75, 0)</f>
        <v>75</v>
      </c>
      <c r="AK52" s="105">
        <f>ROUND(75, 0)</f>
        <v>75</v>
      </c>
      <c r="AL52" s="105">
        <f>ROUND(75, 0)</f>
        <v>75</v>
      </c>
      <c r="AM52" s="105">
        <f>ROUND(75, 0)</f>
        <v>75</v>
      </c>
      <c r="AN52" s="260" t="str">
        <f>FIXED(0.361000001, 1)</f>
        <v>0.4</v>
      </c>
      <c r="AO52" s="260" t="str">
        <f>FIXED(0.361000001, 1)</f>
        <v>0.4</v>
      </c>
      <c r="AP52" s="260" t="str">
        <f>FIXED(0.263000011, 1)</f>
        <v>0.3</v>
      </c>
      <c r="AQ52" s="260" t="str">
        <f>FIXED(0, 1)</f>
        <v>0.0</v>
      </c>
      <c r="AR52" s="260" t="str">
        <f>FIXED(0.361000001, 1)</f>
        <v>0.4</v>
      </c>
      <c r="AS52" s="260" t="str">
        <f>FIXED(0.361000001, 1)</f>
        <v>0.4</v>
      </c>
      <c r="AT52" s="260" t="str">
        <f>FIXED(0.263000011, 1)</f>
        <v>0.3</v>
      </c>
      <c r="AU52" s="260" t="str">
        <f>FIXED(0, 1)</f>
        <v>0.0</v>
      </c>
      <c r="AV52" s="260" t="str">
        <f>FIXED(0.361000001, 1)</f>
        <v>0.4</v>
      </c>
      <c r="AW52" s="260" t="str">
        <f>FIXED(0.361000001, 1)</f>
        <v>0.4</v>
      </c>
      <c r="AX52" s="260" t="str">
        <f>FIXED(0.920000017, 1)</f>
        <v>0.9</v>
      </c>
      <c r="AY52" s="260" t="str">
        <f>FIXED(0, 1)</f>
        <v>0.0</v>
      </c>
      <c r="AZ52" s="105" t="str">
        <f>CHOOSE(0 + 1, "Ohms per", "Ohms")</f>
        <v>Ohms per</v>
      </c>
      <c r="BA52" s="105">
        <f>IF(0 = 0,ROUND(1, 0),"--")</f>
        <v>1</v>
      </c>
      <c r="BB52" s="105" t="str">
        <f>IF(0 = 0,CHOOSE((1 + 1), "ft", "mile", "m", "km"),"--")</f>
        <v>mile</v>
      </c>
      <c r="BC52" s="60"/>
      <c r="BD52" s="53" t="s">
        <v>6482</v>
      </c>
    </row>
    <row r="53" spans="1:56">
      <c r="A53" s="105" t="s">
        <v>6483</v>
      </c>
      <c r="B53" s="293">
        <f>ROUND(50, 1)</f>
        <v>50</v>
      </c>
      <c r="C53" s="58" t="str">
        <f>CHOOSE(2 + 1, "ft", "mile", "m", "km")</f>
        <v>m</v>
      </c>
      <c r="D53" s="105">
        <f>ROUND(0, 1)</f>
        <v>0</v>
      </c>
      <c r="E53" s="105" t="str">
        <f>IF(TRUE = TRUE, "Yes", "No")</f>
        <v>Yes</v>
      </c>
      <c r="F53" s="105" t="s">
        <v>5202</v>
      </c>
      <c r="G53" s="127" t="str">
        <f>IF(0 = 0, "3", "1")</f>
        <v>3</v>
      </c>
      <c r="H53" s="105"/>
      <c r="I53" s="105" t="str">
        <f>IF(TRIM("BUS_CNODE_JCT__1312") = "", "BUS_CNODE_JCT__1312", "BUS_CNODE_JCT__1312")</f>
        <v>BUS_CNODE_JCT__1312</v>
      </c>
      <c r="J53" s="105" t="str">
        <f>IF(TRIM("BUS_CNODE_JCT__1398") = "", "BUS_CNODE_JCT__1398", "BUS_CNODE_JCT__1398")</f>
        <v>BUS_CNODE_JCT__1398</v>
      </c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242" t="str">
        <f>IF(0=5, ROUND(0, 3),"--")</f>
        <v>--</v>
      </c>
      <c r="X53" s="242" t="str">
        <f>IF(0=5, ROUND(0, 3),"--")</f>
        <v>--</v>
      </c>
      <c r="Y53" s="242" t="str">
        <f>IF(0=5, ROUND(0, 3),"--")</f>
        <v>--</v>
      </c>
      <c r="Z53" s="242" t="str">
        <f>IF(0=5, ROUND(0, 3),"--")</f>
        <v>--</v>
      </c>
      <c r="AA53" s="242" t="str">
        <f>IF(0=5, ROUND(0, 3),"--")</f>
        <v>--</v>
      </c>
      <c r="AB53" s="242" t="str">
        <f>IF(0=5, ROUND(0, 3),"--")</f>
        <v>--</v>
      </c>
      <c r="AC53" s="242" t="str">
        <f>IF(0=1, ROUND(0, 3),"--")</f>
        <v>--</v>
      </c>
      <c r="AD53" s="242" t="str">
        <f>IF(0=1, ROUND(0, 3),"--")</f>
        <v>--</v>
      </c>
      <c r="AE53" s="242" t="str">
        <f>IF(0=1, ROUND(0, 3),"--")</f>
        <v>--</v>
      </c>
      <c r="AF53" s="242" t="str">
        <f>IF(0=1, ROUND(0, 3),"--")</f>
        <v>--</v>
      </c>
      <c r="AG53" s="242">
        <v>0</v>
      </c>
      <c r="AH53" s="242">
        <v>1</v>
      </c>
      <c r="AI53" s="242">
        <v>0</v>
      </c>
      <c r="AJ53" s="105">
        <f>ROUND(75, 0)</f>
        <v>75</v>
      </c>
      <c r="AK53" s="105">
        <f>ROUND(75, 0)</f>
        <v>75</v>
      </c>
      <c r="AL53" s="105">
        <f>ROUND(75, 0)</f>
        <v>75</v>
      </c>
      <c r="AM53" s="105">
        <f>ROUND(75, 0)</f>
        <v>75</v>
      </c>
      <c r="AN53" s="260" t="str">
        <f>FIXED(0.361000001, 1)</f>
        <v>0.4</v>
      </c>
      <c r="AO53" s="260" t="str">
        <f>FIXED(0.361000001, 1)</f>
        <v>0.4</v>
      </c>
      <c r="AP53" s="260" t="str">
        <f>FIXED(0.263000011, 1)</f>
        <v>0.3</v>
      </c>
      <c r="AQ53" s="260" t="str">
        <f>FIXED(0, 1)</f>
        <v>0.0</v>
      </c>
      <c r="AR53" s="260" t="str">
        <f>FIXED(0.361000001, 1)</f>
        <v>0.4</v>
      </c>
      <c r="AS53" s="260" t="str">
        <f>FIXED(0.361000001, 1)</f>
        <v>0.4</v>
      </c>
      <c r="AT53" s="260" t="str">
        <f>FIXED(0.263000011, 1)</f>
        <v>0.3</v>
      </c>
      <c r="AU53" s="260" t="str">
        <f>FIXED(0, 1)</f>
        <v>0.0</v>
      </c>
      <c r="AV53" s="260" t="str">
        <f>FIXED(0.361000001, 1)</f>
        <v>0.4</v>
      </c>
      <c r="AW53" s="260" t="str">
        <f>FIXED(0.361000001, 1)</f>
        <v>0.4</v>
      </c>
      <c r="AX53" s="260" t="str">
        <f>FIXED(0.920000017, 1)</f>
        <v>0.9</v>
      </c>
      <c r="AY53" s="260" t="str">
        <f>FIXED(0, 1)</f>
        <v>0.0</v>
      </c>
      <c r="AZ53" s="105" t="str">
        <f>CHOOSE(0 + 1, "Ohms per", "Ohms")</f>
        <v>Ohms per</v>
      </c>
      <c r="BA53" s="105">
        <f>IF(0 = 0,ROUND(1, 0),"--")</f>
        <v>1</v>
      </c>
      <c r="BB53" s="105" t="str">
        <f>IF(0 = 0,CHOOSE((1 + 1), "ft", "mile", "m", "km"),"--")</f>
        <v>mile</v>
      </c>
      <c r="BC53" s="60"/>
      <c r="BD53" s="53" t="s">
        <v>6484</v>
      </c>
    </row>
    <row r="54" spans="1:56">
      <c r="A54" s="105" t="s">
        <v>6485</v>
      </c>
      <c r="B54" s="293">
        <f>ROUND(50, 1)</f>
        <v>50</v>
      </c>
      <c r="C54" s="58" t="str">
        <f>CHOOSE(2 + 1, "ft", "mile", "m", "km")</f>
        <v>m</v>
      </c>
      <c r="D54" s="105">
        <f>ROUND(0, 1)</f>
        <v>0</v>
      </c>
      <c r="E54" s="105" t="str">
        <f>IF(TRUE = TRUE, "Yes", "No")</f>
        <v>Yes</v>
      </c>
      <c r="F54" s="105" t="s">
        <v>5202</v>
      </c>
      <c r="G54" s="127" t="str">
        <f>IF(0 = 0, "3", "1")</f>
        <v>3</v>
      </c>
      <c r="H54" s="105"/>
      <c r="I54" s="105" t="str">
        <f>IF(TRIM("BUS_CNODE_JCT__1398") = "", "BUS_CNODE_JCT__1398", "BUS_CNODE_JCT__1398")</f>
        <v>BUS_CNODE_JCT__1398</v>
      </c>
      <c r="J54" s="105" t="str">
        <f>IF(TRIM("BUS_CNODE_JCT__1397") = "", "BUS_CNODE_JCT__1397", "BUS_CNODE_JCT__1397")</f>
        <v>BUS_CNODE_JCT__1397</v>
      </c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242" t="str">
        <f>IF(0=5, ROUND(0, 3),"--")</f>
        <v>--</v>
      </c>
      <c r="X54" s="242" t="str">
        <f>IF(0=5, ROUND(0, 3),"--")</f>
        <v>--</v>
      </c>
      <c r="Y54" s="242" t="str">
        <f>IF(0=5, ROUND(0, 3),"--")</f>
        <v>--</v>
      </c>
      <c r="Z54" s="242" t="str">
        <f>IF(0=5, ROUND(0, 3),"--")</f>
        <v>--</v>
      </c>
      <c r="AA54" s="242" t="str">
        <f>IF(0=5, ROUND(0, 3),"--")</f>
        <v>--</v>
      </c>
      <c r="AB54" s="242" t="str">
        <f>IF(0=5, ROUND(0, 3),"--")</f>
        <v>--</v>
      </c>
      <c r="AC54" s="242" t="str">
        <f>IF(0=1, ROUND(0, 3),"--")</f>
        <v>--</v>
      </c>
      <c r="AD54" s="242" t="str">
        <f>IF(0=1, ROUND(0, 3),"--")</f>
        <v>--</v>
      </c>
      <c r="AE54" s="242" t="str">
        <f>IF(0=1, ROUND(0, 3),"--")</f>
        <v>--</v>
      </c>
      <c r="AF54" s="242" t="str">
        <f>IF(0=1, ROUND(0, 3),"--")</f>
        <v>--</v>
      </c>
      <c r="AG54" s="242">
        <v>0</v>
      </c>
      <c r="AH54" s="242">
        <v>1</v>
      </c>
      <c r="AI54" s="242">
        <v>0</v>
      </c>
      <c r="AJ54" s="105">
        <f>ROUND(75, 0)</f>
        <v>75</v>
      </c>
      <c r="AK54" s="105">
        <f>ROUND(75, 0)</f>
        <v>75</v>
      </c>
      <c r="AL54" s="105">
        <f>ROUND(75, 0)</f>
        <v>75</v>
      </c>
      <c r="AM54" s="105">
        <f>ROUND(75, 0)</f>
        <v>75</v>
      </c>
      <c r="AN54" s="260" t="str">
        <f>FIXED(0.361000001, 1)</f>
        <v>0.4</v>
      </c>
      <c r="AO54" s="260" t="str">
        <f>FIXED(0.361000001, 1)</f>
        <v>0.4</v>
      </c>
      <c r="AP54" s="260" t="str">
        <f>FIXED(0.263000011, 1)</f>
        <v>0.3</v>
      </c>
      <c r="AQ54" s="260" t="str">
        <f>FIXED(0, 1)</f>
        <v>0.0</v>
      </c>
      <c r="AR54" s="260" t="str">
        <f>FIXED(0.361000001, 1)</f>
        <v>0.4</v>
      </c>
      <c r="AS54" s="260" t="str">
        <f>FIXED(0.361000001, 1)</f>
        <v>0.4</v>
      </c>
      <c r="AT54" s="260" t="str">
        <f>FIXED(0.263000011, 1)</f>
        <v>0.3</v>
      </c>
      <c r="AU54" s="260" t="str">
        <f>FIXED(0, 1)</f>
        <v>0.0</v>
      </c>
      <c r="AV54" s="260" t="str">
        <f>FIXED(0.361000001, 1)</f>
        <v>0.4</v>
      </c>
      <c r="AW54" s="260" t="str">
        <f>FIXED(0.361000001, 1)</f>
        <v>0.4</v>
      </c>
      <c r="AX54" s="260" t="str">
        <f>FIXED(0.920000017, 1)</f>
        <v>0.9</v>
      </c>
      <c r="AY54" s="260" t="str">
        <f>FIXED(0, 1)</f>
        <v>0.0</v>
      </c>
      <c r="AZ54" s="105" t="str">
        <f>CHOOSE(0 + 1, "Ohms per", "Ohms")</f>
        <v>Ohms per</v>
      </c>
      <c r="BA54" s="105">
        <f>IF(0 = 0,ROUND(1, 0),"--")</f>
        <v>1</v>
      </c>
      <c r="BB54" s="105" t="str">
        <f>IF(0 = 0,CHOOSE((1 + 1), "ft", "mile", "m", "km"),"--")</f>
        <v>mile</v>
      </c>
      <c r="BC54" s="60"/>
      <c r="BD54" s="53" t="s">
        <v>6486</v>
      </c>
    </row>
    <row r="55" spans="1:56">
      <c r="A55" s="105" t="s">
        <v>6487</v>
      </c>
      <c r="B55" s="293">
        <f>ROUND(37, 1)</f>
        <v>37</v>
      </c>
      <c r="C55" s="58" t="str">
        <f>CHOOSE(2 + 1, "ft", "mile", "m", "km")</f>
        <v>m</v>
      </c>
      <c r="D55" s="105">
        <f>ROUND(0, 1)</f>
        <v>0</v>
      </c>
      <c r="E55" s="105" t="str">
        <f>IF(TRUE = TRUE, "Yes", "No")</f>
        <v>Yes</v>
      </c>
      <c r="F55" s="105" t="s">
        <v>5202</v>
      </c>
      <c r="G55" s="127" t="str">
        <f>IF(0 = 0, "3", "1")</f>
        <v>3</v>
      </c>
      <c r="H55" s="105"/>
      <c r="I55" s="105" t="str">
        <f>IF(TRIM("BUS_CNODE_JCT__1397") = "", "BUS_CNODE_JCT__1397", "BUS_CNODE_JCT__1397")</f>
        <v>BUS_CNODE_JCT__1397</v>
      </c>
      <c r="J55" s="105" t="str">
        <f>IF(TRIM("BUS_CNODE_JCT__1313") = "", "BUS_CNODE_JCT__1313", "BUS_CNODE_JCT__1313")</f>
        <v>BUS_CNODE_JCT__1313</v>
      </c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242" t="str">
        <f>IF(0=5, ROUND(0, 3),"--")</f>
        <v>--</v>
      </c>
      <c r="X55" s="242" t="str">
        <f>IF(0=5, ROUND(0, 3),"--")</f>
        <v>--</v>
      </c>
      <c r="Y55" s="242" t="str">
        <f>IF(0=5, ROUND(0, 3),"--")</f>
        <v>--</v>
      </c>
      <c r="Z55" s="242" t="str">
        <f>IF(0=5, ROUND(0, 3),"--")</f>
        <v>--</v>
      </c>
      <c r="AA55" s="242" t="str">
        <f>IF(0=5, ROUND(0, 3),"--")</f>
        <v>--</v>
      </c>
      <c r="AB55" s="242" t="str">
        <f>IF(0=5, ROUND(0, 3),"--")</f>
        <v>--</v>
      </c>
      <c r="AC55" s="242" t="str">
        <f>IF(0=1, ROUND(0, 3),"--")</f>
        <v>--</v>
      </c>
      <c r="AD55" s="242" t="str">
        <f>IF(0=1, ROUND(0, 3),"--")</f>
        <v>--</v>
      </c>
      <c r="AE55" s="242" t="str">
        <f>IF(0=1, ROUND(0, 3),"--")</f>
        <v>--</v>
      </c>
      <c r="AF55" s="242" t="str">
        <f>IF(0=1, ROUND(0, 3),"--")</f>
        <v>--</v>
      </c>
      <c r="AG55" s="242">
        <v>0</v>
      </c>
      <c r="AH55" s="242">
        <v>1</v>
      </c>
      <c r="AI55" s="242">
        <v>0</v>
      </c>
      <c r="AJ55" s="105">
        <f>ROUND(75, 0)</f>
        <v>75</v>
      </c>
      <c r="AK55" s="105">
        <f>ROUND(75, 0)</f>
        <v>75</v>
      </c>
      <c r="AL55" s="105">
        <f>ROUND(75, 0)</f>
        <v>75</v>
      </c>
      <c r="AM55" s="105">
        <f>ROUND(75, 0)</f>
        <v>75</v>
      </c>
      <c r="AN55" s="260" t="str">
        <f>FIXED(0.361000001, 1)</f>
        <v>0.4</v>
      </c>
      <c r="AO55" s="260" t="str">
        <f>FIXED(0.361000001, 1)</f>
        <v>0.4</v>
      </c>
      <c r="AP55" s="260" t="str">
        <f>FIXED(0.263000011, 1)</f>
        <v>0.3</v>
      </c>
      <c r="AQ55" s="260" t="str">
        <f>FIXED(0, 1)</f>
        <v>0.0</v>
      </c>
      <c r="AR55" s="260" t="str">
        <f>FIXED(0.361000001, 1)</f>
        <v>0.4</v>
      </c>
      <c r="AS55" s="260" t="str">
        <f>FIXED(0.361000001, 1)</f>
        <v>0.4</v>
      </c>
      <c r="AT55" s="260" t="str">
        <f>FIXED(0.263000011, 1)</f>
        <v>0.3</v>
      </c>
      <c r="AU55" s="260" t="str">
        <f>FIXED(0, 1)</f>
        <v>0.0</v>
      </c>
      <c r="AV55" s="260" t="str">
        <f>FIXED(0.361000001, 1)</f>
        <v>0.4</v>
      </c>
      <c r="AW55" s="260" t="str">
        <f>FIXED(0.361000001, 1)</f>
        <v>0.4</v>
      </c>
      <c r="AX55" s="260" t="str">
        <f>FIXED(0.920000017, 1)</f>
        <v>0.9</v>
      </c>
      <c r="AY55" s="260" t="str">
        <f>FIXED(0, 1)</f>
        <v>0.0</v>
      </c>
      <c r="AZ55" s="105" t="str">
        <f>CHOOSE(0 + 1, "Ohms per", "Ohms")</f>
        <v>Ohms per</v>
      </c>
      <c r="BA55" s="105">
        <f>IF(0 = 0,ROUND(1, 0),"--")</f>
        <v>1</v>
      </c>
      <c r="BB55" s="105" t="str">
        <f>IF(0 = 0,CHOOSE((1 + 1), "ft", "mile", "m", "km"),"--")</f>
        <v>mile</v>
      </c>
      <c r="BC55" s="60"/>
      <c r="BD55" s="53" t="s">
        <v>6488</v>
      </c>
    </row>
    <row r="56" spans="1:56">
      <c r="A56" s="105" t="s">
        <v>6489</v>
      </c>
      <c r="B56" s="293">
        <f>ROUND(46, 1)</f>
        <v>46</v>
      </c>
      <c r="C56" s="58" t="str">
        <f>CHOOSE(2 + 1, "ft", "mile", "m", "km")</f>
        <v>m</v>
      </c>
      <c r="D56" s="105">
        <f>ROUND(0, 1)</f>
        <v>0</v>
      </c>
      <c r="E56" s="105" t="str">
        <f>IF(TRUE = TRUE, "Yes", "No")</f>
        <v>Yes</v>
      </c>
      <c r="F56" s="105" t="s">
        <v>5202</v>
      </c>
      <c r="G56" s="127" t="str">
        <f>IF(0 = 0, "3", "1")</f>
        <v>3</v>
      </c>
      <c r="H56" s="105"/>
      <c r="I56" s="105" t="str">
        <f>IF(TRIM("BUS_CNODE_JCT__1313") = "", "BUS_CNODE_JCT__1313", "BUS_CNODE_JCT__1313")</f>
        <v>BUS_CNODE_JCT__1313</v>
      </c>
      <c r="J56" s="105" t="str">
        <f>IF(TRIM("BUS_CNODE_JCT__1395") = "", "BUS_CNODE_JCT__1395", "BUS_CNODE_JCT__1395")</f>
        <v>BUS_CNODE_JCT__1395</v>
      </c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242" t="str">
        <f>IF(0=5, ROUND(0, 3),"--")</f>
        <v>--</v>
      </c>
      <c r="X56" s="242" t="str">
        <f>IF(0=5, ROUND(0, 3),"--")</f>
        <v>--</v>
      </c>
      <c r="Y56" s="242" t="str">
        <f>IF(0=5, ROUND(0, 3),"--")</f>
        <v>--</v>
      </c>
      <c r="Z56" s="242" t="str">
        <f>IF(0=5, ROUND(0, 3),"--")</f>
        <v>--</v>
      </c>
      <c r="AA56" s="242" t="str">
        <f>IF(0=5, ROUND(0, 3),"--")</f>
        <v>--</v>
      </c>
      <c r="AB56" s="242" t="str">
        <f>IF(0=5, ROUND(0, 3),"--")</f>
        <v>--</v>
      </c>
      <c r="AC56" s="242" t="str">
        <f>IF(0=1, ROUND(0, 3),"--")</f>
        <v>--</v>
      </c>
      <c r="AD56" s="242" t="str">
        <f>IF(0=1, ROUND(0, 3),"--")</f>
        <v>--</v>
      </c>
      <c r="AE56" s="242" t="str">
        <f>IF(0=1, ROUND(0, 3),"--")</f>
        <v>--</v>
      </c>
      <c r="AF56" s="242" t="str">
        <f>IF(0=1, ROUND(0, 3),"--")</f>
        <v>--</v>
      </c>
      <c r="AG56" s="242">
        <v>0</v>
      </c>
      <c r="AH56" s="242">
        <v>1</v>
      </c>
      <c r="AI56" s="242">
        <v>0</v>
      </c>
      <c r="AJ56" s="105">
        <f>ROUND(75, 0)</f>
        <v>75</v>
      </c>
      <c r="AK56" s="105">
        <f>ROUND(75, 0)</f>
        <v>75</v>
      </c>
      <c r="AL56" s="105">
        <f>ROUND(75, 0)</f>
        <v>75</v>
      </c>
      <c r="AM56" s="105">
        <f>ROUND(75, 0)</f>
        <v>75</v>
      </c>
      <c r="AN56" s="260" t="str">
        <f>FIXED(0.361000001, 1)</f>
        <v>0.4</v>
      </c>
      <c r="AO56" s="260" t="str">
        <f>FIXED(0.361000001, 1)</f>
        <v>0.4</v>
      </c>
      <c r="AP56" s="260" t="str">
        <f>FIXED(0.263000011, 1)</f>
        <v>0.3</v>
      </c>
      <c r="AQ56" s="260" t="str">
        <f>FIXED(0, 1)</f>
        <v>0.0</v>
      </c>
      <c r="AR56" s="260" t="str">
        <f>FIXED(0.361000001, 1)</f>
        <v>0.4</v>
      </c>
      <c r="AS56" s="260" t="str">
        <f>FIXED(0.361000001, 1)</f>
        <v>0.4</v>
      </c>
      <c r="AT56" s="260" t="str">
        <f>FIXED(0.263000011, 1)</f>
        <v>0.3</v>
      </c>
      <c r="AU56" s="260" t="str">
        <f>FIXED(0, 1)</f>
        <v>0.0</v>
      </c>
      <c r="AV56" s="260" t="str">
        <f>FIXED(0.361000001, 1)</f>
        <v>0.4</v>
      </c>
      <c r="AW56" s="260" t="str">
        <f>FIXED(0.361000001, 1)</f>
        <v>0.4</v>
      </c>
      <c r="AX56" s="260" t="str">
        <f>FIXED(0.920000017, 1)</f>
        <v>0.9</v>
      </c>
      <c r="AY56" s="260" t="str">
        <f>FIXED(0, 1)</f>
        <v>0.0</v>
      </c>
      <c r="AZ56" s="105" t="str">
        <f>CHOOSE(0 + 1, "Ohms per", "Ohms")</f>
        <v>Ohms per</v>
      </c>
      <c r="BA56" s="105">
        <f>IF(0 = 0,ROUND(1, 0),"--")</f>
        <v>1</v>
      </c>
      <c r="BB56" s="105" t="str">
        <f>IF(0 = 0,CHOOSE((1 + 1), "ft", "mile", "m", "km"),"--")</f>
        <v>mile</v>
      </c>
      <c r="BC56" s="60"/>
      <c r="BD56" s="53" t="s">
        <v>6490</v>
      </c>
    </row>
    <row r="57" spans="1:56">
      <c r="A57" s="105" t="s">
        <v>6491</v>
      </c>
      <c r="B57" s="293">
        <f>ROUND(54, 1)</f>
        <v>54</v>
      </c>
      <c r="C57" s="58" t="str">
        <f>CHOOSE(2 + 1, "ft", "mile", "m", "km")</f>
        <v>m</v>
      </c>
      <c r="D57" s="105">
        <f>ROUND(0, 1)</f>
        <v>0</v>
      </c>
      <c r="E57" s="105" t="str">
        <f>IF(TRUE = TRUE, "Yes", "No")</f>
        <v>Yes</v>
      </c>
      <c r="F57" s="105" t="s">
        <v>5202</v>
      </c>
      <c r="G57" s="127" t="str">
        <f>IF(0 = 0, "3", "1")</f>
        <v>3</v>
      </c>
      <c r="H57" s="105"/>
      <c r="I57" s="105" t="str">
        <f>IF(TRIM("BUS_CNODE_JCT__1395") = "", "BUS_CNODE_JCT__1395", "BUS_CNODE_JCT__1395")</f>
        <v>BUS_CNODE_JCT__1395</v>
      </c>
      <c r="J57" s="105" t="str">
        <f>IF(TRIM("BUS_CNODE_JCT__1396") = "", "BUS_CNODE_JCT__1396", "BUS_CNODE_JCT__1396")</f>
        <v>BUS_CNODE_JCT__1396</v>
      </c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242" t="str">
        <f>IF(0=5, ROUND(0, 3),"--")</f>
        <v>--</v>
      </c>
      <c r="X57" s="242" t="str">
        <f>IF(0=5, ROUND(0, 3),"--")</f>
        <v>--</v>
      </c>
      <c r="Y57" s="242" t="str">
        <f>IF(0=5, ROUND(0, 3),"--")</f>
        <v>--</v>
      </c>
      <c r="Z57" s="242" t="str">
        <f>IF(0=5, ROUND(0, 3),"--")</f>
        <v>--</v>
      </c>
      <c r="AA57" s="242" t="str">
        <f>IF(0=5, ROUND(0, 3),"--")</f>
        <v>--</v>
      </c>
      <c r="AB57" s="242" t="str">
        <f>IF(0=5, ROUND(0, 3),"--")</f>
        <v>--</v>
      </c>
      <c r="AC57" s="242" t="str">
        <f>IF(0=1, ROUND(0, 3),"--")</f>
        <v>--</v>
      </c>
      <c r="AD57" s="242" t="str">
        <f>IF(0=1, ROUND(0, 3),"--")</f>
        <v>--</v>
      </c>
      <c r="AE57" s="242" t="str">
        <f>IF(0=1, ROUND(0, 3),"--")</f>
        <v>--</v>
      </c>
      <c r="AF57" s="242" t="str">
        <f>IF(0=1, ROUND(0, 3),"--")</f>
        <v>--</v>
      </c>
      <c r="AG57" s="242">
        <v>0</v>
      </c>
      <c r="AH57" s="242">
        <v>1</v>
      </c>
      <c r="AI57" s="242">
        <v>0</v>
      </c>
      <c r="AJ57" s="105">
        <f>ROUND(75, 0)</f>
        <v>75</v>
      </c>
      <c r="AK57" s="105">
        <f>ROUND(75, 0)</f>
        <v>75</v>
      </c>
      <c r="AL57" s="105">
        <f>ROUND(75, 0)</f>
        <v>75</v>
      </c>
      <c r="AM57" s="105">
        <f>ROUND(75, 0)</f>
        <v>75</v>
      </c>
      <c r="AN57" s="260" t="str">
        <f>FIXED(0.361000001, 1)</f>
        <v>0.4</v>
      </c>
      <c r="AO57" s="260" t="str">
        <f>FIXED(0.361000001, 1)</f>
        <v>0.4</v>
      </c>
      <c r="AP57" s="260" t="str">
        <f>FIXED(0.263000011, 1)</f>
        <v>0.3</v>
      </c>
      <c r="AQ57" s="260" t="str">
        <f>FIXED(0, 1)</f>
        <v>0.0</v>
      </c>
      <c r="AR57" s="260" t="str">
        <f>FIXED(0.361000001, 1)</f>
        <v>0.4</v>
      </c>
      <c r="AS57" s="260" t="str">
        <f>FIXED(0.361000001, 1)</f>
        <v>0.4</v>
      </c>
      <c r="AT57" s="260" t="str">
        <f>FIXED(0.263000011, 1)</f>
        <v>0.3</v>
      </c>
      <c r="AU57" s="260" t="str">
        <f>FIXED(0, 1)</f>
        <v>0.0</v>
      </c>
      <c r="AV57" s="260" t="str">
        <f>FIXED(0.361000001, 1)</f>
        <v>0.4</v>
      </c>
      <c r="AW57" s="260" t="str">
        <f>FIXED(0.361000001, 1)</f>
        <v>0.4</v>
      </c>
      <c r="AX57" s="260" t="str">
        <f>FIXED(0.920000017, 1)</f>
        <v>0.9</v>
      </c>
      <c r="AY57" s="260" t="str">
        <f>FIXED(0, 1)</f>
        <v>0.0</v>
      </c>
      <c r="AZ57" s="105" t="str">
        <f>CHOOSE(0 + 1, "Ohms per", "Ohms")</f>
        <v>Ohms per</v>
      </c>
      <c r="BA57" s="105">
        <f>IF(0 = 0,ROUND(1, 0),"--")</f>
        <v>1</v>
      </c>
      <c r="BB57" s="105" t="str">
        <f>IF(0 = 0,CHOOSE((1 + 1), "ft", "mile", "m", "km"),"--")</f>
        <v>mile</v>
      </c>
      <c r="BC57" s="60"/>
      <c r="BD57" s="53" t="s">
        <v>6492</v>
      </c>
    </row>
    <row r="58" spans="1:56">
      <c r="A58" s="105" t="s">
        <v>6493</v>
      </c>
      <c r="B58" s="293">
        <f>ROUND(45, 1)</f>
        <v>45</v>
      </c>
      <c r="C58" s="58" t="str">
        <f>CHOOSE(2 + 1, "ft", "mile", "m", "km")</f>
        <v>m</v>
      </c>
      <c r="D58" s="105">
        <f>ROUND(0, 1)</f>
        <v>0</v>
      </c>
      <c r="E58" s="105" t="str">
        <f>IF(TRUE = TRUE, "Yes", "No")</f>
        <v>Yes</v>
      </c>
      <c r="F58" s="105" t="s">
        <v>5202</v>
      </c>
      <c r="G58" s="127" t="str">
        <f>IF(0 = 0, "3", "1")</f>
        <v>3</v>
      </c>
      <c r="H58" s="105"/>
      <c r="I58" s="105" t="str">
        <f>IF(TRIM("BUS_CNODE_JCT__1396") = "", "BUS_CNODE_JCT__1396", "BUS_CNODE_JCT__1396")</f>
        <v>BUS_CNODE_JCT__1396</v>
      </c>
      <c r="J58" s="105" t="str">
        <f>IF(TRIM("BUS_CNODE_JCT__1419") = "", "BUS_CNODE_JCT__1419", "BUS_CNODE_JCT__1419")</f>
        <v>BUS_CNODE_JCT__1419</v>
      </c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242" t="str">
        <f>IF(0=5, ROUND(0, 3),"--")</f>
        <v>--</v>
      </c>
      <c r="X58" s="242" t="str">
        <f>IF(0=5, ROUND(0, 3),"--")</f>
        <v>--</v>
      </c>
      <c r="Y58" s="242" t="str">
        <f>IF(0=5, ROUND(0, 3),"--")</f>
        <v>--</v>
      </c>
      <c r="Z58" s="242" t="str">
        <f>IF(0=5, ROUND(0, 3),"--")</f>
        <v>--</v>
      </c>
      <c r="AA58" s="242" t="str">
        <f>IF(0=5, ROUND(0, 3),"--")</f>
        <v>--</v>
      </c>
      <c r="AB58" s="242" t="str">
        <f>IF(0=5, ROUND(0, 3),"--")</f>
        <v>--</v>
      </c>
      <c r="AC58" s="242" t="str">
        <f>IF(0=1, ROUND(0, 3),"--")</f>
        <v>--</v>
      </c>
      <c r="AD58" s="242" t="str">
        <f>IF(0=1, ROUND(0, 3),"--")</f>
        <v>--</v>
      </c>
      <c r="AE58" s="242" t="str">
        <f>IF(0=1, ROUND(0, 3),"--")</f>
        <v>--</v>
      </c>
      <c r="AF58" s="242" t="str">
        <f>IF(0=1, ROUND(0, 3),"--")</f>
        <v>--</v>
      </c>
      <c r="AG58" s="242">
        <v>0</v>
      </c>
      <c r="AH58" s="242">
        <v>1</v>
      </c>
      <c r="AI58" s="242">
        <v>0</v>
      </c>
      <c r="AJ58" s="105">
        <f>ROUND(75, 0)</f>
        <v>75</v>
      </c>
      <c r="AK58" s="105">
        <f>ROUND(75, 0)</f>
        <v>75</v>
      </c>
      <c r="AL58" s="105">
        <f>ROUND(75, 0)</f>
        <v>75</v>
      </c>
      <c r="AM58" s="105">
        <f>ROUND(75, 0)</f>
        <v>75</v>
      </c>
      <c r="AN58" s="260" t="str">
        <f>FIXED(0.361000001, 1)</f>
        <v>0.4</v>
      </c>
      <c r="AO58" s="260" t="str">
        <f>FIXED(0.361000001, 1)</f>
        <v>0.4</v>
      </c>
      <c r="AP58" s="260" t="str">
        <f>FIXED(0.263000011, 1)</f>
        <v>0.3</v>
      </c>
      <c r="AQ58" s="260" t="str">
        <f>FIXED(0, 1)</f>
        <v>0.0</v>
      </c>
      <c r="AR58" s="260" t="str">
        <f>FIXED(0.361000001, 1)</f>
        <v>0.4</v>
      </c>
      <c r="AS58" s="260" t="str">
        <f>FIXED(0.361000001, 1)</f>
        <v>0.4</v>
      </c>
      <c r="AT58" s="260" t="str">
        <f>FIXED(0.263000011, 1)</f>
        <v>0.3</v>
      </c>
      <c r="AU58" s="260" t="str">
        <f>FIXED(0, 1)</f>
        <v>0.0</v>
      </c>
      <c r="AV58" s="260" t="str">
        <f>FIXED(0.361000001, 1)</f>
        <v>0.4</v>
      </c>
      <c r="AW58" s="260" t="str">
        <f>FIXED(0.361000001, 1)</f>
        <v>0.4</v>
      </c>
      <c r="AX58" s="260" t="str">
        <f>FIXED(0.920000017, 1)</f>
        <v>0.9</v>
      </c>
      <c r="AY58" s="260" t="str">
        <f>FIXED(0, 1)</f>
        <v>0.0</v>
      </c>
      <c r="AZ58" s="105" t="str">
        <f>CHOOSE(0 + 1, "Ohms per", "Ohms")</f>
        <v>Ohms per</v>
      </c>
      <c r="BA58" s="105">
        <f>IF(0 = 0,ROUND(1, 0),"--")</f>
        <v>1</v>
      </c>
      <c r="BB58" s="105" t="str">
        <f>IF(0 = 0,CHOOSE((1 + 1), "ft", "mile", "m", "km"),"--")</f>
        <v>mile</v>
      </c>
      <c r="BC58" s="60"/>
      <c r="BD58" s="53" t="s">
        <v>6494</v>
      </c>
    </row>
    <row r="59" spans="1:56">
      <c r="A59" s="105" t="s">
        <v>6495</v>
      </c>
      <c r="B59" s="293">
        <f>ROUND(50, 1)</f>
        <v>50</v>
      </c>
      <c r="C59" s="58" t="str">
        <f>CHOOSE(2 + 1, "ft", "mile", "m", "km")</f>
        <v>m</v>
      </c>
      <c r="D59" s="105">
        <f>ROUND(0, 1)</f>
        <v>0</v>
      </c>
      <c r="E59" s="105" t="str">
        <f>IF(TRUE = TRUE, "Yes", "No")</f>
        <v>Yes</v>
      </c>
      <c r="F59" s="105" t="s">
        <v>5202</v>
      </c>
      <c r="G59" s="127" t="str">
        <f>IF(0 = 0, "3", "1")</f>
        <v>3</v>
      </c>
      <c r="H59" s="105"/>
      <c r="I59" s="105" t="str">
        <f>IF(TRIM("BUS_CNODE_JCT__1419") = "", "BUS_CNODE_JCT__1419", "BUS_CNODE_JCT__1419")</f>
        <v>BUS_CNODE_JCT__1419</v>
      </c>
      <c r="J59" s="105" t="str">
        <f>IF(TRIM("BUS_CNODE_JCT__1418") = "", "BUS_CNODE_JCT__1418", "BUS_CNODE_JCT__1418")</f>
        <v>BUS_CNODE_JCT__1418</v>
      </c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242" t="str">
        <f>IF(0=5, ROUND(0, 3),"--")</f>
        <v>--</v>
      </c>
      <c r="X59" s="242" t="str">
        <f>IF(0=5, ROUND(0, 3),"--")</f>
        <v>--</v>
      </c>
      <c r="Y59" s="242" t="str">
        <f>IF(0=5, ROUND(0, 3),"--")</f>
        <v>--</v>
      </c>
      <c r="Z59" s="242" t="str">
        <f>IF(0=5, ROUND(0, 3),"--")</f>
        <v>--</v>
      </c>
      <c r="AA59" s="242" t="str">
        <f>IF(0=5, ROUND(0, 3),"--")</f>
        <v>--</v>
      </c>
      <c r="AB59" s="242" t="str">
        <f>IF(0=5, ROUND(0, 3),"--")</f>
        <v>--</v>
      </c>
      <c r="AC59" s="242" t="str">
        <f>IF(0=1, ROUND(0, 3),"--")</f>
        <v>--</v>
      </c>
      <c r="AD59" s="242" t="str">
        <f>IF(0=1, ROUND(0, 3),"--")</f>
        <v>--</v>
      </c>
      <c r="AE59" s="242" t="str">
        <f>IF(0=1, ROUND(0, 3),"--")</f>
        <v>--</v>
      </c>
      <c r="AF59" s="242" t="str">
        <f>IF(0=1, ROUND(0, 3),"--")</f>
        <v>--</v>
      </c>
      <c r="AG59" s="242">
        <v>0</v>
      </c>
      <c r="AH59" s="242">
        <v>1</v>
      </c>
      <c r="AI59" s="242">
        <v>0</v>
      </c>
      <c r="AJ59" s="105">
        <f>ROUND(75, 0)</f>
        <v>75</v>
      </c>
      <c r="AK59" s="105">
        <f>ROUND(75, 0)</f>
        <v>75</v>
      </c>
      <c r="AL59" s="105">
        <f>ROUND(75, 0)</f>
        <v>75</v>
      </c>
      <c r="AM59" s="105">
        <f>ROUND(75, 0)</f>
        <v>75</v>
      </c>
      <c r="AN59" s="260" t="str">
        <f>FIXED(0.361000001, 1)</f>
        <v>0.4</v>
      </c>
      <c r="AO59" s="260" t="str">
        <f>FIXED(0.361000001, 1)</f>
        <v>0.4</v>
      </c>
      <c r="AP59" s="260" t="str">
        <f>FIXED(0.263000011, 1)</f>
        <v>0.3</v>
      </c>
      <c r="AQ59" s="260" t="str">
        <f>FIXED(0, 1)</f>
        <v>0.0</v>
      </c>
      <c r="AR59" s="260" t="str">
        <f>FIXED(0.361000001, 1)</f>
        <v>0.4</v>
      </c>
      <c r="AS59" s="260" t="str">
        <f>FIXED(0.361000001, 1)</f>
        <v>0.4</v>
      </c>
      <c r="AT59" s="260" t="str">
        <f>FIXED(0.263000011, 1)</f>
        <v>0.3</v>
      </c>
      <c r="AU59" s="260" t="str">
        <f>FIXED(0, 1)</f>
        <v>0.0</v>
      </c>
      <c r="AV59" s="260" t="str">
        <f>FIXED(0.361000001, 1)</f>
        <v>0.4</v>
      </c>
      <c r="AW59" s="260" t="str">
        <f>FIXED(0.361000001, 1)</f>
        <v>0.4</v>
      </c>
      <c r="AX59" s="260" t="str">
        <f>FIXED(0.920000017, 1)</f>
        <v>0.9</v>
      </c>
      <c r="AY59" s="260" t="str">
        <f>FIXED(0, 1)</f>
        <v>0.0</v>
      </c>
      <c r="AZ59" s="105" t="str">
        <f>CHOOSE(0 + 1, "Ohms per", "Ohms")</f>
        <v>Ohms per</v>
      </c>
      <c r="BA59" s="105">
        <f>IF(0 = 0,ROUND(1, 0),"--")</f>
        <v>1</v>
      </c>
      <c r="BB59" s="105" t="str">
        <f>IF(0 = 0,CHOOSE((1 + 1), "ft", "mile", "m", "km"),"--")</f>
        <v>mile</v>
      </c>
      <c r="BC59" s="60"/>
      <c r="BD59" s="53" t="s">
        <v>6496</v>
      </c>
    </row>
    <row r="60" spans="1:56">
      <c r="A60" s="105" t="s">
        <v>6497</v>
      </c>
      <c r="B60" s="293">
        <f>ROUND(50, 1)</f>
        <v>50</v>
      </c>
      <c r="C60" s="58" t="str">
        <f>CHOOSE(2 + 1, "ft", "mile", "m", "km")</f>
        <v>m</v>
      </c>
      <c r="D60" s="105">
        <f>ROUND(0, 1)</f>
        <v>0</v>
      </c>
      <c r="E60" s="105" t="str">
        <f>IF(TRUE = TRUE, "Yes", "No")</f>
        <v>Yes</v>
      </c>
      <c r="F60" s="105" t="s">
        <v>5202</v>
      </c>
      <c r="G60" s="127" t="str">
        <f>IF(0 = 0, "3", "1")</f>
        <v>3</v>
      </c>
      <c r="H60" s="105"/>
      <c r="I60" s="105" t="str">
        <f>IF(TRIM("BUS_CNODE_JCT__1418") = "", "BUS_CNODE_JCT__1418", "BUS_CNODE_JCT__1418")</f>
        <v>BUS_CNODE_JCT__1418</v>
      </c>
      <c r="J60" s="105" t="str">
        <f>IF(TRIM("BUS_CNODE_JCT__1314") = "", "BUS_CNODE_JCT__1314", "BUS_CNODE_JCT__1314")</f>
        <v>BUS_CNODE_JCT__1314</v>
      </c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242" t="str">
        <f>IF(0=5, ROUND(0, 3),"--")</f>
        <v>--</v>
      </c>
      <c r="X60" s="242" t="str">
        <f>IF(0=5, ROUND(0, 3),"--")</f>
        <v>--</v>
      </c>
      <c r="Y60" s="242" t="str">
        <f>IF(0=5, ROUND(0, 3),"--")</f>
        <v>--</v>
      </c>
      <c r="Z60" s="242" t="str">
        <f>IF(0=5, ROUND(0, 3),"--")</f>
        <v>--</v>
      </c>
      <c r="AA60" s="242" t="str">
        <f>IF(0=5, ROUND(0, 3),"--")</f>
        <v>--</v>
      </c>
      <c r="AB60" s="242" t="str">
        <f>IF(0=5, ROUND(0, 3),"--")</f>
        <v>--</v>
      </c>
      <c r="AC60" s="242" t="str">
        <f>IF(0=1, ROUND(0, 3),"--")</f>
        <v>--</v>
      </c>
      <c r="AD60" s="242" t="str">
        <f>IF(0=1, ROUND(0, 3),"--")</f>
        <v>--</v>
      </c>
      <c r="AE60" s="242" t="str">
        <f>IF(0=1, ROUND(0, 3),"--")</f>
        <v>--</v>
      </c>
      <c r="AF60" s="242" t="str">
        <f>IF(0=1, ROUND(0, 3),"--")</f>
        <v>--</v>
      </c>
      <c r="AG60" s="242">
        <v>0</v>
      </c>
      <c r="AH60" s="242">
        <v>1</v>
      </c>
      <c r="AI60" s="242">
        <v>0</v>
      </c>
      <c r="AJ60" s="105">
        <f>ROUND(75, 0)</f>
        <v>75</v>
      </c>
      <c r="AK60" s="105">
        <f>ROUND(75, 0)</f>
        <v>75</v>
      </c>
      <c r="AL60" s="105">
        <f>ROUND(75, 0)</f>
        <v>75</v>
      </c>
      <c r="AM60" s="105">
        <f>ROUND(75, 0)</f>
        <v>75</v>
      </c>
      <c r="AN60" s="260" t="str">
        <f>FIXED(0.361000001, 1)</f>
        <v>0.4</v>
      </c>
      <c r="AO60" s="260" t="str">
        <f>FIXED(0.361000001, 1)</f>
        <v>0.4</v>
      </c>
      <c r="AP60" s="260" t="str">
        <f>FIXED(0.263000011, 1)</f>
        <v>0.3</v>
      </c>
      <c r="AQ60" s="260" t="str">
        <f>FIXED(0, 1)</f>
        <v>0.0</v>
      </c>
      <c r="AR60" s="260" t="str">
        <f>FIXED(0.361000001, 1)</f>
        <v>0.4</v>
      </c>
      <c r="AS60" s="260" t="str">
        <f>FIXED(0.361000001, 1)</f>
        <v>0.4</v>
      </c>
      <c r="AT60" s="260" t="str">
        <f>FIXED(0.263000011, 1)</f>
        <v>0.3</v>
      </c>
      <c r="AU60" s="260" t="str">
        <f>FIXED(0, 1)</f>
        <v>0.0</v>
      </c>
      <c r="AV60" s="260" t="str">
        <f>FIXED(0.361000001, 1)</f>
        <v>0.4</v>
      </c>
      <c r="AW60" s="260" t="str">
        <f>FIXED(0.361000001, 1)</f>
        <v>0.4</v>
      </c>
      <c r="AX60" s="260" t="str">
        <f>FIXED(0.920000017, 1)</f>
        <v>0.9</v>
      </c>
      <c r="AY60" s="260" t="str">
        <f>FIXED(0, 1)</f>
        <v>0.0</v>
      </c>
      <c r="AZ60" s="105" t="str">
        <f>CHOOSE(0 + 1, "Ohms per", "Ohms")</f>
        <v>Ohms per</v>
      </c>
      <c r="BA60" s="105">
        <f>IF(0 = 0,ROUND(1, 0),"--")</f>
        <v>1</v>
      </c>
      <c r="BB60" s="105" t="str">
        <f>IF(0 = 0,CHOOSE((1 + 1), "ft", "mile", "m", "km"),"--")</f>
        <v>mile</v>
      </c>
      <c r="BC60" s="60"/>
      <c r="BD60" s="53" t="s">
        <v>6498</v>
      </c>
    </row>
    <row r="61" spans="1:56">
      <c r="A61" s="105" t="s">
        <v>6499</v>
      </c>
      <c r="B61" s="293">
        <f>ROUND(50, 1)</f>
        <v>50</v>
      </c>
      <c r="C61" s="58" t="str">
        <f>CHOOSE(2 + 1, "ft", "mile", "m", "km")</f>
        <v>m</v>
      </c>
      <c r="D61" s="105">
        <f>ROUND(0, 1)</f>
        <v>0</v>
      </c>
      <c r="E61" s="105" t="str">
        <f>IF(TRUE = TRUE, "Yes", "No")</f>
        <v>Yes</v>
      </c>
      <c r="F61" s="105" t="s">
        <v>5202</v>
      </c>
      <c r="G61" s="127" t="str">
        <f>IF(0 = 0, "3", "1")</f>
        <v>3</v>
      </c>
      <c r="H61" s="105"/>
      <c r="I61" s="105" t="str">
        <f>IF(TRIM("BUS_CNODE_JCT__1314") = "", "BUS_CNODE_JCT__1314", "BUS_CNODE_JCT__1314")</f>
        <v>BUS_CNODE_JCT__1314</v>
      </c>
      <c r="J61" s="105" t="str">
        <f>IF(TRIM("") = "", "", "")</f>
        <v/>
      </c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242" t="str">
        <f>IF(0=5, ROUND(0, 3),"--")</f>
        <v>--</v>
      </c>
      <c r="X61" s="242" t="str">
        <f>IF(0=5, ROUND(0, 3),"--")</f>
        <v>--</v>
      </c>
      <c r="Y61" s="242" t="str">
        <f>IF(0=5, ROUND(0, 3),"--")</f>
        <v>--</v>
      </c>
      <c r="Z61" s="242" t="str">
        <f>IF(0=5, ROUND(0, 3),"--")</f>
        <v>--</v>
      </c>
      <c r="AA61" s="242" t="str">
        <f>IF(0=5, ROUND(0, 3),"--")</f>
        <v>--</v>
      </c>
      <c r="AB61" s="242" t="str">
        <f>IF(0=5, ROUND(0, 3),"--")</f>
        <v>--</v>
      </c>
      <c r="AC61" s="242" t="str">
        <f>IF(0=1, ROUND(0, 3),"--")</f>
        <v>--</v>
      </c>
      <c r="AD61" s="242" t="str">
        <f>IF(0=1, ROUND(0, 3),"--")</f>
        <v>--</v>
      </c>
      <c r="AE61" s="242" t="str">
        <f>IF(0=1, ROUND(0, 3),"--")</f>
        <v>--</v>
      </c>
      <c r="AF61" s="242" t="str">
        <f>IF(0=1, ROUND(0, 3),"--")</f>
        <v>--</v>
      </c>
      <c r="AG61" s="242">
        <v>0</v>
      </c>
      <c r="AH61" s="242">
        <v>1</v>
      </c>
      <c r="AI61" s="242">
        <v>0</v>
      </c>
      <c r="AJ61" s="105">
        <f>ROUND(75, 0)</f>
        <v>75</v>
      </c>
      <c r="AK61" s="105">
        <f>ROUND(75, 0)</f>
        <v>75</v>
      </c>
      <c r="AL61" s="105">
        <f>ROUND(75, 0)</f>
        <v>75</v>
      </c>
      <c r="AM61" s="105">
        <f>ROUND(75, 0)</f>
        <v>75</v>
      </c>
      <c r="AN61" s="260" t="str">
        <f>FIXED(0.361000001, 1)</f>
        <v>0.4</v>
      </c>
      <c r="AO61" s="260" t="str">
        <f>FIXED(0.361000001, 1)</f>
        <v>0.4</v>
      </c>
      <c r="AP61" s="260" t="str">
        <f>FIXED(0.263000011, 1)</f>
        <v>0.3</v>
      </c>
      <c r="AQ61" s="260" t="str">
        <f>FIXED(0, 1)</f>
        <v>0.0</v>
      </c>
      <c r="AR61" s="260" t="str">
        <f>FIXED(0.361000001, 1)</f>
        <v>0.4</v>
      </c>
      <c r="AS61" s="260" t="str">
        <f>FIXED(0.361000001, 1)</f>
        <v>0.4</v>
      </c>
      <c r="AT61" s="260" t="str">
        <f>FIXED(0.263000011, 1)</f>
        <v>0.3</v>
      </c>
      <c r="AU61" s="260" t="str">
        <f>FIXED(0, 1)</f>
        <v>0.0</v>
      </c>
      <c r="AV61" s="260" t="str">
        <f>FIXED(0.361000001, 1)</f>
        <v>0.4</v>
      </c>
      <c r="AW61" s="260" t="str">
        <f>FIXED(0.361000001, 1)</f>
        <v>0.4</v>
      </c>
      <c r="AX61" s="260" t="str">
        <f>FIXED(0.920000017, 1)</f>
        <v>0.9</v>
      </c>
      <c r="AY61" s="260" t="str">
        <f>FIXED(0, 1)</f>
        <v>0.0</v>
      </c>
      <c r="AZ61" s="105" t="str">
        <f>CHOOSE(0 + 1, "Ohms per", "Ohms")</f>
        <v>Ohms per</v>
      </c>
      <c r="BA61" s="105">
        <f>IF(0 = 0,ROUND(1, 0),"--")</f>
        <v>1</v>
      </c>
      <c r="BB61" s="105" t="str">
        <f>IF(0 = 0,CHOOSE((1 + 1), "ft", "mile", "m", "km"),"--")</f>
        <v>mile</v>
      </c>
      <c r="BC61" s="60"/>
      <c r="BD61" s="53" t="s">
        <v>6500</v>
      </c>
    </row>
    <row r="62" spans="1:56">
      <c r="A62" s="105" t="s">
        <v>6501</v>
      </c>
      <c r="B62" s="293">
        <f>ROUND(50, 1)</f>
        <v>50</v>
      </c>
      <c r="C62" s="58" t="str">
        <f>CHOOSE(2 + 1, "ft", "mile", "m", "km")</f>
        <v>m</v>
      </c>
      <c r="D62" s="105">
        <f>ROUND(0, 1)</f>
        <v>0</v>
      </c>
      <c r="E62" s="105" t="str">
        <f>IF(TRUE = TRUE, "Yes", "No")</f>
        <v>Yes</v>
      </c>
      <c r="F62" s="105" t="s">
        <v>5202</v>
      </c>
      <c r="G62" s="127" t="str">
        <f>IF(0 = 0, "3", "1")</f>
        <v>3</v>
      </c>
      <c r="H62" s="105"/>
      <c r="I62" s="105" t="str">
        <f>IF(TRIM("BUS_CNODE_JCT__1415") = "", "BUS_CNODE_JCT__1415", "BUS_CNODE_JCT__1415")</f>
        <v>BUS_CNODE_JCT__1415</v>
      </c>
      <c r="J62" s="105" t="str">
        <f>IF(TRIM("BUS_CNODE_JCT__1414") = "", "BUS_CNODE_JCT__1414", "BUS_CNODE_JCT__1414")</f>
        <v>BUS_CNODE_JCT__1414</v>
      </c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242" t="str">
        <f>IF(0=5, ROUND(0, 3),"--")</f>
        <v>--</v>
      </c>
      <c r="X62" s="242" t="str">
        <f>IF(0=5, ROUND(0, 3),"--")</f>
        <v>--</v>
      </c>
      <c r="Y62" s="242" t="str">
        <f>IF(0=5, ROUND(0, 3),"--")</f>
        <v>--</v>
      </c>
      <c r="Z62" s="242" t="str">
        <f>IF(0=5, ROUND(0, 3),"--")</f>
        <v>--</v>
      </c>
      <c r="AA62" s="242" t="str">
        <f>IF(0=5, ROUND(0, 3),"--")</f>
        <v>--</v>
      </c>
      <c r="AB62" s="242" t="str">
        <f>IF(0=5, ROUND(0, 3),"--")</f>
        <v>--</v>
      </c>
      <c r="AC62" s="242" t="str">
        <f>IF(0=1, ROUND(0, 3),"--")</f>
        <v>--</v>
      </c>
      <c r="AD62" s="242" t="str">
        <f>IF(0=1, ROUND(0, 3),"--")</f>
        <v>--</v>
      </c>
      <c r="AE62" s="242" t="str">
        <f>IF(0=1, ROUND(0, 3),"--")</f>
        <v>--</v>
      </c>
      <c r="AF62" s="242" t="str">
        <f>IF(0=1, ROUND(0, 3),"--")</f>
        <v>--</v>
      </c>
      <c r="AG62" s="242">
        <v>0</v>
      </c>
      <c r="AH62" s="242">
        <v>1</v>
      </c>
      <c r="AI62" s="242">
        <v>0</v>
      </c>
      <c r="AJ62" s="105">
        <f>ROUND(75, 0)</f>
        <v>75</v>
      </c>
      <c r="AK62" s="105">
        <f>ROUND(75, 0)</f>
        <v>75</v>
      </c>
      <c r="AL62" s="105">
        <f>ROUND(75, 0)</f>
        <v>75</v>
      </c>
      <c r="AM62" s="105">
        <f>ROUND(75, 0)</f>
        <v>75</v>
      </c>
      <c r="AN62" s="260" t="str">
        <f>FIXED(0.361000001, 1)</f>
        <v>0.4</v>
      </c>
      <c r="AO62" s="260" t="str">
        <f>FIXED(0.361000001, 1)</f>
        <v>0.4</v>
      </c>
      <c r="AP62" s="260" t="str">
        <f>FIXED(0.263000011, 1)</f>
        <v>0.3</v>
      </c>
      <c r="AQ62" s="260" t="str">
        <f>FIXED(0, 1)</f>
        <v>0.0</v>
      </c>
      <c r="AR62" s="260" t="str">
        <f>FIXED(0.361000001, 1)</f>
        <v>0.4</v>
      </c>
      <c r="AS62" s="260" t="str">
        <f>FIXED(0.361000001, 1)</f>
        <v>0.4</v>
      </c>
      <c r="AT62" s="260" t="str">
        <f>FIXED(0.263000011, 1)</f>
        <v>0.3</v>
      </c>
      <c r="AU62" s="260" t="str">
        <f>FIXED(0, 1)</f>
        <v>0.0</v>
      </c>
      <c r="AV62" s="260" t="str">
        <f>FIXED(0.361000001, 1)</f>
        <v>0.4</v>
      </c>
      <c r="AW62" s="260" t="str">
        <f>FIXED(0.361000001, 1)</f>
        <v>0.4</v>
      </c>
      <c r="AX62" s="260" t="str">
        <f>FIXED(0.920000017, 1)</f>
        <v>0.9</v>
      </c>
      <c r="AY62" s="260" t="str">
        <f>FIXED(0, 1)</f>
        <v>0.0</v>
      </c>
      <c r="AZ62" s="105" t="str">
        <f>CHOOSE(0 + 1, "Ohms per", "Ohms")</f>
        <v>Ohms per</v>
      </c>
      <c r="BA62" s="105">
        <f>IF(0 = 0,ROUND(1, 0),"--")</f>
        <v>1</v>
      </c>
      <c r="BB62" s="105" t="str">
        <f>IF(0 = 0,CHOOSE((1 + 1), "ft", "mile", "m", "km"),"--")</f>
        <v>mile</v>
      </c>
      <c r="BC62" s="60"/>
      <c r="BD62" s="53" t="s">
        <v>6502</v>
      </c>
    </row>
    <row r="63" spans="1:56">
      <c r="A63" s="105" t="s">
        <v>6503</v>
      </c>
      <c r="B63" s="293">
        <f>ROUND(50, 1)</f>
        <v>50</v>
      </c>
      <c r="C63" s="58" t="str">
        <f>CHOOSE(2 + 1, "ft", "mile", "m", "km")</f>
        <v>m</v>
      </c>
      <c r="D63" s="105">
        <f>ROUND(0, 1)</f>
        <v>0</v>
      </c>
      <c r="E63" s="105" t="str">
        <f>IF(TRUE = TRUE, "Yes", "No")</f>
        <v>Yes</v>
      </c>
      <c r="F63" s="105" t="s">
        <v>5202</v>
      </c>
      <c r="G63" s="127" t="str">
        <f>IF(0 = 0, "3", "1")</f>
        <v>3</v>
      </c>
      <c r="H63" s="105"/>
      <c r="I63" s="105" t="str">
        <f>IF(TRIM("BUS_CNODE_JCT__1413") = "", "BUS_CNODE_JCT__1413", "BUS_CNODE_JCT__1413")</f>
        <v>BUS_CNODE_JCT__1413</v>
      </c>
      <c r="J63" s="105" t="str">
        <f>IF(TRIM("BUS_CNODE_JCT__1294") = "", "BUS_CNODE_JCT__1294", "BUS_CNODE_JCT__1294")</f>
        <v>BUS_CNODE_JCT__1294</v>
      </c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242" t="str">
        <f>IF(0=5, ROUND(0, 3),"--")</f>
        <v>--</v>
      </c>
      <c r="X63" s="242" t="str">
        <f>IF(0=5, ROUND(0, 3),"--")</f>
        <v>--</v>
      </c>
      <c r="Y63" s="242" t="str">
        <f>IF(0=5, ROUND(0, 3),"--")</f>
        <v>--</v>
      </c>
      <c r="Z63" s="242" t="str">
        <f>IF(0=5, ROUND(0, 3),"--")</f>
        <v>--</v>
      </c>
      <c r="AA63" s="242" t="str">
        <f>IF(0=5, ROUND(0, 3),"--")</f>
        <v>--</v>
      </c>
      <c r="AB63" s="242" t="str">
        <f>IF(0=5, ROUND(0, 3),"--")</f>
        <v>--</v>
      </c>
      <c r="AC63" s="242" t="str">
        <f>IF(0=1, ROUND(0, 3),"--")</f>
        <v>--</v>
      </c>
      <c r="AD63" s="242" t="str">
        <f>IF(0=1, ROUND(0, 3),"--")</f>
        <v>--</v>
      </c>
      <c r="AE63" s="242" t="str">
        <f>IF(0=1, ROUND(0, 3),"--")</f>
        <v>--</v>
      </c>
      <c r="AF63" s="242" t="str">
        <f>IF(0=1, ROUND(0, 3),"--")</f>
        <v>--</v>
      </c>
      <c r="AG63" s="242">
        <v>0</v>
      </c>
      <c r="AH63" s="242">
        <v>1</v>
      </c>
      <c r="AI63" s="242">
        <v>0</v>
      </c>
      <c r="AJ63" s="105">
        <f>ROUND(75, 0)</f>
        <v>75</v>
      </c>
      <c r="AK63" s="105">
        <f>ROUND(75, 0)</f>
        <v>75</v>
      </c>
      <c r="AL63" s="105">
        <f>ROUND(75, 0)</f>
        <v>75</v>
      </c>
      <c r="AM63" s="105">
        <f>ROUND(75, 0)</f>
        <v>75</v>
      </c>
      <c r="AN63" s="260" t="str">
        <f>FIXED(0.361000001, 1)</f>
        <v>0.4</v>
      </c>
      <c r="AO63" s="260" t="str">
        <f>FIXED(0.361000001, 1)</f>
        <v>0.4</v>
      </c>
      <c r="AP63" s="260" t="str">
        <f>FIXED(0.263000011, 1)</f>
        <v>0.3</v>
      </c>
      <c r="AQ63" s="260" t="str">
        <f>FIXED(0, 1)</f>
        <v>0.0</v>
      </c>
      <c r="AR63" s="260" t="str">
        <f>FIXED(0.361000001, 1)</f>
        <v>0.4</v>
      </c>
      <c r="AS63" s="260" t="str">
        <f>FIXED(0.361000001, 1)</f>
        <v>0.4</v>
      </c>
      <c r="AT63" s="260" t="str">
        <f>FIXED(0.263000011, 1)</f>
        <v>0.3</v>
      </c>
      <c r="AU63" s="260" t="str">
        <f>FIXED(0, 1)</f>
        <v>0.0</v>
      </c>
      <c r="AV63" s="260" t="str">
        <f>FIXED(0.361000001, 1)</f>
        <v>0.4</v>
      </c>
      <c r="AW63" s="260" t="str">
        <f>FIXED(0.361000001, 1)</f>
        <v>0.4</v>
      </c>
      <c r="AX63" s="260" t="str">
        <f>FIXED(0.920000017, 1)</f>
        <v>0.9</v>
      </c>
      <c r="AY63" s="260" t="str">
        <f>FIXED(0, 1)</f>
        <v>0.0</v>
      </c>
      <c r="AZ63" s="105" t="str">
        <f>CHOOSE(0 + 1, "Ohms per", "Ohms")</f>
        <v>Ohms per</v>
      </c>
      <c r="BA63" s="105">
        <f>IF(0 = 0,ROUND(1, 0),"--")</f>
        <v>1</v>
      </c>
      <c r="BB63" s="105" t="str">
        <f>IF(0 = 0,CHOOSE((1 + 1), "ft", "mile", "m", "km"),"--")</f>
        <v>mile</v>
      </c>
      <c r="BC63" s="60"/>
      <c r="BD63" s="53" t="s">
        <v>6504</v>
      </c>
    </row>
    <row r="64" spans="1:56">
      <c r="A64" s="105" t="s">
        <v>6505</v>
      </c>
      <c r="B64" s="293">
        <f>ROUND(50, 1)</f>
        <v>50</v>
      </c>
      <c r="C64" s="58" t="str">
        <f>CHOOSE(2 + 1, "ft", "mile", "m", "km")</f>
        <v>m</v>
      </c>
      <c r="D64" s="105">
        <f>ROUND(0, 1)</f>
        <v>0</v>
      </c>
      <c r="E64" s="105" t="str">
        <f>IF(TRUE = TRUE, "Yes", "No")</f>
        <v>Yes</v>
      </c>
      <c r="F64" s="105" t="s">
        <v>5202</v>
      </c>
      <c r="G64" s="127" t="str">
        <f>IF(0 = 0, "3", "1")</f>
        <v>3</v>
      </c>
      <c r="H64" s="105"/>
      <c r="I64" s="105" t="str">
        <f>IF(TRIM("BUS_CNODE_JCT__1417") = "", "BUS_CNODE_JCT__1417", "BUS_CNODE_JCT__1417")</f>
        <v>BUS_CNODE_JCT__1417</v>
      </c>
      <c r="J64" s="105" t="str">
        <f>IF(TRIM("BUS_CNODE_JCT__1416") = "", "BUS_CNODE_JCT__1416", "BUS_CNODE_JCT__1416")</f>
        <v>BUS_CNODE_JCT__1416</v>
      </c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242" t="str">
        <f>IF(0=5, ROUND(0, 3),"--")</f>
        <v>--</v>
      </c>
      <c r="X64" s="242" t="str">
        <f>IF(0=5, ROUND(0, 3),"--")</f>
        <v>--</v>
      </c>
      <c r="Y64" s="242" t="str">
        <f>IF(0=5, ROUND(0, 3),"--")</f>
        <v>--</v>
      </c>
      <c r="Z64" s="242" t="str">
        <f>IF(0=5, ROUND(0, 3),"--")</f>
        <v>--</v>
      </c>
      <c r="AA64" s="242" t="str">
        <f>IF(0=5, ROUND(0, 3),"--")</f>
        <v>--</v>
      </c>
      <c r="AB64" s="242" t="str">
        <f>IF(0=5, ROUND(0, 3),"--")</f>
        <v>--</v>
      </c>
      <c r="AC64" s="242" t="str">
        <f>IF(0=1, ROUND(0, 3),"--")</f>
        <v>--</v>
      </c>
      <c r="AD64" s="242" t="str">
        <f>IF(0=1, ROUND(0, 3),"--")</f>
        <v>--</v>
      </c>
      <c r="AE64" s="242" t="str">
        <f>IF(0=1, ROUND(0, 3),"--")</f>
        <v>--</v>
      </c>
      <c r="AF64" s="242" t="str">
        <f>IF(0=1, ROUND(0, 3),"--")</f>
        <v>--</v>
      </c>
      <c r="AG64" s="242">
        <v>0</v>
      </c>
      <c r="AH64" s="242">
        <v>1</v>
      </c>
      <c r="AI64" s="242">
        <v>0</v>
      </c>
      <c r="AJ64" s="105">
        <f>ROUND(75, 0)</f>
        <v>75</v>
      </c>
      <c r="AK64" s="105">
        <f>ROUND(75, 0)</f>
        <v>75</v>
      </c>
      <c r="AL64" s="105">
        <f>ROUND(75, 0)</f>
        <v>75</v>
      </c>
      <c r="AM64" s="105">
        <f>ROUND(75, 0)</f>
        <v>75</v>
      </c>
      <c r="AN64" s="260" t="str">
        <f>FIXED(0.361000001, 1)</f>
        <v>0.4</v>
      </c>
      <c r="AO64" s="260" t="str">
        <f>FIXED(0.361000001, 1)</f>
        <v>0.4</v>
      </c>
      <c r="AP64" s="260" t="str">
        <f>FIXED(0.263000011, 1)</f>
        <v>0.3</v>
      </c>
      <c r="AQ64" s="260" t="str">
        <f>FIXED(0, 1)</f>
        <v>0.0</v>
      </c>
      <c r="AR64" s="260" t="str">
        <f>FIXED(0.361000001, 1)</f>
        <v>0.4</v>
      </c>
      <c r="AS64" s="260" t="str">
        <f>FIXED(0.361000001, 1)</f>
        <v>0.4</v>
      </c>
      <c r="AT64" s="260" t="str">
        <f>FIXED(0.263000011, 1)</f>
        <v>0.3</v>
      </c>
      <c r="AU64" s="260" t="str">
        <f>FIXED(0, 1)</f>
        <v>0.0</v>
      </c>
      <c r="AV64" s="260" t="str">
        <f>FIXED(0.361000001, 1)</f>
        <v>0.4</v>
      </c>
      <c r="AW64" s="260" t="str">
        <f>FIXED(0.361000001, 1)</f>
        <v>0.4</v>
      </c>
      <c r="AX64" s="260" t="str">
        <f>FIXED(0.920000017, 1)</f>
        <v>0.9</v>
      </c>
      <c r="AY64" s="260" t="str">
        <f>FIXED(0, 1)</f>
        <v>0.0</v>
      </c>
      <c r="AZ64" s="105" t="str">
        <f>CHOOSE(0 + 1, "Ohms per", "Ohms")</f>
        <v>Ohms per</v>
      </c>
      <c r="BA64" s="105">
        <f>IF(0 = 0,ROUND(1, 0),"--")</f>
        <v>1</v>
      </c>
      <c r="BB64" s="105" t="str">
        <f>IF(0 = 0,CHOOSE((1 + 1), "ft", "mile", "m", "km"),"--")</f>
        <v>mile</v>
      </c>
      <c r="BC64" s="60"/>
      <c r="BD64" s="53" t="s">
        <v>6506</v>
      </c>
    </row>
    <row r="65" spans="1:56">
      <c r="A65" s="105" t="s">
        <v>6507</v>
      </c>
      <c r="B65" s="293">
        <f>ROUND(50, 1)</f>
        <v>50</v>
      </c>
      <c r="C65" s="58" t="str">
        <f>CHOOSE(2 + 1, "ft", "mile", "m", "km")</f>
        <v>m</v>
      </c>
      <c r="D65" s="105">
        <f>ROUND(0, 1)</f>
        <v>0</v>
      </c>
      <c r="E65" s="105" t="str">
        <f>IF(TRUE = TRUE, "Yes", "No")</f>
        <v>Yes</v>
      </c>
      <c r="F65" s="105" t="s">
        <v>5202</v>
      </c>
      <c r="G65" s="127" t="str">
        <f>IF(0 = 0, "3", "1")</f>
        <v>3</v>
      </c>
      <c r="H65" s="105"/>
      <c r="I65" s="105" t="str">
        <f>IF(TRIM("BUS_CNODE_JCT__1416") = "", "BUS_CNODE_JCT__1416", "BUS_CNODE_JCT__1416")</f>
        <v>BUS_CNODE_JCT__1416</v>
      </c>
      <c r="J65" s="105" t="str">
        <f>IF(TRIM("BUS_CNODE_JCT__1415") = "", "BUS_CNODE_JCT__1415", "BUS_CNODE_JCT__1415")</f>
        <v>BUS_CNODE_JCT__1415</v>
      </c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242" t="str">
        <f>IF(0=5, ROUND(0, 3),"--")</f>
        <v>--</v>
      </c>
      <c r="X65" s="242" t="str">
        <f>IF(0=5, ROUND(0, 3),"--")</f>
        <v>--</v>
      </c>
      <c r="Y65" s="242" t="str">
        <f>IF(0=5, ROUND(0, 3),"--")</f>
        <v>--</v>
      </c>
      <c r="Z65" s="242" t="str">
        <f>IF(0=5, ROUND(0, 3),"--")</f>
        <v>--</v>
      </c>
      <c r="AA65" s="242" t="str">
        <f>IF(0=5, ROUND(0, 3),"--")</f>
        <v>--</v>
      </c>
      <c r="AB65" s="242" t="str">
        <f>IF(0=5, ROUND(0, 3),"--")</f>
        <v>--</v>
      </c>
      <c r="AC65" s="242" t="str">
        <f>IF(0=1, ROUND(0, 3),"--")</f>
        <v>--</v>
      </c>
      <c r="AD65" s="242" t="str">
        <f>IF(0=1, ROUND(0, 3),"--")</f>
        <v>--</v>
      </c>
      <c r="AE65" s="242" t="str">
        <f>IF(0=1, ROUND(0, 3),"--")</f>
        <v>--</v>
      </c>
      <c r="AF65" s="242" t="str">
        <f>IF(0=1, ROUND(0, 3),"--")</f>
        <v>--</v>
      </c>
      <c r="AG65" s="242">
        <v>0</v>
      </c>
      <c r="AH65" s="242">
        <v>1</v>
      </c>
      <c r="AI65" s="242">
        <v>0</v>
      </c>
      <c r="AJ65" s="105">
        <f>ROUND(75, 0)</f>
        <v>75</v>
      </c>
      <c r="AK65" s="105">
        <f>ROUND(75, 0)</f>
        <v>75</v>
      </c>
      <c r="AL65" s="105">
        <f>ROUND(75, 0)</f>
        <v>75</v>
      </c>
      <c r="AM65" s="105">
        <f>ROUND(75, 0)</f>
        <v>75</v>
      </c>
      <c r="AN65" s="260" t="str">
        <f>FIXED(0.361000001, 1)</f>
        <v>0.4</v>
      </c>
      <c r="AO65" s="260" t="str">
        <f>FIXED(0.361000001, 1)</f>
        <v>0.4</v>
      </c>
      <c r="AP65" s="260" t="str">
        <f>FIXED(0.263000011, 1)</f>
        <v>0.3</v>
      </c>
      <c r="AQ65" s="260" t="str">
        <f>FIXED(0, 1)</f>
        <v>0.0</v>
      </c>
      <c r="AR65" s="260" t="str">
        <f>FIXED(0.361000001, 1)</f>
        <v>0.4</v>
      </c>
      <c r="AS65" s="260" t="str">
        <f>FIXED(0.361000001, 1)</f>
        <v>0.4</v>
      </c>
      <c r="AT65" s="260" t="str">
        <f>FIXED(0.263000011, 1)</f>
        <v>0.3</v>
      </c>
      <c r="AU65" s="260" t="str">
        <f>FIXED(0, 1)</f>
        <v>0.0</v>
      </c>
      <c r="AV65" s="260" t="str">
        <f>FIXED(0.361000001, 1)</f>
        <v>0.4</v>
      </c>
      <c r="AW65" s="260" t="str">
        <f>FIXED(0.361000001, 1)</f>
        <v>0.4</v>
      </c>
      <c r="AX65" s="260" t="str">
        <f>FIXED(0.920000017, 1)</f>
        <v>0.9</v>
      </c>
      <c r="AY65" s="260" t="str">
        <f>FIXED(0, 1)</f>
        <v>0.0</v>
      </c>
      <c r="AZ65" s="105" t="str">
        <f>CHOOSE(0 + 1, "Ohms per", "Ohms")</f>
        <v>Ohms per</v>
      </c>
      <c r="BA65" s="105">
        <f>IF(0 = 0,ROUND(1, 0),"--")</f>
        <v>1</v>
      </c>
      <c r="BB65" s="105" t="str">
        <f>IF(0 = 0,CHOOSE((1 + 1), "ft", "mile", "m", "km"),"--")</f>
        <v>mile</v>
      </c>
      <c r="BC65" s="60"/>
      <c r="BD65" s="53" t="s">
        <v>6508</v>
      </c>
    </row>
    <row r="66" spans="1:56">
      <c r="A66" s="105" t="s">
        <v>6509</v>
      </c>
      <c r="B66" s="293">
        <f>ROUND(50, 1)</f>
        <v>50</v>
      </c>
      <c r="C66" s="58" t="str">
        <f>CHOOSE(2 + 1, "ft", "mile", "m", "km")</f>
        <v>m</v>
      </c>
      <c r="D66" s="105">
        <f>ROUND(0, 1)</f>
        <v>0</v>
      </c>
      <c r="E66" s="105" t="str">
        <f>IF(TRUE = TRUE, "Yes", "No")</f>
        <v>Yes</v>
      </c>
      <c r="F66" s="105" t="s">
        <v>5202</v>
      </c>
      <c r="G66" s="127" t="str">
        <f>IF(0 = 0, "3", "1")</f>
        <v>3</v>
      </c>
      <c r="H66" s="105"/>
      <c r="I66" s="105" t="str">
        <f>IF(TRIM("BUS_CNODE_JCT__1414") = "", "BUS_CNODE_JCT__1414", "BUS_CNODE_JCT__1414")</f>
        <v>BUS_CNODE_JCT__1414</v>
      </c>
      <c r="J66" s="105" t="str">
        <f>IF(TRIM("BUS_CNODE_JCT__1290") = "", "BUS_CNODE_JCT__1290", "BUS_CNODE_JCT__1290")</f>
        <v>BUS_CNODE_JCT__1290</v>
      </c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242" t="str">
        <f>IF(0=5, ROUND(0, 3),"--")</f>
        <v>--</v>
      </c>
      <c r="X66" s="242" t="str">
        <f>IF(0=5, ROUND(0, 3),"--")</f>
        <v>--</v>
      </c>
      <c r="Y66" s="242" t="str">
        <f>IF(0=5, ROUND(0, 3),"--")</f>
        <v>--</v>
      </c>
      <c r="Z66" s="242" t="str">
        <f>IF(0=5, ROUND(0, 3),"--")</f>
        <v>--</v>
      </c>
      <c r="AA66" s="242" t="str">
        <f>IF(0=5, ROUND(0, 3),"--")</f>
        <v>--</v>
      </c>
      <c r="AB66" s="242" t="str">
        <f>IF(0=5, ROUND(0, 3),"--")</f>
        <v>--</v>
      </c>
      <c r="AC66" s="242" t="str">
        <f>IF(0=1, ROUND(0, 3),"--")</f>
        <v>--</v>
      </c>
      <c r="AD66" s="242" t="str">
        <f>IF(0=1, ROUND(0, 3),"--")</f>
        <v>--</v>
      </c>
      <c r="AE66" s="242" t="str">
        <f>IF(0=1, ROUND(0, 3),"--")</f>
        <v>--</v>
      </c>
      <c r="AF66" s="242" t="str">
        <f>IF(0=1, ROUND(0, 3),"--")</f>
        <v>--</v>
      </c>
      <c r="AG66" s="242">
        <v>0</v>
      </c>
      <c r="AH66" s="242">
        <v>1</v>
      </c>
      <c r="AI66" s="242">
        <v>0</v>
      </c>
      <c r="AJ66" s="105">
        <f>ROUND(75, 0)</f>
        <v>75</v>
      </c>
      <c r="AK66" s="105">
        <f>ROUND(75, 0)</f>
        <v>75</v>
      </c>
      <c r="AL66" s="105">
        <f>ROUND(75, 0)</f>
        <v>75</v>
      </c>
      <c r="AM66" s="105">
        <f>ROUND(75, 0)</f>
        <v>75</v>
      </c>
      <c r="AN66" s="260" t="str">
        <f>FIXED(0.361000001, 1)</f>
        <v>0.4</v>
      </c>
      <c r="AO66" s="260" t="str">
        <f>FIXED(0.361000001, 1)</f>
        <v>0.4</v>
      </c>
      <c r="AP66" s="260" t="str">
        <f>FIXED(0.263000011, 1)</f>
        <v>0.3</v>
      </c>
      <c r="AQ66" s="260" t="str">
        <f>FIXED(0, 1)</f>
        <v>0.0</v>
      </c>
      <c r="AR66" s="260" t="str">
        <f>FIXED(0.361000001, 1)</f>
        <v>0.4</v>
      </c>
      <c r="AS66" s="260" t="str">
        <f>FIXED(0.361000001, 1)</f>
        <v>0.4</v>
      </c>
      <c r="AT66" s="260" t="str">
        <f>FIXED(0.263000011, 1)</f>
        <v>0.3</v>
      </c>
      <c r="AU66" s="260" t="str">
        <f>FIXED(0, 1)</f>
        <v>0.0</v>
      </c>
      <c r="AV66" s="260" t="str">
        <f>FIXED(0.361000001, 1)</f>
        <v>0.4</v>
      </c>
      <c r="AW66" s="260" t="str">
        <f>FIXED(0.361000001, 1)</f>
        <v>0.4</v>
      </c>
      <c r="AX66" s="260" t="str">
        <f>FIXED(0.920000017, 1)</f>
        <v>0.9</v>
      </c>
      <c r="AY66" s="260" t="str">
        <f>FIXED(0, 1)</f>
        <v>0.0</v>
      </c>
      <c r="AZ66" s="105" t="str">
        <f>CHOOSE(0 + 1, "Ohms per", "Ohms")</f>
        <v>Ohms per</v>
      </c>
      <c r="BA66" s="105">
        <f>IF(0 = 0,ROUND(1, 0),"--")</f>
        <v>1</v>
      </c>
      <c r="BB66" s="105" t="str">
        <f>IF(0 = 0,CHOOSE((1 + 1), "ft", "mile", "m", "km"),"--")</f>
        <v>mile</v>
      </c>
      <c r="BC66" s="60"/>
      <c r="BD66" s="53" t="s">
        <v>6510</v>
      </c>
    </row>
    <row r="67" spans="1:56">
      <c r="A67" s="105" t="s">
        <v>6511</v>
      </c>
      <c r="B67" s="293">
        <f>ROUND(50, 1)</f>
        <v>50</v>
      </c>
      <c r="C67" s="58" t="str">
        <f>CHOOSE(2 + 1, "ft", "mile", "m", "km")</f>
        <v>m</v>
      </c>
      <c r="D67" s="105">
        <f>ROUND(0, 1)</f>
        <v>0</v>
      </c>
      <c r="E67" s="105" t="str">
        <f>IF(TRUE = TRUE, "Yes", "No")</f>
        <v>Yes</v>
      </c>
      <c r="F67" s="105" t="s">
        <v>5202</v>
      </c>
      <c r="G67" s="127" t="str">
        <f>IF(0 = 0, "3", "1")</f>
        <v>3</v>
      </c>
      <c r="H67" s="105"/>
      <c r="I67" s="105" t="str">
        <f>IF(TRIM("BUS_CNODE_JCT__1290") = "", "BUS_CNODE_JCT__1290", "BUS_CNODE_JCT__1290")</f>
        <v>BUS_CNODE_JCT__1290</v>
      </c>
      <c r="J67" s="105" t="str">
        <f>IF(TRIM("BUS_CNODE_JCT__1413") = "", "BUS_CNODE_JCT__1413", "BUS_CNODE_JCT__1413")</f>
        <v>BUS_CNODE_JCT__1413</v>
      </c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242" t="str">
        <f>IF(0=5, ROUND(0, 3),"--")</f>
        <v>--</v>
      </c>
      <c r="X67" s="242" t="str">
        <f>IF(0=5, ROUND(0, 3),"--")</f>
        <v>--</v>
      </c>
      <c r="Y67" s="242" t="str">
        <f>IF(0=5, ROUND(0, 3),"--")</f>
        <v>--</v>
      </c>
      <c r="Z67" s="242" t="str">
        <f>IF(0=5, ROUND(0, 3),"--")</f>
        <v>--</v>
      </c>
      <c r="AA67" s="242" t="str">
        <f>IF(0=5, ROUND(0, 3),"--")</f>
        <v>--</v>
      </c>
      <c r="AB67" s="242" t="str">
        <f>IF(0=5, ROUND(0, 3),"--")</f>
        <v>--</v>
      </c>
      <c r="AC67" s="242" t="str">
        <f>IF(0=1, ROUND(0, 3),"--")</f>
        <v>--</v>
      </c>
      <c r="AD67" s="242" t="str">
        <f>IF(0=1, ROUND(0, 3),"--")</f>
        <v>--</v>
      </c>
      <c r="AE67" s="242" t="str">
        <f>IF(0=1, ROUND(0, 3),"--")</f>
        <v>--</v>
      </c>
      <c r="AF67" s="242" t="str">
        <f>IF(0=1, ROUND(0, 3),"--")</f>
        <v>--</v>
      </c>
      <c r="AG67" s="242">
        <v>0</v>
      </c>
      <c r="AH67" s="242">
        <v>1</v>
      </c>
      <c r="AI67" s="242">
        <v>0</v>
      </c>
      <c r="AJ67" s="105">
        <f>ROUND(75, 0)</f>
        <v>75</v>
      </c>
      <c r="AK67" s="105">
        <f>ROUND(75, 0)</f>
        <v>75</v>
      </c>
      <c r="AL67" s="105">
        <f>ROUND(75, 0)</f>
        <v>75</v>
      </c>
      <c r="AM67" s="105">
        <f>ROUND(75, 0)</f>
        <v>75</v>
      </c>
      <c r="AN67" s="260" t="str">
        <f>FIXED(0.361000001, 1)</f>
        <v>0.4</v>
      </c>
      <c r="AO67" s="260" t="str">
        <f>FIXED(0.361000001, 1)</f>
        <v>0.4</v>
      </c>
      <c r="AP67" s="260" t="str">
        <f>FIXED(0.263000011, 1)</f>
        <v>0.3</v>
      </c>
      <c r="AQ67" s="260" t="str">
        <f>FIXED(0, 1)</f>
        <v>0.0</v>
      </c>
      <c r="AR67" s="260" t="str">
        <f>FIXED(0.361000001, 1)</f>
        <v>0.4</v>
      </c>
      <c r="AS67" s="260" t="str">
        <f>FIXED(0.361000001, 1)</f>
        <v>0.4</v>
      </c>
      <c r="AT67" s="260" t="str">
        <f>FIXED(0.263000011, 1)</f>
        <v>0.3</v>
      </c>
      <c r="AU67" s="260" t="str">
        <f>FIXED(0, 1)</f>
        <v>0.0</v>
      </c>
      <c r="AV67" s="260" t="str">
        <f>FIXED(0.361000001, 1)</f>
        <v>0.4</v>
      </c>
      <c r="AW67" s="260" t="str">
        <f>FIXED(0.361000001, 1)</f>
        <v>0.4</v>
      </c>
      <c r="AX67" s="260" t="str">
        <f>FIXED(0.920000017, 1)</f>
        <v>0.9</v>
      </c>
      <c r="AY67" s="260" t="str">
        <f>FIXED(0, 1)</f>
        <v>0.0</v>
      </c>
      <c r="AZ67" s="105" t="str">
        <f>CHOOSE(0 + 1, "Ohms per", "Ohms")</f>
        <v>Ohms per</v>
      </c>
      <c r="BA67" s="105">
        <f>IF(0 = 0,ROUND(1, 0),"--")</f>
        <v>1</v>
      </c>
      <c r="BB67" s="105" t="str">
        <f>IF(0 = 0,CHOOSE((1 + 1), "ft", "mile", "m", "km"),"--")</f>
        <v>mile</v>
      </c>
      <c r="BC67" s="60"/>
      <c r="BD67" s="53" t="s">
        <v>6512</v>
      </c>
    </row>
    <row r="68" spans="1:56">
      <c r="A68" s="105" t="s">
        <v>6513</v>
      </c>
      <c r="B68" s="293">
        <f>ROUND(3, 1)</f>
        <v>3</v>
      </c>
      <c r="C68" s="58" t="str">
        <f>CHOOSE(2 + 1, "ft", "mile", "m", "km")</f>
        <v>m</v>
      </c>
      <c r="D68" s="105">
        <f>ROUND(0, 1)</f>
        <v>0</v>
      </c>
      <c r="E68" s="105" t="str">
        <f>IF(TRUE = TRUE, "Yes", "No")</f>
        <v>Yes</v>
      </c>
      <c r="F68" s="105" t="s">
        <v>5202</v>
      </c>
      <c r="G68" s="127" t="str">
        <f>IF(0 = 0, "3", "1")</f>
        <v>3</v>
      </c>
      <c r="H68" s="105"/>
      <c r="I68" s="105" t="str">
        <f>IF(TRIM("BUS_CNODE_JCT__1294") = "", "BUS_CNODE_JCT__1294", "BUS_CNODE_JCT__1294")</f>
        <v>BUS_CNODE_JCT__1294</v>
      </c>
      <c r="J68" s="105" t="str">
        <f>IF(TRIM("BUS_CNODE_JCT__1298") = "", "BUS_CNODE_JCT__1298", "BUS_CNODE_JCT__1298")</f>
        <v>BUS_CNODE_JCT__1298</v>
      </c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242" t="str">
        <f>IF(0=5, ROUND(0, 3),"--")</f>
        <v>--</v>
      </c>
      <c r="X68" s="242" t="str">
        <f>IF(0=5, ROUND(0, 3),"--")</f>
        <v>--</v>
      </c>
      <c r="Y68" s="242" t="str">
        <f>IF(0=5, ROUND(0, 3),"--")</f>
        <v>--</v>
      </c>
      <c r="Z68" s="242" t="str">
        <f>IF(0=5, ROUND(0, 3),"--")</f>
        <v>--</v>
      </c>
      <c r="AA68" s="242" t="str">
        <f>IF(0=5, ROUND(0, 3),"--")</f>
        <v>--</v>
      </c>
      <c r="AB68" s="242" t="str">
        <f>IF(0=5, ROUND(0, 3),"--")</f>
        <v>--</v>
      </c>
      <c r="AC68" s="242" t="str">
        <f>IF(0=1, ROUND(0, 3),"--")</f>
        <v>--</v>
      </c>
      <c r="AD68" s="242" t="str">
        <f>IF(0=1, ROUND(0, 3),"--")</f>
        <v>--</v>
      </c>
      <c r="AE68" s="242" t="str">
        <f>IF(0=1, ROUND(0, 3),"--")</f>
        <v>--</v>
      </c>
      <c r="AF68" s="242" t="str">
        <f>IF(0=1, ROUND(0, 3),"--")</f>
        <v>--</v>
      </c>
      <c r="AG68" s="242">
        <v>0</v>
      </c>
      <c r="AH68" s="242">
        <v>1</v>
      </c>
      <c r="AI68" s="242">
        <v>0</v>
      </c>
      <c r="AJ68" s="105">
        <f>ROUND(75, 0)</f>
        <v>75</v>
      </c>
      <c r="AK68" s="105">
        <f>ROUND(75, 0)</f>
        <v>75</v>
      </c>
      <c r="AL68" s="105">
        <f>ROUND(75, 0)</f>
        <v>75</v>
      </c>
      <c r="AM68" s="105">
        <f>ROUND(75, 0)</f>
        <v>75</v>
      </c>
      <c r="AN68" s="260" t="str">
        <f>FIXED(0.361000001, 1)</f>
        <v>0.4</v>
      </c>
      <c r="AO68" s="260" t="str">
        <f>FIXED(0.361000001, 1)</f>
        <v>0.4</v>
      </c>
      <c r="AP68" s="260" t="str">
        <f>FIXED(0.263000011, 1)</f>
        <v>0.3</v>
      </c>
      <c r="AQ68" s="260" t="str">
        <f>FIXED(0, 1)</f>
        <v>0.0</v>
      </c>
      <c r="AR68" s="260" t="str">
        <f>FIXED(0.361000001, 1)</f>
        <v>0.4</v>
      </c>
      <c r="AS68" s="260" t="str">
        <f>FIXED(0.361000001, 1)</f>
        <v>0.4</v>
      </c>
      <c r="AT68" s="260" t="str">
        <f>FIXED(0.263000011, 1)</f>
        <v>0.3</v>
      </c>
      <c r="AU68" s="260" t="str">
        <f>FIXED(0, 1)</f>
        <v>0.0</v>
      </c>
      <c r="AV68" s="260" t="str">
        <f>FIXED(0.361000001, 1)</f>
        <v>0.4</v>
      </c>
      <c r="AW68" s="260" t="str">
        <f>FIXED(0.361000001, 1)</f>
        <v>0.4</v>
      </c>
      <c r="AX68" s="260" t="str">
        <f>FIXED(0.920000017, 1)</f>
        <v>0.9</v>
      </c>
      <c r="AY68" s="260" t="str">
        <f>FIXED(0, 1)</f>
        <v>0.0</v>
      </c>
      <c r="AZ68" s="105" t="str">
        <f>CHOOSE(0 + 1, "Ohms per", "Ohms")</f>
        <v>Ohms per</v>
      </c>
      <c r="BA68" s="105">
        <f>IF(0 = 0,ROUND(1, 0),"--")</f>
        <v>1</v>
      </c>
      <c r="BB68" s="105" t="str">
        <f>IF(0 = 0,CHOOSE((1 + 1), "ft", "mile", "m", "km"),"--")</f>
        <v>mile</v>
      </c>
      <c r="BC68" s="60"/>
      <c r="BD68" s="53" t="s">
        <v>6514</v>
      </c>
    </row>
    <row r="69" spans="1:56">
      <c r="A69" s="105" t="s">
        <v>6515</v>
      </c>
      <c r="B69" s="293">
        <f>ROUND(3, 1)</f>
        <v>3</v>
      </c>
      <c r="C69" s="58" t="str">
        <f>CHOOSE(2 + 1, "ft", "mile", "m", "km")</f>
        <v>m</v>
      </c>
      <c r="D69" s="105">
        <f>ROUND(0, 1)</f>
        <v>0</v>
      </c>
      <c r="E69" s="105" t="str">
        <f>IF(TRUE = TRUE, "Yes", "No")</f>
        <v>Yes</v>
      </c>
      <c r="F69" s="105" t="s">
        <v>5202</v>
      </c>
      <c r="G69" s="127" t="str">
        <f>IF(0 = 0, "3", "1")</f>
        <v>3</v>
      </c>
      <c r="H69" s="105"/>
      <c r="I69" s="105" t="str">
        <f>IF(TRIM("BUS_CNODE_JCT__1298") = "", "BUS_CNODE_JCT__1298", "BUS_CNODE_JCT__1298")</f>
        <v>BUS_CNODE_JCT__1298</v>
      </c>
      <c r="J69" s="105" t="str">
        <f>IF(TRIM("BUS_CNODE_JCT__1302") = "", "BUS_CNODE_JCT__1302", "BUS_CNODE_JCT__1302")</f>
        <v>BUS_CNODE_JCT__1302</v>
      </c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242" t="str">
        <f>IF(0=5, ROUND(0, 3),"--")</f>
        <v>--</v>
      </c>
      <c r="X69" s="242" t="str">
        <f>IF(0=5, ROUND(0, 3),"--")</f>
        <v>--</v>
      </c>
      <c r="Y69" s="242" t="str">
        <f>IF(0=5, ROUND(0, 3),"--")</f>
        <v>--</v>
      </c>
      <c r="Z69" s="242" t="str">
        <f>IF(0=5, ROUND(0, 3),"--")</f>
        <v>--</v>
      </c>
      <c r="AA69" s="242" t="str">
        <f>IF(0=5, ROUND(0, 3),"--")</f>
        <v>--</v>
      </c>
      <c r="AB69" s="242" t="str">
        <f>IF(0=5, ROUND(0, 3),"--")</f>
        <v>--</v>
      </c>
      <c r="AC69" s="242" t="str">
        <f>IF(0=1, ROUND(0, 3),"--")</f>
        <v>--</v>
      </c>
      <c r="AD69" s="242" t="str">
        <f>IF(0=1, ROUND(0, 3),"--")</f>
        <v>--</v>
      </c>
      <c r="AE69" s="242" t="str">
        <f>IF(0=1, ROUND(0, 3),"--")</f>
        <v>--</v>
      </c>
      <c r="AF69" s="242" t="str">
        <f>IF(0=1, ROUND(0, 3),"--")</f>
        <v>--</v>
      </c>
      <c r="AG69" s="242">
        <v>0</v>
      </c>
      <c r="AH69" s="242">
        <v>1</v>
      </c>
      <c r="AI69" s="242">
        <v>0</v>
      </c>
      <c r="AJ69" s="105">
        <f>ROUND(75, 0)</f>
        <v>75</v>
      </c>
      <c r="AK69" s="105">
        <f>ROUND(75, 0)</f>
        <v>75</v>
      </c>
      <c r="AL69" s="105">
        <f>ROUND(75, 0)</f>
        <v>75</v>
      </c>
      <c r="AM69" s="105">
        <f>ROUND(75, 0)</f>
        <v>75</v>
      </c>
      <c r="AN69" s="260" t="str">
        <f>FIXED(0.361000001, 1)</f>
        <v>0.4</v>
      </c>
      <c r="AO69" s="260" t="str">
        <f>FIXED(0.361000001, 1)</f>
        <v>0.4</v>
      </c>
      <c r="AP69" s="260" t="str">
        <f>FIXED(0.263000011, 1)</f>
        <v>0.3</v>
      </c>
      <c r="AQ69" s="260" t="str">
        <f>FIXED(0, 1)</f>
        <v>0.0</v>
      </c>
      <c r="AR69" s="260" t="str">
        <f>FIXED(0.361000001, 1)</f>
        <v>0.4</v>
      </c>
      <c r="AS69" s="260" t="str">
        <f>FIXED(0.361000001, 1)</f>
        <v>0.4</v>
      </c>
      <c r="AT69" s="260" t="str">
        <f>FIXED(0.263000011, 1)</f>
        <v>0.3</v>
      </c>
      <c r="AU69" s="260" t="str">
        <f>FIXED(0, 1)</f>
        <v>0.0</v>
      </c>
      <c r="AV69" s="260" t="str">
        <f>FIXED(0.361000001, 1)</f>
        <v>0.4</v>
      </c>
      <c r="AW69" s="260" t="str">
        <f>FIXED(0.361000001, 1)</f>
        <v>0.4</v>
      </c>
      <c r="AX69" s="260" t="str">
        <f>FIXED(0.920000017, 1)</f>
        <v>0.9</v>
      </c>
      <c r="AY69" s="260" t="str">
        <f>FIXED(0, 1)</f>
        <v>0.0</v>
      </c>
      <c r="AZ69" s="105" t="str">
        <f>CHOOSE(0 + 1, "Ohms per", "Ohms")</f>
        <v>Ohms per</v>
      </c>
      <c r="BA69" s="105">
        <f>IF(0 = 0,ROUND(1, 0),"--")</f>
        <v>1</v>
      </c>
      <c r="BB69" s="105" t="str">
        <f>IF(0 = 0,CHOOSE((1 + 1), "ft", "mile", "m", "km"),"--")</f>
        <v>mile</v>
      </c>
      <c r="BC69" s="60"/>
      <c r="BD69" s="53" t="s">
        <v>6516</v>
      </c>
    </row>
    <row r="70" spans="1:56">
      <c r="A70" s="247"/>
      <c r="BD70" s="249"/>
    </row>
    <row r="71" spans="1:56">
      <c r="A71" s="247"/>
      <c r="BD71" s="249"/>
    </row>
    <row r="72" spans="1:56">
      <c r="A72" s="247"/>
      <c r="BD72" s="249"/>
    </row>
    <row r="73" spans="1:56">
      <c r="A73" s="247"/>
      <c r="BD73" s="249"/>
    </row>
    <row r="74" spans="1:56">
      <c r="A74" s="247"/>
      <c r="BD74" s="249"/>
    </row>
    <row r="75" spans="1:56">
      <c r="A75" s="247"/>
      <c r="BD75" s="249"/>
    </row>
    <row r="76" spans="1:56">
      <c r="A76" s="247"/>
      <c r="BD76" s="249"/>
    </row>
    <row r="77" spans="1:56">
      <c r="A77" s="247"/>
      <c r="BD77" s="249"/>
    </row>
    <row r="78" spans="1:56">
      <c r="A78" s="247"/>
      <c r="BD78" s="249"/>
    </row>
    <row r="79" spans="1:56">
      <c r="A79" s="247"/>
      <c r="BD79" s="249"/>
    </row>
    <row r="80" spans="1:56">
      <c r="A80" s="247"/>
      <c r="BD80" s="249"/>
    </row>
    <row r="81" spans="1:56">
      <c r="A81" s="247"/>
      <c r="BD81" s="249"/>
    </row>
    <row r="82" spans="1:56">
      <c r="A82" s="247"/>
      <c r="BD82" s="249"/>
    </row>
    <row r="83" spans="1:56">
      <c r="A83" s="247"/>
      <c r="BD83" s="249"/>
    </row>
    <row r="84" spans="1:56">
      <c r="A84" s="247"/>
      <c r="BD84" s="249"/>
    </row>
    <row r="85" spans="1:56">
      <c r="A85" s="247"/>
      <c r="BD85" s="249"/>
    </row>
    <row r="86" spans="1:56">
      <c r="A86" s="247"/>
      <c r="BD86" s="249"/>
    </row>
    <row r="87" spans="1:56">
      <c r="A87" s="247"/>
      <c r="BD87" s="249"/>
    </row>
    <row r="88" spans="1:56">
      <c r="A88" s="247"/>
      <c r="BD88" s="249"/>
    </row>
    <row r="89" spans="1:56">
      <c r="A89" s="247"/>
      <c r="BD89" s="249"/>
    </row>
    <row r="90" spans="1:56">
      <c r="A90" s="247"/>
      <c r="BD90" s="249"/>
    </row>
    <row r="91" spans="1:56">
      <c r="A91" s="247"/>
      <c r="BD91" s="249"/>
    </row>
    <row r="92" spans="1:56">
      <c r="A92" s="247"/>
      <c r="BD92" s="249"/>
    </row>
    <row r="93" spans="1:56">
      <c r="A93" s="247"/>
      <c r="BD93" s="249"/>
    </row>
    <row r="94" spans="1:56">
      <c r="A94" s="247"/>
      <c r="BD94" s="249"/>
    </row>
    <row r="95" spans="1:56">
      <c r="A95" s="247"/>
      <c r="BD95" s="249"/>
    </row>
    <row r="96" spans="1:56">
      <c r="A96" s="247"/>
      <c r="BD96" s="249"/>
    </row>
    <row r="97" spans="1:56">
      <c r="A97" s="247"/>
      <c r="BD97" s="249"/>
    </row>
    <row r="98" spans="1:56">
      <c r="A98" s="247"/>
      <c r="BD98" s="249"/>
    </row>
    <row r="99" spans="1:56">
      <c r="A99" s="247"/>
      <c r="BD99" s="249"/>
    </row>
    <row r="100" spans="1:56">
      <c r="A100" s="247"/>
      <c r="BD100" s="249"/>
    </row>
    <row r="101" spans="1:56">
      <c r="A101" s="247"/>
      <c r="BD101" s="249"/>
    </row>
    <row r="102" spans="1:56">
      <c r="A102" s="247"/>
      <c r="BD102" s="249"/>
    </row>
    <row r="103" spans="1:56">
      <c r="A103" s="247"/>
      <c r="BD103" s="249"/>
    </row>
    <row r="104" spans="1:56">
      <c r="A104" s="247"/>
      <c r="BD104" s="249"/>
    </row>
    <row r="105" spans="1:56">
      <c r="A105" s="247"/>
      <c r="BD105" s="249"/>
    </row>
    <row r="106" spans="1:56">
      <c r="A106" s="247"/>
      <c r="BD106" s="249"/>
    </row>
    <row r="107" spans="1:56">
      <c r="A107" s="247"/>
      <c r="BD107" s="249"/>
    </row>
    <row r="108" spans="1:56">
      <c r="A108" s="247"/>
      <c r="BD108" s="249"/>
    </row>
    <row r="109" spans="1:56">
      <c r="A109" s="247"/>
      <c r="BD109" s="249"/>
    </row>
    <row r="110" spans="1:56">
      <c r="A110" s="247"/>
      <c r="BD110" s="249"/>
    </row>
    <row r="111" spans="1:56">
      <c r="A111" s="247"/>
      <c r="BD111" s="249"/>
    </row>
    <row r="112" spans="1:56">
      <c r="A112" s="247"/>
      <c r="BD112" s="249"/>
    </row>
    <row r="113" spans="1:56">
      <c r="A113" s="247"/>
      <c r="BD113" s="249"/>
    </row>
    <row r="114" spans="1:56">
      <c r="A114" s="247"/>
      <c r="BD114" s="249"/>
    </row>
    <row r="115" spans="1:56">
      <c r="A115" s="247"/>
      <c r="BD115" s="249"/>
    </row>
    <row r="116" spans="1:56">
      <c r="A116" s="247"/>
      <c r="BD116" s="249"/>
    </row>
    <row r="117" spans="1:56">
      <c r="A117" s="247"/>
      <c r="BD117" s="249"/>
    </row>
    <row r="118" spans="1:56">
      <c r="A118" s="247"/>
      <c r="BD118" s="249"/>
    </row>
    <row r="119" spans="1:56">
      <c r="A119" s="247"/>
      <c r="BD119" s="249"/>
    </row>
    <row r="120" spans="1:56">
      <c r="A120" s="247"/>
      <c r="BD120" s="249"/>
    </row>
    <row r="121" spans="1:56">
      <c r="A121" s="247"/>
      <c r="BD121" s="249"/>
    </row>
    <row r="122" spans="1:56">
      <c r="A122" s="247"/>
      <c r="BD122" s="249"/>
    </row>
    <row r="123" spans="1:56">
      <c r="A123" s="247"/>
      <c r="BD123" s="249"/>
    </row>
    <row r="124" spans="1:56">
      <c r="A124" s="247"/>
      <c r="BD124" s="249"/>
    </row>
    <row r="125" spans="1:56">
      <c r="A125" s="247"/>
      <c r="BD125" s="249"/>
    </row>
    <row r="126" spans="1:56">
      <c r="A126" s="247"/>
      <c r="BD126" s="249"/>
    </row>
    <row r="127" spans="1:56">
      <c r="A127" s="247"/>
      <c r="BD127" s="249"/>
    </row>
    <row r="128" spans="1:56">
      <c r="A128" s="247"/>
      <c r="BD128" s="249"/>
    </row>
    <row r="129" spans="1:56">
      <c r="A129" s="247"/>
      <c r="BD129" s="249"/>
    </row>
    <row r="130" spans="1:56">
      <c r="A130" s="247"/>
      <c r="BD130" s="249"/>
    </row>
    <row r="131" spans="1:56">
      <c r="A131" s="247"/>
      <c r="BD131" s="249"/>
    </row>
    <row r="132" spans="1:56">
      <c r="A132" s="247"/>
      <c r="BD132" s="249"/>
    </row>
    <row r="133" spans="1:56">
      <c r="A133" s="247"/>
      <c r="BD133" s="249"/>
    </row>
    <row r="134" spans="1:56">
      <c r="A134" s="247"/>
      <c r="BD134" s="249"/>
    </row>
    <row r="135" spans="1:56">
      <c r="A135" s="247"/>
      <c r="BD135" s="249"/>
    </row>
    <row r="136" spans="1:56">
      <c r="A136" s="247"/>
      <c r="BD136" s="249"/>
    </row>
    <row r="137" spans="1:56">
      <c r="A137" s="247"/>
      <c r="BD137" s="249"/>
    </row>
    <row r="138" spans="1:56">
      <c r="A138" s="247"/>
      <c r="BD138" s="249"/>
    </row>
    <row r="139" spans="1:56">
      <c r="A139" s="247"/>
      <c r="BD139" s="249"/>
    </row>
    <row r="140" spans="1:56">
      <c r="A140" s="247"/>
      <c r="BD140" s="249"/>
    </row>
    <row r="141" spans="1:56">
      <c r="A141" s="247"/>
      <c r="BD141" s="249"/>
    </row>
    <row r="142" spans="1:56">
      <c r="A142" s="247"/>
      <c r="BD142" s="249"/>
    </row>
    <row r="143" spans="1:56">
      <c r="A143" s="247"/>
      <c r="BD143" s="249"/>
    </row>
    <row r="144" spans="1:56">
      <c r="A144" s="247"/>
      <c r="BD144" s="249"/>
    </row>
    <row r="145" spans="1:56">
      <c r="A145" s="247"/>
      <c r="BD145" s="249"/>
    </row>
    <row r="146" spans="1:56">
      <c r="A146" s="247"/>
      <c r="BD146" s="249"/>
    </row>
    <row r="147" spans="1:56">
      <c r="A147" s="247"/>
      <c r="BD147" s="249"/>
    </row>
    <row r="148" spans="1:56">
      <c r="A148" s="247"/>
      <c r="BD148" s="249"/>
    </row>
    <row r="149" spans="1:56">
      <c r="A149" s="247"/>
      <c r="BD149" s="249"/>
    </row>
    <row r="150" spans="1:56">
      <c r="A150" s="247"/>
      <c r="BD150" s="249"/>
    </row>
    <row r="151" spans="1:56">
      <c r="A151" s="247"/>
      <c r="BD151" s="249"/>
    </row>
    <row r="152" spans="1:56">
      <c r="A152" s="247"/>
      <c r="BD152" s="249"/>
    </row>
    <row r="153" spans="1:56">
      <c r="A153" s="247"/>
      <c r="BD153" s="249"/>
    </row>
    <row r="154" spans="1:56">
      <c r="A154" s="247"/>
      <c r="BD154" s="249"/>
    </row>
    <row r="155" spans="1:56">
      <c r="A155" s="247"/>
      <c r="BD155" s="249"/>
    </row>
    <row r="156" spans="1:56">
      <c r="A156" s="247"/>
      <c r="BD156" s="249"/>
    </row>
    <row r="157" spans="1:56">
      <c r="A157" s="247"/>
      <c r="BD157" s="249"/>
    </row>
    <row r="158" spans="1:56">
      <c r="A158" s="247"/>
      <c r="BD158" s="249"/>
    </row>
    <row r="159" spans="1:56">
      <c r="A159" s="247"/>
      <c r="BD159" s="249"/>
    </row>
    <row r="160" spans="1:56">
      <c r="A160" s="247"/>
      <c r="BD160" s="249"/>
    </row>
    <row r="161" spans="1:56">
      <c r="A161" s="247"/>
      <c r="BD161" s="249"/>
    </row>
    <row r="162" spans="1:56">
      <c r="A162" s="247"/>
      <c r="BD162" s="249"/>
    </row>
    <row r="163" spans="1:56">
      <c r="A163" s="247"/>
      <c r="BD163" s="249"/>
    </row>
    <row r="164" spans="1:56">
      <c r="A164" s="247"/>
      <c r="BD164" s="249"/>
    </row>
    <row r="165" spans="1:56">
      <c r="A165" s="247"/>
      <c r="BD165" s="249"/>
    </row>
    <row r="166" spans="1:56">
      <c r="A166" s="247"/>
      <c r="BD166" s="249"/>
    </row>
    <row r="167" spans="1:56">
      <c r="A167" s="247"/>
      <c r="BD167" s="249"/>
    </row>
    <row r="168" spans="1:56">
      <c r="A168" s="247"/>
      <c r="BD168" s="249"/>
    </row>
    <row r="169" spans="1:56">
      <c r="A169" s="247"/>
      <c r="BD169" s="249"/>
    </row>
    <row r="170" spans="1:56">
      <c r="A170" s="247"/>
      <c r="BD170" s="249"/>
    </row>
    <row r="171" spans="1:56">
      <c r="A171" s="247"/>
      <c r="BD171" s="249"/>
    </row>
    <row r="172" spans="1:56">
      <c r="A172" s="247"/>
      <c r="BD172" s="249"/>
    </row>
    <row r="173" spans="1:56">
      <c r="A173" s="247"/>
      <c r="BD173" s="249"/>
    </row>
    <row r="174" spans="1:56">
      <c r="A174" s="247"/>
      <c r="BD174" s="249"/>
    </row>
    <row r="175" spans="1:56">
      <c r="A175" s="247"/>
      <c r="BD175" s="249"/>
    </row>
    <row r="176" spans="1:56">
      <c r="A176" s="247"/>
      <c r="BD176" s="249"/>
    </row>
    <row r="177" spans="1:56">
      <c r="A177" s="247"/>
      <c r="BD177" s="249"/>
    </row>
    <row r="178" spans="1:56">
      <c r="A178" s="247"/>
      <c r="BD178" s="249"/>
    </row>
    <row r="179" spans="1:56">
      <c r="A179" s="247"/>
      <c r="BD179" s="249"/>
    </row>
    <row r="180" spans="1:56">
      <c r="A180" s="247"/>
      <c r="BD180" s="249"/>
    </row>
    <row r="181" spans="1:56">
      <c r="A181" s="247"/>
      <c r="BD181" s="249"/>
    </row>
    <row r="182" spans="1:56">
      <c r="A182" s="247"/>
      <c r="BD182" s="249"/>
    </row>
    <row r="183" spans="1:56">
      <c r="A183" s="247"/>
      <c r="BD183" s="249"/>
    </row>
    <row r="184" spans="1:56">
      <c r="A184" s="247"/>
      <c r="BD184" s="249"/>
    </row>
    <row r="185" spans="1:56">
      <c r="A185" s="247"/>
      <c r="BD185" s="249"/>
    </row>
    <row r="186" spans="1:56">
      <c r="A186" s="247"/>
      <c r="BD186" s="249"/>
    </row>
    <row r="187" spans="1:56">
      <c r="A187" s="247"/>
      <c r="BD187" s="249"/>
    </row>
    <row r="188" spans="1:56">
      <c r="A188" s="247"/>
      <c r="BD188" s="249"/>
    </row>
    <row r="189" spans="1:56">
      <c r="A189" s="247"/>
      <c r="BD189" s="249"/>
    </row>
    <row r="190" spans="1:56">
      <c r="A190" s="247"/>
      <c r="BD190" s="249"/>
    </row>
    <row r="191" spans="1:56">
      <c r="A191" s="247"/>
      <c r="BD191" s="249"/>
    </row>
    <row r="192" spans="1:56">
      <c r="A192" s="247"/>
      <c r="BD192" s="249"/>
    </row>
    <row r="193" spans="1:56">
      <c r="A193" s="247"/>
      <c r="BD193" s="249"/>
    </row>
    <row r="194" spans="1:56">
      <c r="A194" s="247"/>
      <c r="BD194" s="249"/>
    </row>
    <row r="195" spans="1:56">
      <c r="A195" s="247"/>
      <c r="BD195" s="249"/>
    </row>
    <row r="196" spans="1:56">
      <c r="A196" s="247"/>
      <c r="BD196" s="249"/>
    </row>
    <row r="197" spans="1:56">
      <c r="A197" s="247"/>
      <c r="BD197" s="249"/>
    </row>
    <row r="198" spans="1:56">
      <c r="A198" s="247"/>
      <c r="BD198" s="249"/>
    </row>
    <row r="199" spans="1:56">
      <c r="A199" s="247"/>
      <c r="BD199" s="249"/>
    </row>
    <row r="200" spans="1:56">
      <c r="A200" s="247"/>
      <c r="BD200" s="249"/>
    </row>
    <row r="201" spans="1:56">
      <c r="A201" s="247"/>
      <c r="BD201" s="249"/>
    </row>
    <row r="202" spans="1:56">
      <c r="A202" s="247"/>
      <c r="BD202" s="249"/>
    </row>
    <row r="203" spans="1:56">
      <c r="A203" s="247"/>
      <c r="BD203" s="249"/>
    </row>
    <row r="204" spans="1:56">
      <c r="A204" s="247"/>
      <c r="BD204" s="249"/>
    </row>
    <row r="205" spans="1:56">
      <c r="A205" s="247"/>
      <c r="BD205" s="249"/>
    </row>
    <row r="206" spans="1:56">
      <c r="A206" s="247"/>
      <c r="BD206" s="249"/>
    </row>
    <row r="207" spans="1:56">
      <c r="A207" s="247"/>
      <c r="BD207" s="249"/>
    </row>
    <row r="208" spans="1:56">
      <c r="A208" s="247"/>
      <c r="BD208" s="249"/>
    </row>
    <row r="209" spans="1:56">
      <c r="A209" s="247"/>
      <c r="BD209" s="249"/>
    </row>
    <row r="210" spans="1:56">
      <c r="A210" s="247"/>
      <c r="BD210" s="249"/>
    </row>
    <row r="211" spans="1:56">
      <c r="A211" s="247"/>
      <c r="BD211" s="249"/>
    </row>
    <row r="212" spans="1:56">
      <c r="A212" s="247"/>
      <c r="BD212" s="249"/>
    </row>
    <row r="213" spans="1:56">
      <c r="A213" s="247"/>
      <c r="BD213" s="249"/>
    </row>
    <row r="214" spans="1:56">
      <c r="A214" s="247"/>
      <c r="BD214" s="249"/>
    </row>
    <row r="215" spans="1:56">
      <c r="A215" s="247"/>
      <c r="BD215" s="249"/>
    </row>
    <row r="216" spans="1:56">
      <c r="A216" s="247"/>
      <c r="BD216" s="249"/>
    </row>
    <row r="217" spans="1:56">
      <c r="A217" s="247"/>
      <c r="BD217" s="249"/>
    </row>
    <row r="218" spans="1:56">
      <c r="A218" s="247"/>
      <c r="BD218" s="249"/>
    </row>
    <row r="219" spans="1:56">
      <c r="A219" s="247"/>
      <c r="BD219" s="249"/>
    </row>
    <row r="220" spans="1:56">
      <c r="A220" s="247"/>
      <c r="BD220" s="249"/>
    </row>
    <row r="221" spans="1:56">
      <c r="A221" s="247"/>
      <c r="BD221" s="249"/>
    </row>
    <row r="222" spans="1:56">
      <c r="A222" s="247"/>
      <c r="BD222" s="249"/>
    </row>
    <row r="223" spans="1:56">
      <c r="A223" s="247"/>
      <c r="BD223" s="249"/>
    </row>
    <row r="224" spans="1:56">
      <c r="A224" s="247"/>
      <c r="BD224" s="249"/>
    </row>
    <row r="225" spans="1:56">
      <c r="A225" s="247"/>
      <c r="BD225" s="249"/>
    </row>
    <row r="226" spans="1:56">
      <c r="A226" s="247"/>
      <c r="BD226" s="249"/>
    </row>
    <row r="227" spans="1:56">
      <c r="A227" s="247"/>
      <c r="BD227" s="249"/>
    </row>
    <row r="228" spans="1:56">
      <c r="A228" s="247"/>
      <c r="BD228" s="249"/>
    </row>
    <row r="229" spans="1:56">
      <c r="A229" s="247"/>
      <c r="BD229" s="249"/>
    </row>
    <row r="230" spans="1:56">
      <c r="A230" s="247"/>
      <c r="BD230" s="249"/>
    </row>
    <row r="231" spans="1:56">
      <c r="A231" s="247"/>
      <c r="BD231" s="249"/>
    </row>
    <row r="232" spans="1:56">
      <c r="A232" s="247"/>
      <c r="BD232" s="249"/>
    </row>
    <row r="233" spans="1:56">
      <c r="A233" s="247"/>
      <c r="BD233" s="249"/>
    </row>
    <row r="234" spans="1:56">
      <c r="A234" s="247"/>
      <c r="BD234" s="249"/>
    </row>
    <row r="235" spans="1:56">
      <c r="A235" s="247"/>
      <c r="BD235" s="249"/>
    </row>
    <row r="236" spans="1:56">
      <c r="A236" s="247"/>
      <c r="BD236" s="249"/>
    </row>
    <row r="237" spans="1:56">
      <c r="A237" s="247"/>
      <c r="BD237" s="249"/>
    </row>
    <row r="238" spans="1:56">
      <c r="A238" s="247"/>
      <c r="BD238" s="249"/>
    </row>
    <row r="239" spans="1:56">
      <c r="A239" s="247"/>
      <c r="BD239" s="249"/>
    </row>
    <row r="240" spans="1:56">
      <c r="A240" s="247"/>
      <c r="BD240" s="249"/>
    </row>
    <row r="241" spans="1:56">
      <c r="A241" s="247"/>
      <c r="BD241" s="249"/>
    </row>
    <row r="242" spans="1:56">
      <c r="A242" s="247"/>
      <c r="BD242" s="249"/>
    </row>
    <row r="243" spans="1:56">
      <c r="A243" s="247"/>
      <c r="BD243" s="249"/>
    </row>
    <row r="244" spans="1:56">
      <c r="A244" s="247"/>
      <c r="BD244" s="249"/>
    </row>
    <row r="245" spans="1:56">
      <c r="A245" s="247"/>
      <c r="BD245" s="249"/>
    </row>
    <row r="246" spans="1:56">
      <c r="A246" s="247"/>
      <c r="BD246" s="249"/>
    </row>
    <row r="247" spans="1:56">
      <c r="A247" s="247"/>
      <c r="BD247" s="249"/>
    </row>
    <row r="248" spans="1:56">
      <c r="A248" s="247"/>
      <c r="BD248" s="249"/>
    </row>
    <row r="249" spans="1:56">
      <c r="A249" s="247"/>
      <c r="BD249" s="249"/>
    </row>
    <row r="250" spans="1:56">
      <c r="A250" s="247"/>
      <c r="BD250" s="249"/>
    </row>
    <row r="251" spans="1:56">
      <c r="A251" s="247"/>
      <c r="BD251" s="249"/>
    </row>
    <row r="252" spans="1:56">
      <c r="A252" s="247"/>
      <c r="BD252" s="249"/>
    </row>
    <row r="253" spans="1:56">
      <c r="A253" s="247"/>
      <c r="BD253" s="249"/>
    </row>
    <row r="254" spans="1:56">
      <c r="A254" s="247"/>
      <c r="BD254" s="249"/>
    </row>
    <row r="255" spans="1:56">
      <c r="A255" s="247"/>
      <c r="BD255" s="249"/>
    </row>
    <row r="256" spans="1:56">
      <c r="A256" s="247"/>
      <c r="BD256" s="249"/>
    </row>
    <row r="257" spans="1:56">
      <c r="A257" s="247"/>
      <c r="BD257" s="249"/>
    </row>
    <row r="258" spans="1:56">
      <c r="A258" s="247"/>
      <c r="BD258" s="249"/>
    </row>
    <row r="259" spans="1:56">
      <c r="A259" s="247"/>
      <c r="BD259" s="249"/>
    </row>
    <row r="260" spans="1:56">
      <c r="A260" s="247"/>
      <c r="BD260" s="249"/>
    </row>
    <row r="261" spans="1:56">
      <c r="A261" s="247"/>
      <c r="BD261" s="249"/>
    </row>
    <row r="262" spans="1:56">
      <c r="A262" s="247"/>
      <c r="BD262" s="249"/>
    </row>
    <row r="263" spans="1:56">
      <c r="A263" s="247"/>
      <c r="BD263" s="249"/>
    </row>
    <row r="264" spans="1:56">
      <c r="A264" s="247"/>
      <c r="BD264" s="249"/>
    </row>
    <row r="265" spans="1:56">
      <c r="A265" s="247"/>
      <c r="BD265" s="249"/>
    </row>
    <row r="266" spans="1:56">
      <c r="A266" s="247"/>
      <c r="BD266" s="249"/>
    </row>
    <row r="267" spans="1:56">
      <c r="A267" s="247"/>
      <c r="BD267" s="249"/>
    </row>
    <row r="268" spans="1:56">
      <c r="A268" s="247"/>
      <c r="BD268" s="249"/>
    </row>
    <row r="269" spans="1:56">
      <c r="A269" s="247"/>
      <c r="BD269" s="249"/>
    </row>
    <row r="270" spans="1:56">
      <c r="A270" s="247"/>
      <c r="BD270" s="249"/>
    </row>
    <row r="271" spans="1:56">
      <c r="A271" s="247"/>
      <c r="BD271" s="249"/>
    </row>
    <row r="272" spans="1:56">
      <c r="A272" s="247"/>
      <c r="BD272" s="249"/>
    </row>
    <row r="273" spans="1:56">
      <c r="A273" s="247"/>
      <c r="BD273" s="249"/>
    </row>
    <row r="274" spans="1:56">
      <c r="A274" s="247"/>
      <c r="BD274" s="249"/>
    </row>
    <row r="275" spans="1:56">
      <c r="A275" s="247"/>
      <c r="BD275" s="249"/>
    </row>
    <row r="276" spans="1:56">
      <c r="A276" s="247"/>
      <c r="BD276" s="249"/>
    </row>
    <row r="277" spans="1:56">
      <c r="A277" s="247"/>
      <c r="BD277" s="249"/>
    </row>
    <row r="278" spans="1:56">
      <c r="A278" s="247"/>
      <c r="BD278" s="249"/>
    </row>
    <row r="279" spans="1:56">
      <c r="A279" s="247"/>
      <c r="BD279" s="249"/>
    </row>
    <row r="280" spans="1:56">
      <c r="A280" s="247"/>
      <c r="BD280" s="249"/>
    </row>
    <row r="281" spans="1:56">
      <c r="A281" s="247"/>
      <c r="BD281" s="249"/>
    </row>
    <row r="282" spans="1:56">
      <c r="A282" s="247"/>
      <c r="BD282" s="249"/>
    </row>
    <row r="283" spans="1:56">
      <c r="A283" s="247"/>
      <c r="BD283" s="249"/>
    </row>
    <row r="284" spans="1:56">
      <c r="A284" s="247"/>
      <c r="BD284" s="249"/>
    </row>
    <row r="285" spans="1:56">
      <c r="A285" s="247"/>
      <c r="BD285" s="249"/>
    </row>
    <row r="286" spans="1:56">
      <c r="A286" s="247"/>
      <c r="BD286" s="249"/>
    </row>
    <row r="287" spans="1:56">
      <c r="A287" s="247"/>
      <c r="BD287" s="249"/>
    </row>
    <row r="288" spans="1:56">
      <c r="A288" s="247"/>
      <c r="BD288" s="249"/>
    </row>
    <row r="289" spans="1:56">
      <c r="A289" s="247"/>
      <c r="BD289" s="249"/>
    </row>
    <row r="290" spans="1:56">
      <c r="A290" s="247"/>
      <c r="BD290" s="249"/>
    </row>
    <row r="291" spans="1:56">
      <c r="A291" s="247"/>
      <c r="BD291" s="249"/>
    </row>
    <row r="292" spans="1:56">
      <c r="A292" s="247"/>
      <c r="BD292" s="249"/>
    </row>
    <row r="293" spans="1:56">
      <c r="A293" s="247"/>
      <c r="BD293" s="249"/>
    </row>
    <row r="294" spans="1:56">
      <c r="A294" s="247"/>
      <c r="BD294" s="249"/>
    </row>
    <row r="295" spans="1:56">
      <c r="A295" s="247"/>
      <c r="BD295" s="249"/>
    </row>
    <row r="296" spans="1:56">
      <c r="A296" s="247"/>
      <c r="BD296" s="249"/>
    </row>
    <row r="297" spans="1:56">
      <c r="A297" s="247"/>
      <c r="BD297" s="249"/>
    </row>
    <row r="298" spans="1:56">
      <c r="A298" s="247"/>
      <c r="BD298" s="249"/>
    </row>
    <row r="299" spans="1:56">
      <c r="A299" s="247"/>
      <c r="BD299" s="249"/>
    </row>
    <row r="300" spans="1:56">
      <c r="A300" s="247"/>
      <c r="BD300" s="249"/>
    </row>
    <row r="301" spans="1:56">
      <c r="A301" s="247"/>
      <c r="BD301" s="249"/>
    </row>
    <row r="302" spans="1:56">
      <c r="A302" s="247"/>
      <c r="BD302" s="249"/>
    </row>
    <row r="303" spans="1:56">
      <c r="A303" s="247"/>
      <c r="BD303" s="249"/>
    </row>
    <row r="304" spans="1:56">
      <c r="A304" s="247"/>
      <c r="BD304" s="249"/>
    </row>
    <row r="305" spans="1:56">
      <c r="A305" s="247"/>
      <c r="BD305" s="249"/>
    </row>
    <row r="306" spans="1:56">
      <c r="A306" s="247"/>
      <c r="BD306" s="249"/>
    </row>
    <row r="307" spans="1:56">
      <c r="A307" s="247"/>
      <c r="BD307" s="249"/>
    </row>
    <row r="308" spans="1:56">
      <c r="A308" s="247"/>
      <c r="BD308" s="249"/>
    </row>
    <row r="309" spans="1:56">
      <c r="A309" s="247"/>
      <c r="BD309" s="249"/>
    </row>
    <row r="310" spans="1:56">
      <c r="A310" s="247"/>
      <c r="BD310" s="249"/>
    </row>
    <row r="311" spans="1:56">
      <c r="A311" s="247"/>
      <c r="BD311" s="249"/>
    </row>
    <row r="312" spans="1:56">
      <c r="A312" s="247"/>
      <c r="BD312" s="249"/>
    </row>
    <row r="313" spans="1:56">
      <c r="A313" s="247"/>
      <c r="BD313" s="249"/>
    </row>
    <row r="314" spans="1:56">
      <c r="A314" s="247"/>
      <c r="BD314" s="249"/>
    </row>
    <row r="315" spans="1:56">
      <c r="A315" s="247"/>
      <c r="BD315" s="249"/>
    </row>
    <row r="316" spans="1:56">
      <c r="A316" s="247"/>
      <c r="BD316" s="249"/>
    </row>
    <row r="317" spans="1:56">
      <c r="A317" s="247"/>
      <c r="BD317" s="249"/>
    </row>
    <row r="318" spans="1:56">
      <c r="A318" s="247"/>
      <c r="BD318" s="249"/>
    </row>
    <row r="319" spans="1:56">
      <c r="A319" s="247"/>
      <c r="BD319" s="249"/>
    </row>
    <row r="320" spans="1:56">
      <c r="A320" s="248"/>
      <c r="BD320" s="249"/>
    </row>
    <row r="321" spans="1:56">
      <c r="A321" s="248"/>
      <c r="BD321" s="249"/>
    </row>
    <row r="322" spans="1:56">
      <c r="A322" s="248"/>
      <c r="BD322" s="249"/>
    </row>
    <row r="323" spans="1:56">
      <c r="A323" s="248"/>
      <c r="BD323" s="249"/>
    </row>
    <row r="324" spans="1:56">
      <c r="A324" s="248"/>
      <c r="BD324" s="249"/>
    </row>
    <row r="325" spans="1:56">
      <c r="A325" s="248"/>
      <c r="BD325" s="249"/>
    </row>
  </sheetData>
  <sheetProtection sheet="1" objects="1" scenarios="1"/>
  <protectedRanges>
    <protectedRange sqref="BD7:BD10" name="Range1_1"/>
  </protectedRanges>
  <mergeCells count="63">
    <mergeCell ref="BN7:BO7"/>
    <mergeCell ref="BN8:BO8"/>
    <mergeCell ref="C2:Q2"/>
    <mergeCell ref="A5:S5"/>
    <mergeCell ref="BH7:BI7"/>
    <mergeCell ref="BJ7:BK7"/>
    <mergeCell ref="BL7:BM7"/>
    <mergeCell ref="BH8:BI8"/>
    <mergeCell ref="BJ8:BK8"/>
    <mergeCell ref="BL8:BM8"/>
    <mergeCell ref="BA8:BB8"/>
    <mergeCell ref="B7:B9"/>
    <mergeCell ref="P4:Q4"/>
    <mergeCell ref="J7:J9"/>
    <mergeCell ref="R1:S4"/>
    <mergeCell ref="AJ7:AM7"/>
    <mergeCell ref="AJ8:AJ9"/>
    <mergeCell ref="AK8:AK9"/>
    <mergeCell ref="C1:Q1"/>
    <mergeCell ref="AM8:AM9"/>
    <mergeCell ref="A7:A9"/>
    <mergeCell ref="AV8:AY8"/>
    <mergeCell ref="AL8:AL9"/>
    <mergeCell ref="AN7:AY7"/>
    <mergeCell ref="E7:E9"/>
    <mergeCell ref="AR8:AU8"/>
    <mergeCell ref="AN8:AQ8"/>
    <mergeCell ref="C7:C9"/>
    <mergeCell ref="H7:H9"/>
    <mergeCell ref="G7:G9"/>
    <mergeCell ref="C3:N3"/>
    <mergeCell ref="D7:D9"/>
    <mergeCell ref="F7:F9"/>
    <mergeCell ref="C4:N4"/>
    <mergeCell ref="P3:Q3"/>
    <mergeCell ref="BD7:BD9"/>
    <mergeCell ref="AZ7:BB7"/>
    <mergeCell ref="BC7:BC9"/>
    <mergeCell ref="I7:I9"/>
    <mergeCell ref="AZ8:AZ9"/>
    <mergeCell ref="K7:P7"/>
    <mergeCell ref="Q7:V7"/>
    <mergeCell ref="W7:AF7"/>
    <mergeCell ref="AG7:AG9"/>
    <mergeCell ref="AH7:AH9"/>
    <mergeCell ref="AI7:AI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AE8:AF8"/>
    <mergeCell ref="U8:U9"/>
    <mergeCell ref="V8:V9"/>
    <mergeCell ref="W8:X8"/>
    <mergeCell ref="Y8:Z8"/>
    <mergeCell ref="AA8:AB8"/>
    <mergeCell ref="AC8:AD8"/>
  </mergeCells>
  <phoneticPr fontId="2" type="noConversion"/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U325"/>
  <sheetViews>
    <sheetView workbookViewId="0">
      <pane xSplit="1" ySplit="9" topLeftCell="AM10" activePane="bottomRight" state="frozen"/>
      <selection pane="topRight" activeCell="B1" sqref="B1"/>
      <selection pane="bottomLeft" activeCell="A10" sqref="A10"/>
      <selection pane="bottomRight" activeCell="A11" sqref="A11:BP46"/>
    </sheetView>
  </sheetViews>
  <sheetFormatPr defaultColWidth="9.1796875" defaultRowHeight="12.5"/>
  <cols>
    <col min="1" max="1" width="20" style="57" customWidth="1"/>
    <col min="2" max="3" width="14" style="57" customWidth="1"/>
    <col min="4" max="4" width="18" style="57" customWidth="1"/>
    <col min="5" max="5" width="11.26953125" style="57" customWidth="1"/>
    <col min="6" max="6" width="12.453125" style="57" customWidth="1"/>
    <col min="7" max="7" width="7.1796875" style="57" customWidth="1"/>
    <col min="8" max="8" width="12.7265625" style="57" customWidth="1"/>
    <col min="9" max="9" width="10.7265625" style="57" customWidth="1"/>
    <col min="10" max="10" width="12.1796875" style="57" customWidth="1"/>
    <col min="11" max="11" width="10" style="279" customWidth="1"/>
    <col min="12" max="12" width="12.7265625" style="57" customWidth="1"/>
    <col min="13" max="16" width="11.81640625" style="279" customWidth="1"/>
    <col min="17" max="17" width="9.81640625" style="57" customWidth="1"/>
    <col min="18" max="19" width="9.54296875" style="57" customWidth="1"/>
    <col min="20" max="20" width="11.81640625" style="57" customWidth="1"/>
    <col min="21" max="21" width="9.54296875" style="57" customWidth="1"/>
    <col min="22" max="22" width="11.54296875" style="57" customWidth="1"/>
    <col min="23" max="24" width="8.54296875" style="57" customWidth="1"/>
    <col min="25" max="25" width="10.453125" style="57" customWidth="1"/>
    <col min="26" max="26" width="8.54296875" style="57" customWidth="1"/>
    <col min="27" max="37" width="10.453125" style="57" customWidth="1"/>
    <col min="38" max="39" width="15.54296875" style="57" customWidth="1"/>
    <col min="40" max="40" width="10.453125" style="57" customWidth="1"/>
    <col min="41" max="41" width="15.81640625" style="57" customWidth="1"/>
    <col min="42" max="42" width="12.26953125" style="57" customWidth="1"/>
    <col min="43" max="43" width="10.453125" style="57" customWidth="1"/>
    <col min="44" max="46" width="13" style="57" customWidth="1"/>
    <col min="47" max="47" width="19" style="57" customWidth="1"/>
    <col min="48" max="55" width="13" style="57" customWidth="1"/>
    <col min="56" max="56" width="13.7265625" style="57" customWidth="1"/>
    <col min="57" max="57" width="14" style="57" customWidth="1"/>
    <col min="58" max="58" width="11.7265625" style="57" customWidth="1"/>
    <col min="59" max="59" width="16.7265625" style="57" customWidth="1"/>
    <col min="60" max="60" width="12.54296875" style="57" customWidth="1"/>
    <col min="61" max="61" width="11.7265625" style="57" customWidth="1"/>
    <col min="62" max="62" width="9.1796875" style="57"/>
    <col min="63" max="63" width="19.1796875" style="57" customWidth="1"/>
    <col min="64" max="64" width="23.54296875" style="57" customWidth="1"/>
    <col min="65" max="65" width="14.81640625" style="57" customWidth="1"/>
    <col min="66" max="66" width="18.453125" style="57" customWidth="1"/>
    <col min="67" max="67" width="12.453125" style="57" customWidth="1"/>
    <col min="68" max="68" width="36.26953125" style="57" customWidth="1"/>
    <col min="69" max="69" width="13.1796875" style="57" bestFit="1" customWidth="1"/>
    <col min="70" max="70" width="15.26953125" style="57" customWidth="1"/>
    <col min="71" max="71" width="10.26953125" style="57" customWidth="1"/>
    <col min="72" max="72" width="13.26953125" style="57" customWidth="1"/>
    <col min="73" max="73" width="14.81640625" style="57" customWidth="1"/>
    <col min="74" max="16384" width="9.1796875" style="57"/>
  </cols>
  <sheetData>
    <row r="1" spans="1:73" ht="14">
      <c r="A1" s="83"/>
      <c r="B1" s="84" t="s">
        <v>1507</v>
      </c>
      <c r="C1" s="137">
        <f>_FormulaHelpers_!B43</f>
        <v>0</v>
      </c>
      <c r="D1" s="138"/>
      <c r="E1" s="138"/>
      <c r="F1" s="138"/>
      <c r="G1" s="138"/>
      <c r="H1" s="138"/>
      <c r="I1" s="138"/>
      <c r="J1" s="138"/>
      <c r="K1" s="138"/>
      <c r="L1" s="139"/>
      <c r="M1" s="250"/>
      <c r="N1" s="272"/>
      <c r="O1" s="272"/>
      <c r="P1" s="272"/>
      <c r="Q1" s="251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</row>
    <row r="2" spans="1:73" ht="14">
      <c r="A2" s="87"/>
      <c r="B2" s="84" t="s">
        <v>1508</v>
      </c>
      <c r="C2" s="140">
        <f>_FormulaHelpers_!B44</f>
        <v>0</v>
      </c>
      <c r="D2" s="141"/>
      <c r="E2" s="141"/>
      <c r="F2" s="141"/>
      <c r="G2" s="141"/>
      <c r="H2" s="141"/>
      <c r="I2" s="141"/>
      <c r="J2" s="141"/>
      <c r="K2" s="141"/>
      <c r="L2" s="142"/>
      <c r="M2" s="253"/>
      <c r="N2" s="273"/>
      <c r="O2" s="273"/>
      <c r="P2" s="273"/>
      <c r="Q2" s="254"/>
    </row>
    <row r="3" spans="1:73" ht="14">
      <c r="A3" s="87"/>
      <c r="B3" s="84" t="s">
        <v>1794</v>
      </c>
      <c r="C3" s="140">
        <f>_FormulaHelpers_!B45</f>
        <v>0</v>
      </c>
      <c r="D3" s="141"/>
      <c r="E3" s="141"/>
      <c r="F3" s="141"/>
      <c r="G3" s="142"/>
      <c r="H3" s="84" t="s">
        <v>1510</v>
      </c>
      <c r="I3" s="132" t="str">
        <f>_FormulaHelpers_!B48</f>
        <v>Base</v>
      </c>
      <c r="J3" s="132"/>
      <c r="K3" s="132"/>
      <c r="L3" s="132"/>
      <c r="M3" s="253"/>
      <c r="N3" s="273"/>
      <c r="O3" s="273"/>
      <c r="P3" s="273"/>
      <c r="Q3" s="254"/>
    </row>
    <row r="4" spans="1:73" ht="14">
      <c r="A4" s="88"/>
      <c r="B4" s="84" t="s">
        <v>1509</v>
      </c>
      <c r="C4" s="143">
        <f>_FormulaHelpers_!B46</f>
        <v>45703</v>
      </c>
      <c r="D4" s="144"/>
      <c r="E4" s="144"/>
      <c r="F4" s="144"/>
      <c r="G4" s="145"/>
      <c r="H4" s="84" t="s">
        <v>1795</v>
      </c>
      <c r="I4" s="132" t="str">
        <f>_FormulaHelpers_!B52</f>
        <v>Normal</v>
      </c>
      <c r="J4" s="132"/>
      <c r="K4" s="132"/>
      <c r="L4" s="132"/>
      <c r="M4" s="256"/>
      <c r="N4" s="274"/>
      <c r="O4" s="274"/>
      <c r="P4" s="274"/>
      <c r="Q4" s="257"/>
    </row>
    <row r="5" spans="1:73" ht="18.75" customHeight="1">
      <c r="A5" s="134" t="s">
        <v>843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28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</row>
    <row r="7" spans="1:73" s="114" customFormat="1" ht="15" customHeight="1">
      <c r="A7" s="176" t="s">
        <v>1922</v>
      </c>
      <c r="B7" s="176" t="s">
        <v>2230</v>
      </c>
      <c r="C7" s="146" t="s">
        <v>2152</v>
      </c>
      <c r="D7" s="176" t="s">
        <v>1512</v>
      </c>
      <c r="E7" s="176" t="s">
        <v>2243</v>
      </c>
      <c r="F7" s="176" t="s">
        <v>2244</v>
      </c>
      <c r="G7" s="177" t="s">
        <v>1602</v>
      </c>
      <c r="H7" s="178"/>
      <c r="I7" s="179"/>
      <c r="J7" s="176" t="s">
        <v>844</v>
      </c>
      <c r="K7" s="180" t="s">
        <v>2160</v>
      </c>
      <c r="L7" s="176" t="s">
        <v>2161</v>
      </c>
      <c r="M7" s="180" t="s">
        <v>5182</v>
      </c>
      <c r="N7" s="183" t="s">
        <v>4827</v>
      </c>
      <c r="O7" s="183" t="s">
        <v>4828</v>
      </c>
      <c r="P7" s="183" t="s">
        <v>4829</v>
      </c>
      <c r="Q7" s="177" t="s">
        <v>2170</v>
      </c>
      <c r="R7" s="178"/>
      <c r="S7" s="178"/>
      <c r="T7" s="177" t="s">
        <v>2171</v>
      </c>
      <c r="U7" s="178"/>
      <c r="V7" s="178"/>
      <c r="W7" s="177" t="s">
        <v>849</v>
      </c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9"/>
      <c r="AI7" s="177" t="s">
        <v>2172</v>
      </c>
      <c r="AJ7" s="179"/>
      <c r="AK7" s="176" t="s">
        <v>2179</v>
      </c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7" t="s">
        <v>2192</v>
      </c>
      <c r="AX7" s="178"/>
      <c r="AY7" s="178"/>
      <c r="AZ7" s="179"/>
      <c r="BA7" s="177" t="s">
        <v>2205</v>
      </c>
      <c r="BB7" s="178"/>
      <c r="BC7" s="178"/>
      <c r="BD7" s="178"/>
      <c r="BE7" s="178"/>
      <c r="BF7" s="178"/>
      <c r="BG7" s="179"/>
      <c r="BH7" s="176" t="s">
        <v>851</v>
      </c>
      <c r="BI7" s="176" t="s">
        <v>853</v>
      </c>
      <c r="BJ7" s="176" t="s">
        <v>855</v>
      </c>
      <c r="BK7" s="177" t="s">
        <v>4836</v>
      </c>
      <c r="BL7" s="178"/>
      <c r="BM7" s="178"/>
      <c r="BN7" s="179"/>
      <c r="BO7" s="146" t="s">
        <v>12</v>
      </c>
      <c r="BP7" s="146" t="s">
        <v>2223</v>
      </c>
      <c r="BQ7" s="61"/>
      <c r="BR7" s="61"/>
      <c r="BS7" s="61"/>
      <c r="BT7" s="61"/>
      <c r="BU7" s="61"/>
    </row>
    <row r="8" spans="1:73" s="114" customFormat="1" ht="15" customHeight="1">
      <c r="A8" s="176"/>
      <c r="B8" s="176"/>
      <c r="C8" s="147"/>
      <c r="D8" s="176"/>
      <c r="E8" s="176"/>
      <c r="F8" s="176"/>
      <c r="G8" s="181" t="s">
        <v>1602</v>
      </c>
      <c r="H8" s="181" t="s">
        <v>4689</v>
      </c>
      <c r="I8" s="181" t="s">
        <v>4690</v>
      </c>
      <c r="J8" s="176"/>
      <c r="K8" s="180"/>
      <c r="L8" s="176"/>
      <c r="M8" s="180"/>
      <c r="N8" s="184"/>
      <c r="O8" s="184"/>
      <c r="P8" s="184"/>
      <c r="Q8" s="176" t="s">
        <v>2169</v>
      </c>
      <c r="R8" s="176" t="s">
        <v>2166</v>
      </c>
      <c r="S8" s="176" t="s">
        <v>995</v>
      </c>
      <c r="T8" s="176" t="s">
        <v>2169</v>
      </c>
      <c r="U8" s="176" t="s">
        <v>2166</v>
      </c>
      <c r="V8" s="176" t="s">
        <v>995</v>
      </c>
      <c r="W8" s="176" t="s">
        <v>558</v>
      </c>
      <c r="X8" s="176"/>
      <c r="Y8" s="176"/>
      <c r="Z8" s="176" t="s">
        <v>560</v>
      </c>
      <c r="AA8" s="176"/>
      <c r="AB8" s="176"/>
      <c r="AC8" s="146" t="s">
        <v>4830</v>
      </c>
      <c r="AD8" s="146" t="s">
        <v>4831</v>
      </c>
      <c r="AE8" s="146" t="s">
        <v>4832</v>
      </c>
      <c r="AF8" s="146" t="s">
        <v>4833</v>
      </c>
      <c r="AG8" s="146" t="s">
        <v>4834</v>
      </c>
      <c r="AH8" s="146" t="s">
        <v>4835</v>
      </c>
      <c r="AI8" s="146" t="s">
        <v>2170</v>
      </c>
      <c r="AJ8" s="146" t="s">
        <v>2171</v>
      </c>
      <c r="AK8" s="176" t="s">
        <v>2170</v>
      </c>
      <c r="AL8" s="176"/>
      <c r="AM8" s="176"/>
      <c r="AN8" s="176"/>
      <c r="AO8" s="176"/>
      <c r="AP8" s="176"/>
      <c r="AQ8" s="176" t="s">
        <v>2171</v>
      </c>
      <c r="AR8" s="176"/>
      <c r="AS8" s="176"/>
      <c r="AT8" s="176"/>
      <c r="AU8" s="176"/>
      <c r="AV8" s="176"/>
      <c r="AW8" s="177" t="s">
        <v>2170</v>
      </c>
      <c r="AX8" s="179"/>
      <c r="AY8" s="177" t="s">
        <v>2171</v>
      </c>
      <c r="AZ8" s="179"/>
      <c r="BA8" s="146" t="s">
        <v>1955</v>
      </c>
      <c r="BB8" s="146" t="s">
        <v>2196</v>
      </c>
      <c r="BC8" s="146" t="s">
        <v>2198</v>
      </c>
      <c r="BD8" s="146" t="s">
        <v>2199</v>
      </c>
      <c r="BE8" s="146" t="s">
        <v>2201</v>
      </c>
      <c r="BF8" s="146" t="s">
        <v>2203</v>
      </c>
      <c r="BG8" s="146" t="s">
        <v>2204</v>
      </c>
      <c r="BH8" s="176"/>
      <c r="BI8" s="176"/>
      <c r="BJ8" s="176"/>
      <c r="BK8" s="146" t="s">
        <v>4837</v>
      </c>
      <c r="BL8" s="146" t="s">
        <v>4838</v>
      </c>
      <c r="BM8" s="177" t="s">
        <v>3317</v>
      </c>
      <c r="BN8" s="179"/>
      <c r="BO8" s="147"/>
      <c r="BP8" s="147"/>
      <c r="BQ8" s="62" t="s">
        <v>2857</v>
      </c>
      <c r="BR8" s="63" t="s">
        <v>2285</v>
      </c>
      <c r="BS8" s="62" t="s">
        <v>2295</v>
      </c>
      <c r="BT8" s="63" t="s">
        <v>2296</v>
      </c>
      <c r="BU8" s="62" t="s">
        <v>2297</v>
      </c>
    </row>
    <row r="9" spans="1:73" s="114" customFormat="1" ht="15" customHeight="1">
      <c r="A9" s="176"/>
      <c r="B9" s="176"/>
      <c r="C9" s="148"/>
      <c r="D9" s="176"/>
      <c r="E9" s="176"/>
      <c r="F9" s="176"/>
      <c r="G9" s="182"/>
      <c r="H9" s="182"/>
      <c r="I9" s="182"/>
      <c r="J9" s="176"/>
      <c r="K9" s="180"/>
      <c r="L9" s="176"/>
      <c r="M9" s="180"/>
      <c r="N9" s="185"/>
      <c r="O9" s="185"/>
      <c r="P9" s="185"/>
      <c r="Q9" s="176"/>
      <c r="R9" s="176"/>
      <c r="S9" s="176"/>
      <c r="T9" s="176"/>
      <c r="U9" s="176"/>
      <c r="V9" s="176"/>
      <c r="W9" s="113" t="s">
        <v>2167</v>
      </c>
      <c r="X9" s="113" t="s">
        <v>2166</v>
      </c>
      <c r="Y9" s="113" t="s">
        <v>856</v>
      </c>
      <c r="Z9" s="113" t="s">
        <v>2167</v>
      </c>
      <c r="AA9" s="113" t="s">
        <v>2166</v>
      </c>
      <c r="AB9" s="113" t="s">
        <v>856</v>
      </c>
      <c r="AC9" s="148"/>
      <c r="AD9" s="148"/>
      <c r="AE9" s="148"/>
      <c r="AF9" s="148"/>
      <c r="AG9" s="148"/>
      <c r="AH9" s="148"/>
      <c r="AI9" s="148"/>
      <c r="AJ9" s="148"/>
      <c r="AK9" s="113" t="s">
        <v>2175</v>
      </c>
      <c r="AL9" s="113" t="s">
        <v>2189</v>
      </c>
      <c r="AM9" s="113" t="s">
        <v>2190</v>
      </c>
      <c r="AN9" s="113" t="s">
        <v>2191</v>
      </c>
      <c r="AO9" s="113" t="s">
        <v>4854</v>
      </c>
      <c r="AP9" s="113" t="s">
        <v>2178</v>
      </c>
      <c r="AQ9" s="113" t="s">
        <v>2175</v>
      </c>
      <c r="AR9" s="113" t="s">
        <v>2189</v>
      </c>
      <c r="AS9" s="113" t="s">
        <v>2190</v>
      </c>
      <c r="AT9" s="113" t="s">
        <v>2191</v>
      </c>
      <c r="AU9" s="113" t="s">
        <v>4854</v>
      </c>
      <c r="AV9" s="113" t="s">
        <v>2178</v>
      </c>
      <c r="AW9" s="113" t="s">
        <v>2180</v>
      </c>
      <c r="AX9" s="113" t="s">
        <v>370</v>
      </c>
      <c r="AY9" s="113" t="s">
        <v>2180</v>
      </c>
      <c r="AZ9" s="113" t="s">
        <v>370</v>
      </c>
      <c r="BA9" s="148"/>
      <c r="BB9" s="148"/>
      <c r="BC9" s="148"/>
      <c r="BD9" s="148"/>
      <c r="BE9" s="148"/>
      <c r="BF9" s="148"/>
      <c r="BG9" s="148"/>
      <c r="BH9" s="176"/>
      <c r="BI9" s="176"/>
      <c r="BJ9" s="176"/>
      <c r="BK9" s="148"/>
      <c r="BL9" s="148"/>
      <c r="BM9" s="115" t="s">
        <v>4839</v>
      </c>
      <c r="BN9" s="115" t="s">
        <v>4840</v>
      </c>
      <c r="BO9" s="148"/>
      <c r="BP9" s="148"/>
      <c r="BQ9" s="59"/>
      <c r="BR9" s="59"/>
      <c r="BS9" s="59"/>
      <c r="BT9" s="59"/>
      <c r="BU9" s="59"/>
    </row>
    <row r="10" spans="1:73" ht="15" hidden="1" customHeight="1">
      <c r="A10" s="105" t="s">
        <v>1853</v>
      </c>
      <c r="B10" s="105" t="s">
        <v>2231</v>
      </c>
      <c r="C10" s="105" t="s">
        <v>2153</v>
      </c>
      <c r="D10" s="105" t="s">
        <v>1854</v>
      </c>
      <c r="E10" s="105" t="s">
        <v>2283</v>
      </c>
      <c r="F10" s="105" t="s">
        <v>2284</v>
      </c>
      <c r="G10" s="105" t="s">
        <v>4693</v>
      </c>
      <c r="H10" s="105" t="s">
        <v>4691</v>
      </c>
      <c r="I10" s="105" t="s">
        <v>5044</v>
      </c>
      <c r="J10" s="242" t="s">
        <v>2277</v>
      </c>
      <c r="K10" s="275" t="s">
        <v>5042</v>
      </c>
      <c r="L10" s="276" t="s">
        <v>5041</v>
      </c>
      <c r="M10" s="277" t="s">
        <v>5183</v>
      </c>
      <c r="N10" s="277" t="s">
        <v>5045</v>
      </c>
      <c r="O10" s="277" t="s">
        <v>5046</v>
      </c>
      <c r="P10" s="277" t="s">
        <v>5047</v>
      </c>
      <c r="Q10" s="278" t="s">
        <v>2251</v>
      </c>
      <c r="R10" s="268" t="s">
        <v>847</v>
      </c>
      <c r="S10" s="242" t="s">
        <v>2281</v>
      </c>
      <c r="T10" s="278" t="s">
        <v>2252</v>
      </c>
      <c r="U10" s="276" t="s">
        <v>847</v>
      </c>
      <c r="V10" s="242" t="s">
        <v>2282</v>
      </c>
      <c r="W10" s="278" t="s">
        <v>862</v>
      </c>
      <c r="X10" s="276" t="s">
        <v>850</v>
      </c>
      <c r="Y10" s="260" t="s">
        <v>859</v>
      </c>
      <c r="Z10" s="278" t="s">
        <v>2168</v>
      </c>
      <c r="AA10" s="268" t="s">
        <v>850</v>
      </c>
      <c r="AB10" s="260" t="s">
        <v>2222</v>
      </c>
      <c r="AC10" s="260" t="s">
        <v>4845</v>
      </c>
      <c r="AD10" s="260" t="s">
        <v>4846</v>
      </c>
      <c r="AE10" s="260" t="s">
        <v>4847</v>
      </c>
      <c r="AF10" s="260" t="s">
        <v>4849</v>
      </c>
      <c r="AG10" s="260" t="s">
        <v>4848</v>
      </c>
      <c r="AH10" s="260" t="s">
        <v>4850</v>
      </c>
      <c r="AI10" s="260" t="s">
        <v>2173</v>
      </c>
      <c r="AJ10" s="260" t="s">
        <v>2174</v>
      </c>
      <c r="AK10" s="260" t="s">
        <v>2176</v>
      </c>
      <c r="AL10" s="242" t="s">
        <v>2181</v>
      </c>
      <c r="AM10" s="260" t="s">
        <v>2182</v>
      </c>
      <c r="AN10" s="260" t="s">
        <v>2183</v>
      </c>
      <c r="AO10" s="260" t="s">
        <v>4852</v>
      </c>
      <c r="AP10" s="260" t="s">
        <v>2184</v>
      </c>
      <c r="AQ10" s="260" t="s">
        <v>2177</v>
      </c>
      <c r="AR10" s="260" t="s">
        <v>2185</v>
      </c>
      <c r="AS10" s="260" t="s">
        <v>2186</v>
      </c>
      <c r="AT10" s="260" t="s">
        <v>2187</v>
      </c>
      <c r="AU10" s="260" t="s">
        <v>4853</v>
      </c>
      <c r="AV10" s="260" t="s">
        <v>2188</v>
      </c>
      <c r="AW10" s="242" t="s">
        <v>5043</v>
      </c>
      <c r="AX10" s="242" t="s">
        <v>2253</v>
      </c>
      <c r="AY10" s="242" t="s">
        <v>5049</v>
      </c>
      <c r="AZ10" s="242" t="s">
        <v>5050</v>
      </c>
      <c r="BA10" s="242" t="s">
        <v>2195</v>
      </c>
      <c r="BB10" s="242" t="s">
        <v>5184</v>
      </c>
      <c r="BC10" s="242" t="s">
        <v>2197</v>
      </c>
      <c r="BD10" s="242" t="s">
        <v>2200</v>
      </c>
      <c r="BE10" s="242" t="s">
        <v>2202</v>
      </c>
      <c r="BF10" s="242" t="s">
        <v>2206</v>
      </c>
      <c r="BG10" s="242" t="s">
        <v>5048</v>
      </c>
      <c r="BH10" s="242" t="s">
        <v>852</v>
      </c>
      <c r="BI10" s="260" t="s">
        <v>854</v>
      </c>
      <c r="BJ10" s="260" t="s">
        <v>861</v>
      </c>
      <c r="BK10" s="260" t="s">
        <v>4843</v>
      </c>
      <c r="BL10" s="260" t="s">
        <v>4844</v>
      </c>
      <c r="BM10" s="260" t="s">
        <v>4841</v>
      </c>
      <c r="BN10" s="260" t="s">
        <v>4842</v>
      </c>
      <c r="BO10" s="260" t="s">
        <v>571</v>
      </c>
      <c r="BP10" s="244" t="s">
        <v>2224</v>
      </c>
      <c r="BQ10" s="58"/>
      <c r="BR10" s="58"/>
      <c r="BS10" s="58"/>
      <c r="BT10" s="58"/>
      <c r="BU10" s="58"/>
    </row>
    <row r="11" spans="1:73">
      <c r="A11" s="105" t="s">
        <v>6326</v>
      </c>
      <c r="B11" s="105" t="str">
        <f>IF(TRUE = TRUE, "Yes", "No")</f>
        <v>Yes</v>
      </c>
      <c r="C11" s="105" t="s">
        <v>5202</v>
      </c>
      <c r="D11" s="105"/>
      <c r="E11" s="105" t="str">
        <f>IF(TRIM( "BUS_CNODE_JCT__1430") = "", "BUS_CNODE_JCT__1430", "BUS_CNODE_JCT__1430")</f>
        <v>BUS_CNODE_JCT__1430</v>
      </c>
      <c r="F11" s="105" t="str">
        <f>IF(TRIM( "BUS_V爱涛线1号环_79_1491") = "","BUS_V爱涛线1号环_79_1491","BUS_V爱涛线1号环_79_1491")</f>
        <v>BUS_V爱涛线1号环_79_1491</v>
      </c>
      <c r="G11" s="105" t="str">
        <f>IF(0 = 0, "3", "1")</f>
        <v>3</v>
      </c>
      <c r="H11" s="105" t="str">
        <f>IF(0 = 0, "N", "Y")</f>
        <v>N</v>
      </c>
      <c r="I11" s="105" t="str">
        <f>IF(0 = 0, CHOOSE((0+1), "Shell", "3 Limb","4 Limb","5 Limb","3 1-Phase"), IF(0 = 1,CHOOSE((0+1), "Shell", "Core"),"--"))</f>
        <v>Shell</v>
      </c>
      <c r="J11" s="242">
        <f xml:space="preserve"> IF(65 = 65, 65, CONCATENATE(65, "/", 65))</f>
        <v>65</v>
      </c>
      <c r="K11" s="275">
        <f>CHOOSE((0 + 1), 50 / 1000,50, 50 * 1000)</f>
        <v>0.05</v>
      </c>
      <c r="L11" s="276" t="str">
        <f>CHOOSE((0 + 1), "MVA", "kVA", "VA")</f>
        <v>MVA</v>
      </c>
      <c r="M11" s="277">
        <f xml:space="preserve"> 50</f>
        <v>50</v>
      </c>
      <c r="N11" s="277" t="str">
        <f>IF(0 = 4,CHOOSE((0 + 1), 0 / 1000,0, 0 * 1000),"--")</f>
        <v>--</v>
      </c>
      <c r="O11" s="277" t="str">
        <f>IF(0 = 4,CHOOSE((0 + 1), 0 / 1000,0, 0 * 1000),"--")</f>
        <v>--</v>
      </c>
      <c r="P11" s="277" t="str">
        <f>IF(0 = 4,CHOOSE((0 + 1), 0 / 1000,0, 0 * 1000),"--")</f>
        <v>--</v>
      </c>
      <c r="Q11" s="278">
        <f>ROUND(10, 3)</f>
        <v>10</v>
      </c>
      <c r="R11" s="268" t="s">
        <v>847</v>
      </c>
      <c r="S11" s="242">
        <f>IF(10 &gt; 0, IF(0=1, ROUND((50/10), 1),ROUND((50/(SQRT(3)*10)), 1)), "")</f>
        <v>2.9</v>
      </c>
      <c r="T11" s="278">
        <f>ROUND(0.400000006, 3)</f>
        <v>0.4</v>
      </c>
      <c r="U11" s="276" t="s">
        <v>847</v>
      </c>
      <c r="V11" s="242">
        <f>IF(0.400000006 &gt; 0, IF(0=1, ROUND((50/0.400000006), 1),ROUND((50/(SQRT(3)*0.400000006)), 1)), "")</f>
        <v>72.2</v>
      </c>
      <c r="W11" s="278">
        <f>ROUND(10, 1)</f>
        <v>10</v>
      </c>
      <c r="X11" s="276" t="s">
        <v>850</v>
      </c>
      <c r="Y11" s="260">
        <f>ROUND(20, 1)</f>
        <v>20</v>
      </c>
      <c r="Z11" s="278">
        <f>ROUND(10, 1)</f>
        <v>10</v>
      </c>
      <c r="AA11" s="268" t="s">
        <v>850</v>
      </c>
      <c r="AB11" s="260">
        <f>ROUND(20, 1)</f>
        <v>20</v>
      </c>
      <c r="AC11" s="260">
        <f>ROUND(0, 3)</f>
        <v>0</v>
      </c>
      <c r="AD11" s="260">
        <f>ROUND(0, 3)</f>
        <v>0</v>
      </c>
      <c r="AE11" s="260">
        <f>ROUND(0, 3)</f>
        <v>0</v>
      </c>
      <c r="AF11" s="260">
        <f>ROUND(0, 3)</f>
        <v>0</v>
      </c>
      <c r="AG11" s="260">
        <f>ROUND(0, 3)</f>
        <v>0</v>
      </c>
      <c r="AH11" s="260">
        <f>ROUND(0, 3)</f>
        <v>0</v>
      </c>
      <c r="AI11" s="260" t="str">
        <f>FIXED(0,1)</f>
        <v>0.0</v>
      </c>
      <c r="AJ11" s="260" t="str">
        <f>FIXED(0,1)</f>
        <v>0.0</v>
      </c>
      <c r="AK11" s="260" t="str">
        <f>IF(0=1, "Yes", "No")</f>
        <v>No</v>
      </c>
      <c r="AL11" s="242" t="str">
        <f>IF(0=1, ROUND(-10, 1), "--")</f>
        <v>--</v>
      </c>
      <c r="AM11" s="260" t="str">
        <f>IF(0=1, ROUND(10, 1), "--")</f>
        <v>--</v>
      </c>
      <c r="AN11" s="260" t="str">
        <f>IF(0=1, ROUND(0.625, 3), "--")</f>
        <v>--</v>
      </c>
      <c r="AO11" s="260" t="str">
        <f>IF(0=1, "3524", "--")</f>
        <v>--</v>
      </c>
      <c r="AP11" s="260" t="str">
        <f>IF(0=1, ROUND(100, 1), "--")</f>
        <v>--</v>
      </c>
      <c r="AQ11" s="260" t="str">
        <f>IF(0=1, "Yes", "No")</f>
        <v>No</v>
      </c>
      <c r="AR11" s="260" t="str">
        <f>IF(0=1, ROUND(-10, 1), "--")</f>
        <v>--</v>
      </c>
      <c r="AS11" s="260" t="str">
        <f>IF(0=1, ROUND(10, 1), "--")</f>
        <v>--</v>
      </c>
      <c r="AT11" s="260" t="str">
        <f>IF(0=1, ROUND(0.625, 1), "--")</f>
        <v>--</v>
      </c>
      <c r="AU11" s="260" t="str">
        <f>IF(0=1, "3524", "--")</f>
        <v>--</v>
      </c>
      <c r="AV11" s="260" t="str">
        <f>IF(0=1, ROUND(100, 1), "--")</f>
        <v>--</v>
      </c>
      <c r="AW11" s="242" t="str">
        <f>IF(0 = 0, IF(1=0, "Y", "Δ"),"--")</f>
        <v>Δ</v>
      </c>
      <c r="AX11" s="242" t="str">
        <f>IF(1=1, "--", CHOOSE((1 + 1), "Open", "Solid", "Resistor", "Reactor", "Xfmr-Resistor", "Xfmr-Reactor"))</f>
        <v>--</v>
      </c>
      <c r="AY11" s="242" t="str">
        <f>IF(0 = 0, IF(0=0,  "Y", "Δ"),IF(1=0,  "Ungrounded", "Grounded"))</f>
        <v>Y</v>
      </c>
      <c r="AZ11" s="242" t="str">
        <f>IF(0 = 0,IF(0=1, "--", CHOOSE((1 + 1), "Open", "Solid", "Resistor", "Reactor", "Xfmr-Resistor", "Xfmr-Reactor"))," ")</f>
        <v>Solid</v>
      </c>
      <c r="BA11" s="242" t="str">
        <f>IF(0 = 0, "ANSI", "IEC")</f>
        <v>ANSI</v>
      </c>
      <c r="BB11" s="242" t="str">
        <f>IF(0 = 1, "--",  CHOOSE((2 + 1), "Infrequent","Frequent","Both"))</f>
        <v>Both</v>
      </c>
      <c r="BC11" s="242" t="str">
        <f>IF(0 = 1, "--", IF(1=1, "Yes", "No"))</f>
        <v>Yes</v>
      </c>
      <c r="BD11" s="242">
        <f>IF(0 = 1, "--", ROUND(1, 2))</f>
        <v>1</v>
      </c>
      <c r="BE11" s="242" t="str">
        <f>CHOOSE((0+1), "Point", "Curve - Piecewise", "Curve - Equation")</f>
        <v>Point</v>
      </c>
      <c r="BF11" s="242">
        <f>ROUND(8, 1)</f>
        <v>8</v>
      </c>
      <c r="BG11" s="242">
        <f>IF(0=2,ROUND(60, 1),ROUND(6, 1))</f>
        <v>6</v>
      </c>
      <c r="BH11" s="242">
        <v>0</v>
      </c>
      <c r="BI11" s="260" t="s">
        <v>6327</v>
      </c>
      <c r="BJ11" s="260">
        <f>ROUND(1,2)</f>
        <v>1</v>
      </c>
      <c r="BK11" s="260"/>
      <c r="BL11" s="260"/>
      <c r="BM11" s="260"/>
      <c r="BN11" s="260"/>
      <c r="BO11" s="260"/>
      <c r="BP11" s="53" t="s">
        <v>6328</v>
      </c>
    </row>
    <row r="12" spans="1:73">
      <c r="A12" s="105" t="s">
        <v>6329</v>
      </c>
      <c r="B12" s="105" t="str">
        <f>IF(TRUE = TRUE, "Yes", "No")</f>
        <v>Yes</v>
      </c>
      <c r="C12" s="105" t="s">
        <v>5202</v>
      </c>
      <c r="D12" s="105"/>
      <c r="E12" s="105" t="str">
        <f>IF(TRIM( "BUS_CNODE_JCT__1474") = "", "BUS_CNODE_JCT__1474", "BUS_CNODE_JCT__1474")</f>
        <v>BUS_CNODE_JCT__1474</v>
      </c>
      <c r="F12" s="105" t="str">
        <f>IF(TRIM( "BUS_V爱涛线3号环_83_1551") = "","BUS_V爱涛线3号环_83_1551","BUS_V爱涛线3号环_83_1551")</f>
        <v>BUS_V爱涛线3号环_83_1551</v>
      </c>
      <c r="G12" s="105" t="str">
        <f>IF(0 = 0, "3", "1")</f>
        <v>3</v>
      </c>
      <c r="H12" s="105" t="str">
        <f>IF(0 = 0, "N", "Y")</f>
        <v>N</v>
      </c>
      <c r="I12" s="105" t="str">
        <f>IF(0 = 0, CHOOSE((0+1), "Shell", "3 Limb","4 Limb","5 Limb","3 1-Phase"), IF(0 = 1,CHOOSE((0+1), "Shell", "Core"),"--"))</f>
        <v>Shell</v>
      </c>
      <c r="J12" s="242">
        <f xml:space="preserve"> IF(65 = 65, 65, CONCATENATE(65, "/", 65))</f>
        <v>65</v>
      </c>
      <c r="K12" s="275">
        <f>CHOOSE((0 + 1), 50 / 1000,50, 50 * 1000)</f>
        <v>0.05</v>
      </c>
      <c r="L12" s="276" t="str">
        <f>CHOOSE((0 + 1), "MVA", "kVA", "VA")</f>
        <v>MVA</v>
      </c>
      <c r="M12" s="277">
        <f xml:space="preserve"> 50</f>
        <v>50</v>
      </c>
      <c r="N12" s="277" t="str">
        <f>IF(0 = 4,CHOOSE((0 + 1), 0 / 1000,0, 0 * 1000),"--")</f>
        <v>--</v>
      </c>
      <c r="O12" s="277" t="str">
        <f>IF(0 = 4,CHOOSE((0 + 1), 0 / 1000,0, 0 * 1000),"--")</f>
        <v>--</v>
      </c>
      <c r="P12" s="277" t="str">
        <f>IF(0 = 4,CHOOSE((0 + 1), 0 / 1000,0, 0 * 1000),"--")</f>
        <v>--</v>
      </c>
      <c r="Q12" s="278">
        <f>ROUND(10, 3)</f>
        <v>10</v>
      </c>
      <c r="R12" s="268" t="s">
        <v>847</v>
      </c>
      <c r="S12" s="242">
        <f>IF(10 &gt; 0, IF(0=1, ROUND((50/10), 1),ROUND((50/(SQRT(3)*10)), 1)), "")</f>
        <v>2.9</v>
      </c>
      <c r="T12" s="278">
        <f>ROUND(0.400000006, 3)</f>
        <v>0.4</v>
      </c>
      <c r="U12" s="276" t="s">
        <v>847</v>
      </c>
      <c r="V12" s="242">
        <f>IF(0.400000006 &gt; 0, IF(0=1, ROUND((50/0.400000006), 1),ROUND((50/(SQRT(3)*0.400000006)), 1)), "")</f>
        <v>72.2</v>
      </c>
      <c r="W12" s="278">
        <f>ROUND(10, 1)</f>
        <v>10</v>
      </c>
      <c r="X12" s="276" t="s">
        <v>850</v>
      </c>
      <c r="Y12" s="260">
        <f>ROUND(20, 1)</f>
        <v>20</v>
      </c>
      <c r="Z12" s="278">
        <f>ROUND(10, 1)</f>
        <v>10</v>
      </c>
      <c r="AA12" s="268" t="s">
        <v>850</v>
      </c>
      <c r="AB12" s="260">
        <f>ROUND(20, 1)</f>
        <v>20</v>
      </c>
      <c r="AC12" s="260">
        <f>ROUND(0, 3)</f>
        <v>0</v>
      </c>
      <c r="AD12" s="260">
        <f>ROUND(0, 3)</f>
        <v>0</v>
      </c>
      <c r="AE12" s="260">
        <f>ROUND(0, 3)</f>
        <v>0</v>
      </c>
      <c r="AF12" s="260">
        <f>ROUND(0, 3)</f>
        <v>0</v>
      </c>
      <c r="AG12" s="260">
        <f>ROUND(0, 3)</f>
        <v>0</v>
      </c>
      <c r="AH12" s="260">
        <f>ROUND(0, 3)</f>
        <v>0</v>
      </c>
      <c r="AI12" s="260" t="str">
        <f>FIXED(0,1)</f>
        <v>0.0</v>
      </c>
      <c r="AJ12" s="260" t="str">
        <f>FIXED(0,1)</f>
        <v>0.0</v>
      </c>
      <c r="AK12" s="260" t="str">
        <f>IF(0=1, "Yes", "No")</f>
        <v>No</v>
      </c>
      <c r="AL12" s="242" t="str">
        <f>IF(0=1, ROUND(-10, 1), "--")</f>
        <v>--</v>
      </c>
      <c r="AM12" s="260" t="str">
        <f>IF(0=1, ROUND(10, 1), "--")</f>
        <v>--</v>
      </c>
      <c r="AN12" s="260" t="str">
        <f>IF(0=1, ROUND(0.625, 3), "--")</f>
        <v>--</v>
      </c>
      <c r="AO12" s="260" t="str">
        <f>IF(0=1, "3665", "--")</f>
        <v>--</v>
      </c>
      <c r="AP12" s="260" t="str">
        <f>IF(0=1, ROUND(100, 1), "--")</f>
        <v>--</v>
      </c>
      <c r="AQ12" s="260" t="str">
        <f>IF(0=1, "Yes", "No")</f>
        <v>No</v>
      </c>
      <c r="AR12" s="260" t="str">
        <f>IF(0=1, ROUND(-10, 1), "--")</f>
        <v>--</v>
      </c>
      <c r="AS12" s="260" t="str">
        <f>IF(0=1, ROUND(10, 1), "--")</f>
        <v>--</v>
      </c>
      <c r="AT12" s="260" t="str">
        <f>IF(0=1, ROUND(0.625, 1), "--")</f>
        <v>--</v>
      </c>
      <c r="AU12" s="260" t="str">
        <f>IF(0=1, "3665", "--")</f>
        <v>--</v>
      </c>
      <c r="AV12" s="260" t="str">
        <f>IF(0=1, ROUND(100, 1), "--")</f>
        <v>--</v>
      </c>
      <c r="AW12" s="242" t="str">
        <f>IF(0 = 0, IF(1=0, "Y", "Δ"),"--")</f>
        <v>Δ</v>
      </c>
      <c r="AX12" s="242" t="str">
        <f>IF(1=1, "--", CHOOSE((1 + 1), "Open", "Solid", "Resistor", "Reactor", "Xfmr-Resistor", "Xfmr-Reactor"))</f>
        <v>--</v>
      </c>
      <c r="AY12" s="242" t="str">
        <f>IF(0 = 0, IF(0=0,  "Y", "Δ"),IF(1=0,  "Ungrounded", "Grounded"))</f>
        <v>Y</v>
      </c>
      <c r="AZ12" s="242" t="str">
        <f>IF(0 = 0,IF(0=1, "--", CHOOSE((1 + 1), "Open", "Solid", "Resistor", "Reactor", "Xfmr-Resistor", "Xfmr-Reactor"))," ")</f>
        <v>Solid</v>
      </c>
      <c r="BA12" s="242" t="str">
        <f>IF(0 = 0, "ANSI", "IEC")</f>
        <v>ANSI</v>
      </c>
      <c r="BB12" s="242" t="str">
        <f>IF(0 = 1, "--",  CHOOSE((2 + 1), "Infrequent","Frequent","Both"))</f>
        <v>Both</v>
      </c>
      <c r="BC12" s="242" t="str">
        <f>IF(0 = 1, "--", IF(1=1, "Yes", "No"))</f>
        <v>Yes</v>
      </c>
      <c r="BD12" s="242">
        <f>IF(0 = 1, "--", ROUND(1, 2))</f>
        <v>1</v>
      </c>
      <c r="BE12" s="242" t="str">
        <f>CHOOSE((0+1), "Point", "Curve - Piecewise", "Curve - Equation")</f>
        <v>Point</v>
      </c>
      <c r="BF12" s="242">
        <f>ROUND(8, 1)</f>
        <v>8</v>
      </c>
      <c r="BG12" s="242">
        <f>IF(0=2,ROUND(60, 1),ROUND(6, 1))</f>
        <v>6</v>
      </c>
      <c r="BH12" s="242">
        <v>0</v>
      </c>
      <c r="BI12" s="260" t="s">
        <v>6327</v>
      </c>
      <c r="BJ12" s="260">
        <f>ROUND(1,2)</f>
        <v>1</v>
      </c>
      <c r="BK12" s="260"/>
      <c r="BL12" s="260"/>
      <c r="BM12" s="260"/>
      <c r="BN12" s="260"/>
      <c r="BO12" s="260"/>
      <c r="BP12" s="53" t="s">
        <v>6330</v>
      </c>
    </row>
    <row r="13" spans="1:73">
      <c r="A13" s="105" t="s">
        <v>6331</v>
      </c>
      <c r="B13" s="105" t="str">
        <f>IF(TRUE = TRUE, "Yes", "No")</f>
        <v>Yes</v>
      </c>
      <c r="C13" s="105" t="s">
        <v>5202</v>
      </c>
      <c r="D13" s="105"/>
      <c r="E13" s="105" t="str">
        <f>IF(TRIM( "BUS_CNODE_JCT__1435") = "", "BUS_CNODE_JCT__1435", "BUS_CNODE_JCT__1435")</f>
        <v>BUS_CNODE_JCT__1435</v>
      </c>
      <c r="F13" s="105" t="str">
        <f>IF(TRIM( "BUS_V爱涛线4号环_79_1493") = "","BUS_V爱涛线4号环_79_1493","BUS_V爱涛线4号环_79_1493")</f>
        <v>BUS_V爱涛线4号环_79_1493</v>
      </c>
      <c r="G13" s="105" t="str">
        <f>IF(0 = 0, "3", "1")</f>
        <v>3</v>
      </c>
      <c r="H13" s="105" t="str">
        <f>IF(0 = 0, "N", "Y")</f>
        <v>N</v>
      </c>
      <c r="I13" s="105" t="str">
        <f>IF(0 = 0, CHOOSE((0+1), "Shell", "3 Limb","4 Limb","5 Limb","3 1-Phase"), IF(0 = 1,CHOOSE((0+1), "Shell", "Core"),"--"))</f>
        <v>Shell</v>
      </c>
      <c r="J13" s="242">
        <f xml:space="preserve"> IF(65 = 65, 65, CONCATENATE(65, "/", 65))</f>
        <v>65</v>
      </c>
      <c r="K13" s="275">
        <f>CHOOSE((0 + 1), 50 / 1000,50, 50 * 1000)</f>
        <v>0.05</v>
      </c>
      <c r="L13" s="276" t="str">
        <f>CHOOSE((0 + 1), "MVA", "kVA", "VA")</f>
        <v>MVA</v>
      </c>
      <c r="M13" s="277">
        <f xml:space="preserve"> 50</f>
        <v>50</v>
      </c>
      <c r="N13" s="277" t="str">
        <f>IF(0 = 4,CHOOSE((0 + 1), 0 / 1000,0, 0 * 1000),"--")</f>
        <v>--</v>
      </c>
      <c r="O13" s="277" t="str">
        <f>IF(0 = 4,CHOOSE((0 + 1), 0 / 1000,0, 0 * 1000),"--")</f>
        <v>--</v>
      </c>
      <c r="P13" s="277" t="str">
        <f>IF(0 = 4,CHOOSE((0 + 1), 0 / 1000,0, 0 * 1000),"--")</f>
        <v>--</v>
      </c>
      <c r="Q13" s="278">
        <f>ROUND(10, 3)</f>
        <v>10</v>
      </c>
      <c r="R13" s="268" t="s">
        <v>847</v>
      </c>
      <c r="S13" s="242">
        <f>IF(10 &gt; 0, IF(0=1, ROUND((50/10), 1),ROUND((50/(SQRT(3)*10)), 1)), "")</f>
        <v>2.9</v>
      </c>
      <c r="T13" s="278">
        <f>ROUND(0.400000006, 3)</f>
        <v>0.4</v>
      </c>
      <c r="U13" s="276" t="s">
        <v>847</v>
      </c>
      <c r="V13" s="242">
        <f>IF(0.400000006 &gt; 0, IF(0=1, ROUND((50/0.400000006), 1),ROUND((50/(SQRT(3)*0.400000006)), 1)), "")</f>
        <v>72.2</v>
      </c>
      <c r="W13" s="278">
        <f>ROUND(10, 1)</f>
        <v>10</v>
      </c>
      <c r="X13" s="276" t="s">
        <v>850</v>
      </c>
      <c r="Y13" s="260">
        <f>ROUND(20, 1)</f>
        <v>20</v>
      </c>
      <c r="Z13" s="278">
        <f>ROUND(10, 1)</f>
        <v>10</v>
      </c>
      <c r="AA13" s="268" t="s">
        <v>850</v>
      </c>
      <c r="AB13" s="260">
        <f>ROUND(20, 1)</f>
        <v>20</v>
      </c>
      <c r="AC13" s="260">
        <f>ROUND(0, 3)</f>
        <v>0</v>
      </c>
      <c r="AD13" s="260">
        <f>ROUND(0, 3)</f>
        <v>0</v>
      </c>
      <c r="AE13" s="260">
        <f>ROUND(0, 3)</f>
        <v>0</v>
      </c>
      <c r="AF13" s="260">
        <f>ROUND(0, 3)</f>
        <v>0</v>
      </c>
      <c r="AG13" s="260">
        <f>ROUND(0, 3)</f>
        <v>0</v>
      </c>
      <c r="AH13" s="260">
        <f>ROUND(0, 3)</f>
        <v>0</v>
      </c>
      <c r="AI13" s="260" t="str">
        <f>FIXED(0,1)</f>
        <v>0.0</v>
      </c>
      <c r="AJ13" s="260" t="str">
        <f>FIXED(0,1)</f>
        <v>0.0</v>
      </c>
      <c r="AK13" s="260" t="str">
        <f>IF(0=1, "Yes", "No")</f>
        <v>No</v>
      </c>
      <c r="AL13" s="242" t="str">
        <f>IF(0=1, ROUND(-10, 1), "--")</f>
        <v>--</v>
      </c>
      <c r="AM13" s="260" t="str">
        <f>IF(0=1, ROUND(10, 1), "--")</f>
        <v>--</v>
      </c>
      <c r="AN13" s="260" t="str">
        <f>IF(0=1, ROUND(0.625, 3), "--")</f>
        <v>--</v>
      </c>
      <c r="AO13" s="260" t="str">
        <f>IF(0=1, "3526", "--")</f>
        <v>--</v>
      </c>
      <c r="AP13" s="260" t="str">
        <f>IF(0=1, ROUND(100, 1), "--")</f>
        <v>--</v>
      </c>
      <c r="AQ13" s="260" t="str">
        <f>IF(0=1, "Yes", "No")</f>
        <v>No</v>
      </c>
      <c r="AR13" s="260" t="str">
        <f>IF(0=1, ROUND(-10, 1), "--")</f>
        <v>--</v>
      </c>
      <c r="AS13" s="260" t="str">
        <f>IF(0=1, ROUND(10, 1), "--")</f>
        <v>--</v>
      </c>
      <c r="AT13" s="260" t="str">
        <f>IF(0=1, ROUND(0.625, 1), "--")</f>
        <v>--</v>
      </c>
      <c r="AU13" s="260" t="str">
        <f>IF(0=1, "3526", "--")</f>
        <v>--</v>
      </c>
      <c r="AV13" s="260" t="str">
        <f>IF(0=1, ROUND(100, 1), "--")</f>
        <v>--</v>
      </c>
      <c r="AW13" s="242" t="str">
        <f>IF(0 = 0, IF(1=0, "Y", "Δ"),"--")</f>
        <v>Δ</v>
      </c>
      <c r="AX13" s="242" t="str">
        <f>IF(1=1, "--", CHOOSE((1 + 1), "Open", "Solid", "Resistor", "Reactor", "Xfmr-Resistor", "Xfmr-Reactor"))</f>
        <v>--</v>
      </c>
      <c r="AY13" s="242" t="str">
        <f>IF(0 = 0, IF(0=0,  "Y", "Δ"),IF(1=0,  "Ungrounded", "Grounded"))</f>
        <v>Y</v>
      </c>
      <c r="AZ13" s="242" t="str">
        <f>IF(0 = 0,IF(0=1, "--", CHOOSE((1 + 1), "Open", "Solid", "Resistor", "Reactor", "Xfmr-Resistor", "Xfmr-Reactor"))," ")</f>
        <v>Solid</v>
      </c>
      <c r="BA13" s="242" t="str">
        <f>IF(0 = 0, "ANSI", "IEC")</f>
        <v>ANSI</v>
      </c>
      <c r="BB13" s="242" t="str">
        <f>IF(0 = 1, "--",  CHOOSE((2 + 1), "Infrequent","Frequent","Both"))</f>
        <v>Both</v>
      </c>
      <c r="BC13" s="242" t="str">
        <f>IF(0 = 1, "--", IF(1=1, "Yes", "No"))</f>
        <v>Yes</v>
      </c>
      <c r="BD13" s="242">
        <f>IF(0 = 1, "--", ROUND(1, 2))</f>
        <v>1</v>
      </c>
      <c r="BE13" s="242" t="str">
        <f>CHOOSE((0+1), "Point", "Curve - Piecewise", "Curve - Equation")</f>
        <v>Point</v>
      </c>
      <c r="BF13" s="242">
        <f>ROUND(8, 1)</f>
        <v>8</v>
      </c>
      <c r="BG13" s="242">
        <f>IF(0=2,ROUND(60, 1),ROUND(6, 1))</f>
        <v>6</v>
      </c>
      <c r="BH13" s="242">
        <v>0</v>
      </c>
      <c r="BI13" s="260" t="s">
        <v>6327</v>
      </c>
      <c r="BJ13" s="260">
        <f>ROUND(1,2)</f>
        <v>1</v>
      </c>
      <c r="BK13" s="260"/>
      <c r="BL13" s="260"/>
      <c r="BM13" s="260"/>
      <c r="BN13" s="260"/>
      <c r="BO13" s="260"/>
      <c r="BP13" s="53" t="s">
        <v>6332</v>
      </c>
    </row>
    <row r="14" spans="1:73">
      <c r="A14" s="105" t="s">
        <v>6333</v>
      </c>
      <c r="B14" s="105" t="str">
        <f>IF(TRUE = TRUE, "Yes", "No")</f>
        <v>Yes</v>
      </c>
      <c r="C14" s="105" t="s">
        <v>5202</v>
      </c>
      <c r="D14" s="105"/>
      <c r="E14" s="105" t="str">
        <f>IF(TRIM( "BUS_CNODE_JCT__1466") = "", "BUS_CNODE_JCT__1466", "BUS_CNODE_JCT__1466")</f>
        <v>BUS_CNODE_JCT__1466</v>
      </c>
      <c r="F14" s="105" t="str">
        <f>IF(TRIM( "BUS_V苏源4号线2_83_1549") = "","BUS_V苏源4号线2_83_1549","BUS_V苏源4号线2_83_1549")</f>
        <v>BUS_V苏源4号线2_83_1549</v>
      </c>
      <c r="G14" s="105" t="str">
        <f>IF(0 = 0, "3", "1")</f>
        <v>3</v>
      </c>
      <c r="H14" s="105" t="str">
        <f>IF(0 = 0, "N", "Y")</f>
        <v>N</v>
      </c>
      <c r="I14" s="105" t="str">
        <f>IF(0 = 0, CHOOSE((0+1), "Shell", "3 Limb","4 Limb","5 Limb","3 1-Phase"), IF(0 = 1,CHOOSE((0+1), "Shell", "Core"),"--"))</f>
        <v>Shell</v>
      </c>
      <c r="J14" s="242">
        <f xml:space="preserve"> IF(65 = 65, 65, CONCATENATE(65, "/", 65))</f>
        <v>65</v>
      </c>
      <c r="K14" s="275">
        <f>CHOOSE((0 + 1), 50 / 1000,50, 50 * 1000)</f>
        <v>0.05</v>
      </c>
      <c r="L14" s="276" t="str">
        <f>CHOOSE((0 + 1), "MVA", "kVA", "VA")</f>
        <v>MVA</v>
      </c>
      <c r="M14" s="277">
        <f xml:space="preserve"> 50</f>
        <v>50</v>
      </c>
      <c r="N14" s="277" t="str">
        <f>IF(0 = 4,CHOOSE((0 + 1), 0 / 1000,0, 0 * 1000),"--")</f>
        <v>--</v>
      </c>
      <c r="O14" s="277" t="str">
        <f>IF(0 = 4,CHOOSE((0 + 1), 0 / 1000,0, 0 * 1000),"--")</f>
        <v>--</v>
      </c>
      <c r="P14" s="277" t="str">
        <f>IF(0 = 4,CHOOSE((0 + 1), 0 / 1000,0, 0 * 1000),"--")</f>
        <v>--</v>
      </c>
      <c r="Q14" s="278">
        <f>ROUND(10, 3)</f>
        <v>10</v>
      </c>
      <c r="R14" s="268" t="s">
        <v>847</v>
      </c>
      <c r="S14" s="242">
        <f>IF(10 &gt; 0, IF(0=1, ROUND((50/10), 1),ROUND((50/(SQRT(3)*10)), 1)), "")</f>
        <v>2.9</v>
      </c>
      <c r="T14" s="278">
        <f>ROUND(0.400000006, 3)</f>
        <v>0.4</v>
      </c>
      <c r="U14" s="276" t="s">
        <v>847</v>
      </c>
      <c r="V14" s="242">
        <f>IF(0.400000006 &gt; 0, IF(0=1, ROUND((50/0.400000006), 1),ROUND((50/(SQRT(3)*0.400000006)), 1)), "")</f>
        <v>72.2</v>
      </c>
      <c r="W14" s="278">
        <f>ROUND(10, 1)</f>
        <v>10</v>
      </c>
      <c r="X14" s="276" t="s">
        <v>850</v>
      </c>
      <c r="Y14" s="260">
        <f>ROUND(20, 1)</f>
        <v>20</v>
      </c>
      <c r="Z14" s="278">
        <f>ROUND(10, 1)</f>
        <v>10</v>
      </c>
      <c r="AA14" s="268" t="s">
        <v>850</v>
      </c>
      <c r="AB14" s="260">
        <f>ROUND(20, 1)</f>
        <v>20</v>
      </c>
      <c r="AC14" s="260">
        <f>ROUND(0, 3)</f>
        <v>0</v>
      </c>
      <c r="AD14" s="260">
        <f>ROUND(0, 3)</f>
        <v>0</v>
      </c>
      <c r="AE14" s="260">
        <f>ROUND(0, 3)</f>
        <v>0</v>
      </c>
      <c r="AF14" s="260">
        <f>ROUND(0, 3)</f>
        <v>0</v>
      </c>
      <c r="AG14" s="260">
        <f>ROUND(0, 3)</f>
        <v>0</v>
      </c>
      <c r="AH14" s="260">
        <f>ROUND(0, 3)</f>
        <v>0</v>
      </c>
      <c r="AI14" s="260" t="str">
        <f>FIXED(0,1)</f>
        <v>0.0</v>
      </c>
      <c r="AJ14" s="260" t="str">
        <f>FIXED(0,1)</f>
        <v>0.0</v>
      </c>
      <c r="AK14" s="260" t="str">
        <f>IF(0=1, "Yes", "No")</f>
        <v>No</v>
      </c>
      <c r="AL14" s="242" t="str">
        <f>IF(0=1, ROUND(-10, 1), "--")</f>
        <v>--</v>
      </c>
      <c r="AM14" s="260" t="str">
        <f>IF(0=1, ROUND(10, 1), "--")</f>
        <v>--</v>
      </c>
      <c r="AN14" s="260" t="str">
        <f>IF(0=1, ROUND(0.625, 3), "--")</f>
        <v>--</v>
      </c>
      <c r="AO14" s="260" t="str">
        <f>IF(0=1, "3654", "--")</f>
        <v>--</v>
      </c>
      <c r="AP14" s="260" t="str">
        <f>IF(0=1, ROUND(100, 1), "--")</f>
        <v>--</v>
      </c>
      <c r="AQ14" s="260" t="str">
        <f>IF(0=1, "Yes", "No")</f>
        <v>No</v>
      </c>
      <c r="AR14" s="260" t="str">
        <f>IF(0=1, ROUND(-10, 1), "--")</f>
        <v>--</v>
      </c>
      <c r="AS14" s="260" t="str">
        <f>IF(0=1, ROUND(10, 1), "--")</f>
        <v>--</v>
      </c>
      <c r="AT14" s="260" t="str">
        <f>IF(0=1, ROUND(0.625, 1), "--")</f>
        <v>--</v>
      </c>
      <c r="AU14" s="260" t="str">
        <f>IF(0=1, "3654", "--")</f>
        <v>--</v>
      </c>
      <c r="AV14" s="260" t="str">
        <f>IF(0=1, ROUND(100, 1), "--")</f>
        <v>--</v>
      </c>
      <c r="AW14" s="242" t="str">
        <f>IF(0 = 0, IF(1=0, "Y", "Δ"),"--")</f>
        <v>Δ</v>
      </c>
      <c r="AX14" s="242" t="str">
        <f>IF(1=1, "--", CHOOSE((1 + 1), "Open", "Solid", "Resistor", "Reactor", "Xfmr-Resistor", "Xfmr-Reactor"))</f>
        <v>--</v>
      </c>
      <c r="AY14" s="242" t="str">
        <f>IF(0 = 0, IF(0=0,  "Y", "Δ"),IF(1=0,  "Ungrounded", "Grounded"))</f>
        <v>Y</v>
      </c>
      <c r="AZ14" s="242" t="str">
        <f>IF(0 = 0,IF(0=1, "--", CHOOSE((1 + 1), "Open", "Solid", "Resistor", "Reactor", "Xfmr-Resistor", "Xfmr-Reactor"))," ")</f>
        <v>Solid</v>
      </c>
      <c r="BA14" s="242" t="str">
        <f>IF(0 = 0, "ANSI", "IEC")</f>
        <v>ANSI</v>
      </c>
      <c r="BB14" s="242" t="str">
        <f>IF(0 = 1, "--",  CHOOSE((2 + 1), "Infrequent","Frequent","Both"))</f>
        <v>Both</v>
      </c>
      <c r="BC14" s="242" t="str">
        <f>IF(0 = 1, "--", IF(1=1, "Yes", "No"))</f>
        <v>Yes</v>
      </c>
      <c r="BD14" s="242">
        <f>IF(0 = 1, "--", ROUND(1, 2))</f>
        <v>1</v>
      </c>
      <c r="BE14" s="242" t="str">
        <f>CHOOSE((0+1), "Point", "Curve - Piecewise", "Curve - Equation")</f>
        <v>Point</v>
      </c>
      <c r="BF14" s="242">
        <f>ROUND(8, 1)</f>
        <v>8</v>
      </c>
      <c r="BG14" s="242">
        <f>IF(0=2,ROUND(60, 1),ROUND(6, 1))</f>
        <v>6</v>
      </c>
      <c r="BH14" s="242">
        <v>0</v>
      </c>
      <c r="BI14" s="260" t="s">
        <v>6327</v>
      </c>
      <c r="BJ14" s="260">
        <f>ROUND(1,2)</f>
        <v>1</v>
      </c>
      <c r="BK14" s="260"/>
      <c r="BL14" s="260"/>
      <c r="BM14" s="260"/>
      <c r="BN14" s="260"/>
      <c r="BO14" s="260"/>
      <c r="BP14" s="53" t="s">
        <v>6334</v>
      </c>
    </row>
    <row r="15" spans="1:73">
      <c r="A15" s="105" t="s">
        <v>6335</v>
      </c>
      <c r="B15" s="105" t="str">
        <f>IF(TRUE = TRUE, "Yes", "No")</f>
        <v>Yes</v>
      </c>
      <c r="C15" s="105" t="s">
        <v>5202</v>
      </c>
      <c r="D15" s="105"/>
      <c r="E15" s="105" t="str">
        <f>IF(TRIM( "BUS_CNODE_JCT__1448") = "", "BUS_CNODE_JCT__1448", "BUS_CNODE_JCT__1448")</f>
        <v>BUS_CNODE_JCT__1448</v>
      </c>
      <c r="F15" s="105" t="str">
        <f>IF(TRIM( "BUS_元居#3箱变_816_1521") = "","BUS_元居#3箱变_816_1521","BUS_元居#3箱变_816_1521")</f>
        <v>BUS_元居#3箱变_816_1521</v>
      </c>
      <c r="G15" s="105" t="str">
        <f>IF(0 = 0, "3", "1")</f>
        <v>3</v>
      </c>
      <c r="H15" s="105" t="str">
        <f>IF(0 = 0, "N", "Y")</f>
        <v>N</v>
      </c>
      <c r="I15" s="105" t="str">
        <f>IF(0 = 0, CHOOSE((0+1), "Shell", "3 Limb","4 Limb","5 Limb","3 1-Phase"), IF(0 = 1,CHOOSE((0+1), "Shell", "Core"),"--"))</f>
        <v>Shell</v>
      </c>
      <c r="J15" s="242">
        <f xml:space="preserve"> IF(65 = 65, 65, CONCATENATE(65, "/", 65))</f>
        <v>65</v>
      </c>
      <c r="K15" s="275">
        <f>CHOOSE((0 + 1), 50 / 1000,50, 50 * 1000)</f>
        <v>0.05</v>
      </c>
      <c r="L15" s="276" t="str">
        <f>CHOOSE((0 + 1), "MVA", "kVA", "VA")</f>
        <v>MVA</v>
      </c>
      <c r="M15" s="277">
        <f xml:space="preserve"> 50</f>
        <v>50</v>
      </c>
      <c r="N15" s="277" t="str">
        <f>IF(0 = 4,CHOOSE((0 + 1), 0 / 1000,0, 0 * 1000),"--")</f>
        <v>--</v>
      </c>
      <c r="O15" s="277" t="str">
        <f>IF(0 = 4,CHOOSE((0 + 1), 0 / 1000,0, 0 * 1000),"--")</f>
        <v>--</v>
      </c>
      <c r="P15" s="277" t="str">
        <f>IF(0 = 4,CHOOSE((0 + 1), 0 / 1000,0, 0 * 1000),"--")</f>
        <v>--</v>
      </c>
      <c r="Q15" s="278">
        <f>ROUND(10, 3)</f>
        <v>10</v>
      </c>
      <c r="R15" s="268" t="s">
        <v>847</v>
      </c>
      <c r="S15" s="242">
        <f>IF(10 &gt; 0, IF(0=1, ROUND((50/10), 1),ROUND((50/(SQRT(3)*10)), 1)), "")</f>
        <v>2.9</v>
      </c>
      <c r="T15" s="278">
        <f>ROUND(0.400000006, 3)</f>
        <v>0.4</v>
      </c>
      <c r="U15" s="276" t="s">
        <v>847</v>
      </c>
      <c r="V15" s="242">
        <f>IF(0.400000006 &gt; 0, IF(0=1, ROUND((50/0.400000006), 1),ROUND((50/(SQRT(3)*0.400000006)), 1)), "")</f>
        <v>72.2</v>
      </c>
      <c r="W15" s="278">
        <f>ROUND(10, 1)</f>
        <v>10</v>
      </c>
      <c r="X15" s="276" t="s">
        <v>850</v>
      </c>
      <c r="Y15" s="260">
        <f>ROUND(20, 1)</f>
        <v>20</v>
      </c>
      <c r="Z15" s="278">
        <f>ROUND(10, 1)</f>
        <v>10</v>
      </c>
      <c r="AA15" s="268" t="s">
        <v>850</v>
      </c>
      <c r="AB15" s="260">
        <f>ROUND(20, 1)</f>
        <v>20</v>
      </c>
      <c r="AC15" s="260">
        <f>ROUND(0, 3)</f>
        <v>0</v>
      </c>
      <c r="AD15" s="260">
        <f>ROUND(0, 3)</f>
        <v>0</v>
      </c>
      <c r="AE15" s="260">
        <f>ROUND(0, 3)</f>
        <v>0</v>
      </c>
      <c r="AF15" s="260">
        <f>ROUND(0, 3)</f>
        <v>0</v>
      </c>
      <c r="AG15" s="260">
        <f>ROUND(0, 3)</f>
        <v>0</v>
      </c>
      <c r="AH15" s="260">
        <f>ROUND(0, 3)</f>
        <v>0</v>
      </c>
      <c r="AI15" s="260" t="str">
        <f>FIXED(0,1)</f>
        <v>0.0</v>
      </c>
      <c r="AJ15" s="260" t="str">
        <f>FIXED(0,1)</f>
        <v>0.0</v>
      </c>
      <c r="AK15" s="260" t="str">
        <f>IF(0=1, "Yes", "No")</f>
        <v>No</v>
      </c>
      <c r="AL15" s="242" t="str">
        <f>IF(0=1, ROUND(-10, 1), "--")</f>
        <v>--</v>
      </c>
      <c r="AM15" s="260" t="str">
        <f>IF(0=1, ROUND(10, 1), "--")</f>
        <v>--</v>
      </c>
      <c r="AN15" s="260" t="str">
        <f>IF(0=1, ROUND(0.625, 3), "--")</f>
        <v>--</v>
      </c>
      <c r="AO15" s="260" t="str">
        <f>IF(0=1, "3590", "--")</f>
        <v>--</v>
      </c>
      <c r="AP15" s="260" t="str">
        <f>IF(0=1, ROUND(100, 1), "--")</f>
        <v>--</v>
      </c>
      <c r="AQ15" s="260" t="str">
        <f>IF(0=1, "Yes", "No")</f>
        <v>No</v>
      </c>
      <c r="AR15" s="260" t="str">
        <f>IF(0=1, ROUND(-10, 1), "--")</f>
        <v>--</v>
      </c>
      <c r="AS15" s="260" t="str">
        <f>IF(0=1, ROUND(10, 1), "--")</f>
        <v>--</v>
      </c>
      <c r="AT15" s="260" t="str">
        <f>IF(0=1, ROUND(0.625, 1), "--")</f>
        <v>--</v>
      </c>
      <c r="AU15" s="260" t="str">
        <f>IF(0=1, "3590", "--")</f>
        <v>--</v>
      </c>
      <c r="AV15" s="260" t="str">
        <f>IF(0=1, ROUND(100, 1), "--")</f>
        <v>--</v>
      </c>
      <c r="AW15" s="242" t="str">
        <f>IF(0 = 0, IF(1=0, "Y", "Δ"),"--")</f>
        <v>Δ</v>
      </c>
      <c r="AX15" s="242" t="str">
        <f>IF(1=1, "--", CHOOSE((1 + 1), "Open", "Solid", "Resistor", "Reactor", "Xfmr-Resistor", "Xfmr-Reactor"))</f>
        <v>--</v>
      </c>
      <c r="AY15" s="242" t="str">
        <f>IF(0 = 0, IF(0=0,  "Y", "Δ"),IF(1=0,  "Ungrounded", "Grounded"))</f>
        <v>Y</v>
      </c>
      <c r="AZ15" s="242" t="str">
        <f>IF(0 = 0,IF(0=1, "--", CHOOSE((1 + 1), "Open", "Solid", "Resistor", "Reactor", "Xfmr-Resistor", "Xfmr-Reactor"))," ")</f>
        <v>Solid</v>
      </c>
      <c r="BA15" s="242" t="str">
        <f>IF(0 = 0, "ANSI", "IEC")</f>
        <v>ANSI</v>
      </c>
      <c r="BB15" s="242" t="str">
        <f>IF(0 = 1, "--",  CHOOSE((2 + 1), "Infrequent","Frequent","Both"))</f>
        <v>Both</v>
      </c>
      <c r="BC15" s="242" t="str">
        <f>IF(0 = 1, "--", IF(1=1, "Yes", "No"))</f>
        <v>Yes</v>
      </c>
      <c r="BD15" s="242">
        <f>IF(0 = 1, "--", ROUND(1, 2))</f>
        <v>1</v>
      </c>
      <c r="BE15" s="242" t="str">
        <f>CHOOSE((0+1), "Point", "Curve - Piecewise", "Curve - Equation")</f>
        <v>Point</v>
      </c>
      <c r="BF15" s="242">
        <f>ROUND(8, 1)</f>
        <v>8</v>
      </c>
      <c r="BG15" s="242">
        <f>IF(0=2,ROUND(60, 1),ROUND(6, 1))</f>
        <v>6</v>
      </c>
      <c r="BH15" s="242">
        <v>0</v>
      </c>
      <c r="BI15" s="260" t="s">
        <v>6327</v>
      </c>
      <c r="BJ15" s="260">
        <f>ROUND(1,2)</f>
        <v>1</v>
      </c>
      <c r="BK15" s="260"/>
      <c r="BL15" s="260"/>
      <c r="BM15" s="260"/>
      <c r="BN15" s="260"/>
      <c r="BO15" s="260"/>
      <c r="BP15" s="53" t="s">
        <v>6336</v>
      </c>
    </row>
    <row r="16" spans="1:73">
      <c r="A16" s="105" t="s">
        <v>6337</v>
      </c>
      <c r="B16" s="105" t="str">
        <f>IF(TRUE = TRUE, "Yes", "No")</f>
        <v>Yes</v>
      </c>
      <c r="C16" s="105" t="s">
        <v>5202</v>
      </c>
      <c r="D16" s="105"/>
      <c r="E16" s="105" t="str">
        <f>IF(TRIM( "BUS_CNODE_JCT__1447") = "", "BUS_CNODE_JCT__1447", "BUS_CNODE_JCT__1447")</f>
        <v>BUS_CNODE_JCT__1447</v>
      </c>
      <c r="F16" s="105" t="str">
        <f>IF(TRIM( "BUS_元居#4箱变_815_1519") = "","BUS_元居#4箱变_815_1519","BUS_元居#4箱变_815_1519")</f>
        <v>BUS_元居#4箱变_815_1519</v>
      </c>
      <c r="G16" s="105" t="str">
        <f>IF(0 = 0, "3", "1")</f>
        <v>3</v>
      </c>
      <c r="H16" s="105" t="str">
        <f>IF(0 = 0, "N", "Y")</f>
        <v>N</v>
      </c>
      <c r="I16" s="105" t="str">
        <f>IF(0 = 0, CHOOSE((0+1), "Shell", "3 Limb","4 Limb","5 Limb","3 1-Phase"), IF(0 = 1,CHOOSE((0+1), "Shell", "Core"),"--"))</f>
        <v>Shell</v>
      </c>
      <c r="J16" s="242">
        <f xml:space="preserve"> IF(65 = 65, 65, CONCATENATE(65, "/", 65))</f>
        <v>65</v>
      </c>
      <c r="K16" s="275">
        <f>CHOOSE((0 + 1), 50 / 1000,50, 50 * 1000)</f>
        <v>0.05</v>
      </c>
      <c r="L16" s="276" t="str">
        <f>CHOOSE((0 + 1), "MVA", "kVA", "VA")</f>
        <v>MVA</v>
      </c>
      <c r="M16" s="277">
        <f xml:space="preserve"> 50</f>
        <v>50</v>
      </c>
      <c r="N16" s="277" t="str">
        <f>IF(0 = 4,CHOOSE((0 + 1), 0 / 1000,0, 0 * 1000),"--")</f>
        <v>--</v>
      </c>
      <c r="O16" s="277" t="str">
        <f>IF(0 = 4,CHOOSE((0 + 1), 0 / 1000,0, 0 * 1000),"--")</f>
        <v>--</v>
      </c>
      <c r="P16" s="277" t="str">
        <f>IF(0 = 4,CHOOSE((0 + 1), 0 / 1000,0, 0 * 1000),"--")</f>
        <v>--</v>
      </c>
      <c r="Q16" s="278">
        <f>ROUND(10, 3)</f>
        <v>10</v>
      </c>
      <c r="R16" s="268" t="s">
        <v>847</v>
      </c>
      <c r="S16" s="242">
        <f>IF(10 &gt; 0, IF(0=1, ROUND((50/10), 1),ROUND((50/(SQRT(3)*10)), 1)), "")</f>
        <v>2.9</v>
      </c>
      <c r="T16" s="278">
        <f>ROUND(0.400000006, 3)</f>
        <v>0.4</v>
      </c>
      <c r="U16" s="276" t="s">
        <v>847</v>
      </c>
      <c r="V16" s="242">
        <f>IF(0.400000006 &gt; 0, IF(0=1, ROUND((50/0.400000006), 1),ROUND((50/(SQRT(3)*0.400000006)), 1)), "")</f>
        <v>72.2</v>
      </c>
      <c r="W16" s="278">
        <f>ROUND(10, 1)</f>
        <v>10</v>
      </c>
      <c r="X16" s="276" t="s">
        <v>850</v>
      </c>
      <c r="Y16" s="260">
        <f>ROUND(20, 1)</f>
        <v>20</v>
      </c>
      <c r="Z16" s="278">
        <f>ROUND(10, 1)</f>
        <v>10</v>
      </c>
      <c r="AA16" s="268" t="s">
        <v>850</v>
      </c>
      <c r="AB16" s="260">
        <f>ROUND(20, 1)</f>
        <v>20</v>
      </c>
      <c r="AC16" s="260">
        <f>ROUND(0, 3)</f>
        <v>0</v>
      </c>
      <c r="AD16" s="260">
        <f>ROUND(0, 3)</f>
        <v>0</v>
      </c>
      <c r="AE16" s="260">
        <f>ROUND(0, 3)</f>
        <v>0</v>
      </c>
      <c r="AF16" s="260">
        <f>ROUND(0, 3)</f>
        <v>0</v>
      </c>
      <c r="AG16" s="260">
        <f>ROUND(0, 3)</f>
        <v>0</v>
      </c>
      <c r="AH16" s="260">
        <f>ROUND(0, 3)</f>
        <v>0</v>
      </c>
      <c r="AI16" s="260" t="str">
        <f>FIXED(0,1)</f>
        <v>0.0</v>
      </c>
      <c r="AJ16" s="260" t="str">
        <f>FIXED(0,1)</f>
        <v>0.0</v>
      </c>
      <c r="AK16" s="260" t="str">
        <f>IF(0=1, "Yes", "No")</f>
        <v>No</v>
      </c>
      <c r="AL16" s="242" t="str">
        <f>IF(0=1, ROUND(-10, 1), "--")</f>
        <v>--</v>
      </c>
      <c r="AM16" s="260" t="str">
        <f>IF(0=1, ROUND(10, 1), "--")</f>
        <v>--</v>
      </c>
      <c r="AN16" s="260" t="str">
        <f>IF(0=1, ROUND(0.625, 3), "--")</f>
        <v>--</v>
      </c>
      <c r="AO16" s="260" t="str">
        <f>IF(0=1, "3588", "--")</f>
        <v>--</v>
      </c>
      <c r="AP16" s="260" t="str">
        <f>IF(0=1, ROUND(100, 1), "--")</f>
        <v>--</v>
      </c>
      <c r="AQ16" s="260" t="str">
        <f>IF(0=1, "Yes", "No")</f>
        <v>No</v>
      </c>
      <c r="AR16" s="260" t="str">
        <f>IF(0=1, ROUND(-10, 1), "--")</f>
        <v>--</v>
      </c>
      <c r="AS16" s="260" t="str">
        <f>IF(0=1, ROUND(10, 1), "--")</f>
        <v>--</v>
      </c>
      <c r="AT16" s="260" t="str">
        <f>IF(0=1, ROUND(0.625, 1), "--")</f>
        <v>--</v>
      </c>
      <c r="AU16" s="260" t="str">
        <f>IF(0=1, "3588", "--")</f>
        <v>--</v>
      </c>
      <c r="AV16" s="260" t="str">
        <f>IF(0=1, ROUND(100, 1), "--")</f>
        <v>--</v>
      </c>
      <c r="AW16" s="242" t="str">
        <f>IF(0 = 0, IF(1=0, "Y", "Δ"),"--")</f>
        <v>Δ</v>
      </c>
      <c r="AX16" s="242" t="str">
        <f>IF(1=1, "--", CHOOSE((1 + 1), "Open", "Solid", "Resistor", "Reactor", "Xfmr-Resistor", "Xfmr-Reactor"))</f>
        <v>--</v>
      </c>
      <c r="AY16" s="242" t="str">
        <f>IF(0 = 0, IF(0=0,  "Y", "Δ"),IF(1=0,  "Ungrounded", "Grounded"))</f>
        <v>Y</v>
      </c>
      <c r="AZ16" s="242" t="str">
        <f>IF(0 = 0,IF(0=1, "--", CHOOSE((1 + 1), "Open", "Solid", "Resistor", "Reactor", "Xfmr-Resistor", "Xfmr-Reactor"))," ")</f>
        <v>Solid</v>
      </c>
      <c r="BA16" s="242" t="str">
        <f>IF(0 = 0, "ANSI", "IEC")</f>
        <v>ANSI</v>
      </c>
      <c r="BB16" s="242" t="str">
        <f>IF(0 = 1, "--",  CHOOSE((2 + 1), "Infrequent","Frequent","Both"))</f>
        <v>Both</v>
      </c>
      <c r="BC16" s="242" t="str">
        <f>IF(0 = 1, "--", IF(1=1, "Yes", "No"))</f>
        <v>Yes</v>
      </c>
      <c r="BD16" s="242">
        <f>IF(0 = 1, "--", ROUND(1, 2))</f>
        <v>1</v>
      </c>
      <c r="BE16" s="242" t="str">
        <f>CHOOSE((0+1), "Point", "Curve - Piecewise", "Curve - Equation")</f>
        <v>Point</v>
      </c>
      <c r="BF16" s="242">
        <f>ROUND(8, 1)</f>
        <v>8</v>
      </c>
      <c r="BG16" s="242">
        <f>IF(0=2,ROUND(60, 1),ROUND(6, 1))</f>
        <v>6</v>
      </c>
      <c r="BH16" s="242">
        <v>0</v>
      </c>
      <c r="BI16" s="260" t="s">
        <v>6327</v>
      </c>
      <c r="BJ16" s="260">
        <f>ROUND(1,2)</f>
        <v>1</v>
      </c>
      <c r="BK16" s="260"/>
      <c r="BL16" s="260"/>
      <c r="BM16" s="260"/>
      <c r="BN16" s="260"/>
      <c r="BO16" s="260"/>
      <c r="BP16" s="53" t="s">
        <v>6338</v>
      </c>
    </row>
    <row r="17" spans="1:68">
      <c r="A17" s="105" t="s">
        <v>6339</v>
      </c>
      <c r="B17" s="105" t="str">
        <f>IF(TRUE = TRUE, "Yes", "No")</f>
        <v>Yes</v>
      </c>
      <c r="C17" s="105" t="s">
        <v>5202</v>
      </c>
      <c r="D17" s="105"/>
      <c r="E17" s="105" t="str">
        <f>IF(TRIM( "BUS_CNODE_JCT__1446") = "", "BUS_CNODE_JCT__1446", "BUS_CNODE_JCT__1446")</f>
        <v>BUS_CNODE_JCT__1446</v>
      </c>
      <c r="F17" s="105" t="str">
        <f>IF(TRIM( "BUS_1#箱变_814_1517") = "","BUS_1#箱变_814_1517","BUS_1#箱变_814_1517")</f>
        <v>BUS_1#箱变_814_1517</v>
      </c>
      <c r="G17" s="105" t="str">
        <f>IF(0 = 0, "3", "1")</f>
        <v>3</v>
      </c>
      <c r="H17" s="105" t="str">
        <f>IF(0 = 0, "N", "Y")</f>
        <v>N</v>
      </c>
      <c r="I17" s="105" t="str">
        <f>IF(0 = 0, CHOOSE((0+1), "Shell", "3 Limb","4 Limb","5 Limb","3 1-Phase"), IF(0 = 1,CHOOSE((0+1), "Shell", "Core"),"--"))</f>
        <v>Shell</v>
      </c>
      <c r="J17" s="242">
        <f xml:space="preserve"> IF(65 = 65, 65, CONCATENATE(65, "/", 65))</f>
        <v>65</v>
      </c>
      <c r="K17" s="275">
        <f>CHOOSE((0 + 1), 50 / 1000,50, 50 * 1000)</f>
        <v>0.05</v>
      </c>
      <c r="L17" s="276" t="str">
        <f>CHOOSE((0 + 1), "MVA", "kVA", "VA")</f>
        <v>MVA</v>
      </c>
      <c r="M17" s="277">
        <f xml:space="preserve"> 50</f>
        <v>50</v>
      </c>
      <c r="N17" s="277" t="str">
        <f>IF(0 = 4,CHOOSE((0 + 1), 0 / 1000,0, 0 * 1000),"--")</f>
        <v>--</v>
      </c>
      <c r="O17" s="277" t="str">
        <f>IF(0 = 4,CHOOSE((0 + 1), 0 / 1000,0, 0 * 1000),"--")</f>
        <v>--</v>
      </c>
      <c r="P17" s="277" t="str">
        <f>IF(0 = 4,CHOOSE((0 + 1), 0 / 1000,0, 0 * 1000),"--")</f>
        <v>--</v>
      </c>
      <c r="Q17" s="278">
        <f>ROUND(10, 3)</f>
        <v>10</v>
      </c>
      <c r="R17" s="268" t="s">
        <v>847</v>
      </c>
      <c r="S17" s="242">
        <f>IF(10 &gt; 0, IF(0=1, ROUND((50/10), 1),ROUND((50/(SQRT(3)*10)), 1)), "")</f>
        <v>2.9</v>
      </c>
      <c r="T17" s="278">
        <f>ROUND(0.400000006, 3)</f>
        <v>0.4</v>
      </c>
      <c r="U17" s="276" t="s">
        <v>847</v>
      </c>
      <c r="V17" s="242">
        <f>IF(0.400000006 &gt; 0, IF(0=1, ROUND((50/0.400000006), 1),ROUND((50/(SQRT(3)*0.400000006)), 1)), "")</f>
        <v>72.2</v>
      </c>
      <c r="W17" s="278">
        <f>ROUND(10, 1)</f>
        <v>10</v>
      </c>
      <c r="X17" s="276" t="s">
        <v>850</v>
      </c>
      <c r="Y17" s="260">
        <f>ROUND(20, 1)</f>
        <v>20</v>
      </c>
      <c r="Z17" s="278">
        <f>ROUND(10, 1)</f>
        <v>10</v>
      </c>
      <c r="AA17" s="268" t="s">
        <v>850</v>
      </c>
      <c r="AB17" s="260">
        <f>ROUND(20, 1)</f>
        <v>20</v>
      </c>
      <c r="AC17" s="260">
        <f>ROUND(0, 3)</f>
        <v>0</v>
      </c>
      <c r="AD17" s="260">
        <f>ROUND(0, 3)</f>
        <v>0</v>
      </c>
      <c r="AE17" s="260">
        <f>ROUND(0, 3)</f>
        <v>0</v>
      </c>
      <c r="AF17" s="260">
        <f>ROUND(0, 3)</f>
        <v>0</v>
      </c>
      <c r="AG17" s="260">
        <f>ROUND(0, 3)</f>
        <v>0</v>
      </c>
      <c r="AH17" s="260">
        <f>ROUND(0, 3)</f>
        <v>0</v>
      </c>
      <c r="AI17" s="260" t="str">
        <f>FIXED(0,1)</f>
        <v>0.0</v>
      </c>
      <c r="AJ17" s="260" t="str">
        <f>FIXED(0,1)</f>
        <v>0.0</v>
      </c>
      <c r="AK17" s="260" t="str">
        <f>IF(0=1, "Yes", "No")</f>
        <v>No</v>
      </c>
      <c r="AL17" s="242" t="str">
        <f>IF(0=1, ROUND(-10, 1), "--")</f>
        <v>--</v>
      </c>
      <c r="AM17" s="260" t="str">
        <f>IF(0=1, ROUND(10, 1), "--")</f>
        <v>--</v>
      </c>
      <c r="AN17" s="260" t="str">
        <f>IF(0=1, ROUND(0.625, 3), "--")</f>
        <v>--</v>
      </c>
      <c r="AO17" s="260" t="str">
        <f>IF(0=1, "3586", "--")</f>
        <v>--</v>
      </c>
      <c r="AP17" s="260" t="str">
        <f>IF(0=1, ROUND(100, 1), "--")</f>
        <v>--</v>
      </c>
      <c r="AQ17" s="260" t="str">
        <f>IF(0=1, "Yes", "No")</f>
        <v>No</v>
      </c>
      <c r="AR17" s="260" t="str">
        <f>IF(0=1, ROUND(-10, 1), "--")</f>
        <v>--</v>
      </c>
      <c r="AS17" s="260" t="str">
        <f>IF(0=1, ROUND(10, 1), "--")</f>
        <v>--</v>
      </c>
      <c r="AT17" s="260" t="str">
        <f>IF(0=1, ROUND(0.625, 1), "--")</f>
        <v>--</v>
      </c>
      <c r="AU17" s="260" t="str">
        <f>IF(0=1, "3586", "--")</f>
        <v>--</v>
      </c>
      <c r="AV17" s="260" t="str">
        <f>IF(0=1, ROUND(100, 1), "--")</f>
        <v>--</v>
      </c>
      <c r="AW17" s="242" t="str">
        <f>IF(0 = 0, IF(1=0, "Y", "Δ"),"--")</f>
        <v>Δ</v>
      </c>
      <c r="AX17" s="242" t="str">
        <f>IF(1=1, "--", CHOOSE((1 + 1), "Open", "Solid", "Resistor", "Reactor", "Xfmr-Resistor", "Xfmr-Reactor"))</f>
        <v>--</v>
      </c>
      <c r="AY17" s="242" t="str">
        <f>IF(0 = 0, IF(0=0,  "Y", "Δ"),IF(1=0,  "Ungrounded", "Grounded"))</f>
        <v>Y</v>
      </c>
      <c r="AZ17" s="242" t="str">
        <f>IF(0 = 0,IF(0=1, "--", CHOOSE((1 + 1), "Open", "Solid", "Resistor", "Reactor", "Xfmr-Resistor", "Xfmr-Reactor"))," ")</f>
        <v>Solid</v>
      </c>
      <c r="BA17" s="242" t="str">
        <f>IF(0 = 0, "ANSI", "IEC")</f>
        <v>ANSI</v>
      </c>
      <c r="BB17" s="242" t="str">
        <f>IF(0 = 1, "--",  CHOOSE((2 + 1), "Infrequent","Frequent","Both"))</f>
        <v>Both</v>
      </c>
      <c r="BC17" s="242" t="str">
        <f>IF(0 = 1, "--", IF(1=1, "Yes", "No"))</f>
        <v>Yes</v>
      </c>
      <c r="BD17" s="242">
        <f>IF(0 = 1, "--", ROUND(1, 2))</f>
        <v>1</v>
      </c>
      <c r="BE17" s="242" t="str">
        <f>CHOOSE((0+1), "Point", "Curve - Piecewise", "Curve - Equation")</f>
        <v>Point</v>
      </c>
      <c r="BF17" s="242">
        <f>ROUND(8, 1)</f>
        <v>8</v>
      </c>
      <c r="BG17" s="242">
        <f>IF(0=2,ROUND(60, 1),ROUND(6, 1))</f>
        <v>6</v>
      </c>
      <c r="BH17" s="242">
        <v>0</v>
      </c>
      <c r="BI17" s="260" t="s">
        <v>6327</v>
      </c>
      <c r="BJ17" s="260">
        <f>ROUND(1,2)</f>
        <v>1</v>
      </c>
      <c r="BK17" s="260"/>
      <c r="BL17" s="260"/>
      <c r="BM17" s="260"/>
      <c r="BN17" s="260"/>
      <c r="BO17" s="260"/>
      <c r="BP17" s="53" t="s">
        <v>6340</v>
      </c>
    </row>
    <row r="18" spans="1:68">
      <c r="A18" s="105" t="s">
        <v>6341</v>
      </c>
      <c r="B18" s="105" t="str">
        <f>IF(TRUE = TRUE, "Yes", "No")</f>
        <v>Yes</v>
      </c>
      <c r="C18" s="105" t="s">
        <v>5202</v>
      </c>
      <c r="D18" s="105"/>
      <c r="E18" s="105" t="str">
        <f>IF(TRIM( "BUS_元居1#配电所母线2_217") = "", "BUS_元居1#配电所母线2_217", "BUS_元居1#配电所母线2_217")</f>
        <v>BUS_元居1#配电所母线2_217</v>
      </c>
      <c r="F18" s="105" t="str">
        <f>IF(TRIM( "BUS_1#配电所1#_80_1487") = "","BUS_1#配电所1#_80_1487","BUS_1#配电所1#_80_1487")</f>
        <v>BUS_1#配电所1#_80_1487</v>
      </c>
      <c r="G18" s="105" t="str">
        <f>IF(0 = 0, "3", "1")</f>
        <v>3</v>
      </c>
      <c r="H18" s="105" t="str">
        <f>IF(0 = 0, "N", "Y")</f>
        <v>N</v>
      </c>
      <c r="I18" s="105" t="str">
        <f>IF(0 = 0, CHOOSE((0+1), "Shell", "3 Limb","4 Limb","5 Limb","3 1-Phase"), IF(0 = 1,CHOOSE((0+1), "Shell", "Core"),"--"))</f>
        <v>Shell</v>
      </c>
      <c r="J18" s="242">
        <f xml:space="preserve"> IF(65 = 65, 65, CONCATENATE(65, "/", 65))</f>
        <v>65</v>
      </c>
      <c r="K18" s="275">
        <f>CHOOSE((0 + 1), 50 / 1000,50, 50 * 1000)</f>
        <v>0.05</v>
      </c>
      <c r="L18" s="276" t="str">
        <f>CHOOSE((0 + 1), "MVA", "kVA", "VA")</f>
        <v>MVA</v>
      </c>
      <c r="M18" s="277">
        <f xml:space="preserve"> 50</f>
        <v>50</v>
      </c>
      <c r="N18" s="277" t="str">
        <f>IF(0 = 4,CHOOSE((0 + 1), 0 / 1000,0, 0 * 1000),"--")</f>
        <v>--</v>
      </c>
      <c r="O18" s="277" t="str">
        <f>IF(0 = 4,CHOOSE((0 + 1), 0 / 1000,0, 0 * 1000),"--")</f>
        <v>--</v>
      </c>
      <c r="P18" s="277" t="str">
        <f>IF(0 = 4,CHOOSE((0 + 1), 0 / 1000,0, 0 * 1000),"--")</f>
        <v>--</v>
      </c>
      <c r="Q18" s="278">
        <f>ROUND(10, 3)</f>
        <v>10</v>
      </c>
      <c r="R18" s="268" t="s">
        <v>847</v>
      </c>
      <c r="S18" s="242">
        <f>IF(10 &gt; 0, IF(0=1, ROUND((50/10), 1),ROUND((50/(SQRT(3)*10)), 1)), "")</f>
        <v>2.9</v>
      </c>
      <c r="T18" s="278">
        <f>ROUND(0.400000006, 3)</f>
        <v>0.4</v>
      </c>
      <c r="U18" s="276" t="s">
        <v>847</v>
      </c>
      <c r="V18" s="242">
        <f>IF(0.400000006 &gt; 0, IF(0=1, ROUND((50/0.400000006), 1),ROUND((50/(SQRT(3)*0.400000006)), 1)), "")</f>
        <v>72.2</v>
      </c>
      <c r="W18" s="278">
        <f>ROUND(10, 1)</f>
        <v>10</v>
      </c>
      <c r="X18" s="276" t="s">
        <v>850</v>
      </c>
      <c r="Y18" s="260">
        <f>ROUND(20, 1)</f>
        <v>20</v>
      </c>
      <c r="Z18" s="278">
        <f>ROUND(10, 1)</f>
        <v>10</v>
      </c>
      <c r="AA18" s="268" t="s">
        <v>850</v>
      </c>
      <c r="AB18" s="260">
        <f>ROUND(20, 1)</f>
        <v>20</v>
      </c>
      <c r="AC18" s="260">
        <f>ROUND(0, 3)</f>
        <v>0</v>
      </c>
      <c r="AD18" s="260">
        <f>ROUND(0, 3)</f>
        <v>0</v>
      </c>
      <c r="AE18" s="260">
        <f>ROUND(0, 3)</f>
        <v>0</v>
      </c>
      <c r="AF18" s="260">
        <f>ROUND(0, 3)</f>
        <v>0</v>
      </c>
      <c r="AG18" s="260">
        <f>ROUND(0, 3)</f>
        <v>0</v>
      </c>
      <c r="AH18" s="260">
        <f>ROUND(0, 3)</f>
        <v>0</v>
      </c>
      <c r="AI18" s="260" t="str">
        <f>FIXED(0,1)</f>
        <v>0.0</v>
      </c>
      <c r="AJ18" s="260" t="str">
        <f>FIXED(0,1)</f>
        <v>0.0</v>
      </c>
      <c r="AK18" s="260" t="str">
        <f>IF(0=1, "Yes", "No")</f>
        <v>No</v>
      </c>
      <c r="AL18" s="242" t="str">
        <f>IF(0=1, ROUND(-10, 1), "--")</f>
        <v>--</v>
      </c>
      <c r="AM18" s="260" t="str">
        <f>IF(0=1, ROUND(10, 1), "--")</f>
        <v>--</v>
      </c>
      <c r="AN18" s="260" t="str">
        <f>IF(0=1, ROUND(0.625, 3), "--")</f>
        <v>--</v>
      </c>
      <c r="AO18" s="260" t="str">
        <f>IF(0=1, "3511", "--")</f>
        <v>--</v>
      </c>
      <c r="AP18" s="260" t="str">
        <f>IF(0=1, ROUND(100, 1), "--")</f>
        <v>--</v>
      </c>
      <c r="AQ18" s="260" t="str">
        <f>IF(0=1, "Yes", "No")</f>
        <v>No</v>
      </c>
      <c r="AR18" s="260" t="str">
        <f>IF(0=1, ROUND(-10, 1), "--")</f>
        <v>--</v>
      </c>
      <c r="AS18" s="260" t="str">
        <f>IF(0=1, ROUND(10, 1), "--")</f>
        <v>--</v>
      </c>
      <c r="AT18" s="260" t="str">
        <f>IF(0=1, ROUND(0.625, 1), "--")</f>
        <v>--</v>
      </c>
      <c r="AU18" s="260" t="str">
        <f>IF(0=1, "3511", "--")</f>
        <v>--</v>
      </c>
      <c r="AV18" s="260" t="str">
        <f>IF(0=1, ROUND(100, 1), "--")</f>
        <v>--</v>
      </c>
      <c r="AW18" s="242" t="str">
        <f>IF(0 = 0, IF(1=0, "Y", "Δ"),"--")</f>
        <v>Δ</v>
      </c>
      <c r="AX18" s="242" t="str">
        <f>IF(1=1, "--", CHOOSE((1 + 1), "Open", "Solid", "Resistor", "Reactor", "Xfmr-Resistor", "Xfmr-Reactor"))</f>
        <v>--</v>
      </c>
      <c r="AY18" s="242" t="str">
        <f>IF(0 = 0, IF(0=0,  "Y", "Δ"),IF(1=0,  "Ungrounded", "Grounded"))</f>
        <v>Y</v>
      </c>
      <c r="AZ18" s="242" t="str">
        <f>IF(0 = 0,IF(0=1, "--", CHOOSE((1 + 1), "Open", "Solid", "Resistor", "Reactor", "Xfmr-Resistor", "Xfmr-Reactor"))," ")</f>
        <v>Solid</v>
      </c>
      <c r="BA18" s="242" t="str">
        <f>IF(0 = 0, "ANSI", "IEC")</f>
        <v>ANSI</v>
      </c>
      <c r="BB18" s="242" t="str">
        <f>IF(0 = 1, "--",  CHOOSE((2 + 1), "Infrequent","Frequent","Both"))</f>
        <v>Both</v>
      </c>
      <c r="BC18" s="242" t="str">
        <f>IF(0 = 1, "--", IF(1=1, "Yes", "No"))</f>
        <v>Yes</v>
      </c>
      <c r="BD18" s="242">
        <f>IF(0 = 1, "--", ROUND(1, 2))</f>
        <v>1</v>
      </c>
      <c r="BE18" s="242" t="str">
        <f>CHOOSE((0+1), "Point", "Curve - Piecewise", "Curve - Equation")</f>
        <v>Point</v>
      </c>
      <c r="BF18" s="242">
        <f>ROUND(8, 1)</f>
        <v>8</v>
      </c>
      <c r="BG18" s="242">
        <f>IF(0=2,ROUND(60, 1),ROUND(6, 1))</f>
        <v>6</v>
      </c>
      <c r="BH18" s="242">
        <v>0</v>
      </c>
      <c r="BI18" s="260" t="s">
        <v>6327</v>
      </c>
      <c r="BJ18" s="260">
        <f>ROUND(1,2)</f>
        <v>1</v>
      </c>
      <c r="BK18" s="260"/>
      <c r="BL18" s="260"/>
      <c r="BM18" s="260"/>
      <c r="BN18" s="260"/>
      <c r="BO18" s="260"/>
      <c r="BP18" s="53" t="s">
        <v>6342</v>
      </c>
    </row>
    <row r="19" spans="1:68">
      <c r="A19" s="105" t="s">
        <v>6343</v>
      </c>
      <c r="B19" s="105" t="str">
        <f>IF(TRUE = TRUE, "Yes", "No")</f>
        <v>Yes</v>
      </c>
      <c r="C19" s="105" t="s">
        <v>5202</v>
      </c>
      <c r="D19" s="105"/>
      <c r="E19" s="105" t="str">
        <f>IF(TRIM( "BUS_元居1#配电所母线4_214") = "", "BUS_元居1#配电所母线4_214", "BUS_元居1#配电所母线4_214")</f>
        <v>BUS_元居1#配电所母线4_214</v>
      </c>
      <c r="F19" s="105" t="str">
        <f>IF(TRIM( "BUS_1#配电所2#_80_1495") = "","BUS_1#配电所2#_80_1495","BUS_1#配电所2#_80_1495")</f>
        <v>BUS_1#配电所2#_80_1495</v>
      </c>
      <c r="G19" s="105" t="str">
        <f>IF(0 = 0, "3", "1")</f>
        <v>3</v>
      </c>
      <c r="H19" s="105" t="str">
        <f>IF(0 = 0, "N", "Y")</f>
        <v>N</v>
      </c>
      <c r="I19" s="105" t="str">
        <f>IF(0 = 0, CHOOSE((0+1), "Shell", "3 Limb","4 Limb","5 Limb","3 1-Phase"), IF(0 = 1,CHOOSE((0+1), "Shell", "Core"),"--"))</f>
        <v>Shell</v>
      </c>
      <c r="J19" s="242">
        <f xml:space="preserve"> IF(65 = 65, 65, CONCATENATE(65, "/", 65))</f>
        <v>65</v>
      </c>
      <c r="K19" s="275">
        <f>CHOOSE((0 + 1), 50 / 1000,50, 50 * 1000)</f>
        <v>0.05</v>
      </c>
      <c r="L19" s="276" t="str">
        <f>CHOOSE((0 + 1), "MVA", "kVA", "VA")</f>
        <v>MVA</v>
      </c>
      <c r="M19" s="277">
        <f xml:space="preserve"> 50</f>
        <v>50</v>
      </c>
      <c r="N19" s="277" t="str">
        <f>IF(0 = 4,CHOOSE((0 + 1), 0 / 1000,0, 0 * 1000),"--")</f>
        <v>--</v>
      </c>
      <c r="O19" s="277" t="str">
        <f>IF(0 = 4,CHOOSE((0 + 1), 0 / 1000,0, 0 * 1000),"--")</f>
        <v>--</v>
      </c>
      <c r="P19" s="277" t="str">
        <f>IF(0 = 4,CHOOSE((0 + 1), 0 / 1000,0, 0 * 1000),"--")</f>
        <v>--</v>
      </c>
      <c r="Q19" s="278">
        <f>ROUND(10, 3)</f>
        <v>10</v>
      </c>
      <c r="R19" s="268" t="s">
        <v>847</v>
      </c>
      <c r="S19" s="242">
        <f>IF(10 &gt; 0, IF(0=1, ROUND((50/10), 1),ROUND((50/(SQRT(3)*10)), 1)), "")</f>
        <v>2.9</v>
      </c>
      <c r="T19" s="278">
        <f>ROUND(0.400000006, 3)</f>
        <v>0.4</v>
      </c>
      <c r="U19" s="276" t="s">
        <v>847</v>
      </c>
      <c r="V19" s="242">
        <f>IF(0.400000006 &gt; 0, IF(0=1, ROUND((50/0.400000006), 1),ROUND((50/(SQRT(3)*0.400000006)), 1)), "")</f>
        <v>72.2</v>
      </c>
      <c r="W19" s="278">
        <f>ROUND(10, 1)</f>
        <v>10</v>
      </c>
      <c r="X19" s="276" t="s">
        <v>850</v>
      </c>
      <c r="Y19" s="260">
        <f>ROUND(20, 1)</f>
        <v>20</v>
      </c>
      <c r="Z19" s="278">
        <f>ROUND(10, 1)</f>
        <v>10</v>
      </c>
      <c r="AA19" s="268" t="s">
        <v>850</v>
      </c>
      <c r="AB19" s="260">
        <f>ROUND(20, 1)</f>
        <v>20</v>
      </c>
      <c r="AC19" s="260">
        <f>ROUND(0, 3)</f>
        <v>0</v>
      </c>
      <c r="AD19" s="260">
        <f>ROUND(0, 3)</f>
        <v>0</v>
      </c>
      <c r="AE19" s="260">
        <f>ROUND(0, 3)</f>
        <v>0</v>
      </c>
      <c r="AF19" s="260">
        <f>ROUND(0, 3)</f>
        <v>0</v>
      </c>
      <c r="AG19" s="260">
        <f>ROUND(0, 3)</f>
        <v>0</v>
      </c>
      <c r="AH19" s="260">
        <f>ROUND(0, 3)</f>
        <v>0</v>
      </c>
      <c r="AI19" s="260" t="str">
        <f>FIXED(0,1)</f>
        <v>0.0</v>
      </c>
      <c r="AJ19" s="260" t="str">
        <f>FIXED(0,1)</f>
        <v>0.0</v>
      </c>
      <c r="AK19" s="260" t="str">
        <f>IF(0=1, "Yes", "No")</f>
        <v>No</v>
      </c>
      <c r="AL19" s="242" t="str">
        <f>IF(0=1, ROUND(-10, 1), "--")</f>
        <v>--</v>
      </c>
      <c r="AM19" s="260" t="str">
        <f>IF(0=1, ROUND(10, 1), "--")</f>
        <v>--</v>
      </c>
      <c r="AN19" s="260" t="str">
        <f>IF(0=1, ROUND(0.625, 3), "--")</f>
        <v>--</v>
      </c>
      <c r="AO19" s="260" t="str">
        <f>IF(0=1, "3537", "--")</f>
        <v>--</v>
      </c>
      <c r="AP19" s="260" t="str">
        <f>IF(0=1, ROUND(100, 1), "--")</f>
        <v>--</v>
      </c>
      <c r="AQ19" s="260" t="str">
        <f>IF(0=1, "Yes", "No")</f>
        <v>No</v>
      </c>
      <c r="AR19" s="260" t="str">
        <f>IF(0=1, ROUND(-10, 1), "--")</f>
        <v>--</v>
      </c>
      <c r="AS19" s="260" t="str">
        <f>IF(0=1, ROUND(10, 1), "--")</f>
        <v>--</v>
      </c>
      <c r="AT19" s="260" t="str">
        <f>IF(0=1, ROUND(0.625, 1), "--")</f>
        <v>--</v>
      </c>
      <c r="AU19" s="260" t="str">
        <f>IF(0=1, "3537", "--")</f>
        <v>--</v>
      </c>
      <c r="AV19" s="260" t="str">
        <f>IF(0=1, ROUND(100, 1), "--")</f>
        <v>--</v>
      </c>
      <c r="AW19" s="242" t="str">
        <f>IF(0 = 0, IF(1=0, "Y", "Δ"),"--")</f>
        <v>Δ</v>
      </c>
      <c r="AX19" s="242" t="str">
        <f>IF(1=1, "--", CHOOSE((1 + 1), "Open", "Solid", "Resistor", "Reactor", "Xfmr-Resistor", "Xfmr-Reactor"))</f>
        <v>--</v>
      </c>
      <c r="AY19" s="242" t="str">
        <f>IF(0 = 0, IF(0=0,  "Y", "Δ"),IF(1=0,  "Ungrounded", "Grounded"))</f>
        <v>Y</v>
      </c>
      <c r="AZ19" s="242" t="str">
        <f>IF(0 = 0,IF(0=1, "--", CHOOSE((1 + 1), "Open", "Solid", "Resistor", "Reactor", "Xfmr-Resistor", "Xfmr-Reactor"))," ")</f>
        <v>Solid</v>
      </c>
      <c r="BA19" s="242" t="str">
        <f>IF(0 = 0, "ANSI", "IEC")</f>
        <v>ANSI</v>
      </c>
      <c r="BB19" s="242" t="str">
        <f>IF(0 = 1, "--",  CHOOSE((2 + 1), "Infrequent","Frequent","Both"))</f>
        <v>Both</v>
      </c>
      <c r="BC19" s="242" t="str">
        <f>IF(0 = 1, "--", IF(1=1, "Yes", "No"))</f>
        <v>Yes</v>
      </c>
      <c r="BD19" s="242">
        <f>IF(0 = 1, "--", ROUND(1, 2))</f>
        <v>1</v>
      </c>
      <c r="BE19" s="242" t="str">
        <f>CHOOSE((0+1), "Point", "Curve - Piecewise", "Curve - Equation")</f>
        <v>Point</v>
      </c>
      <c r="BF19" s="242">
        <f>ROUND(8, 1)</f>
        <v>8</v>
      </c>
      <c r="BG19" s="242">
        <f>IF(0=2,ROUND(60, 1),ROUND(6, 1))</f>
        <v>6</v>
      </c>
      <c r="BH19" s="242">
        <v>0</v>
      </c>
      <c r="BI19" s="260" t="s">
        <v>6327</v>
      </c>
      <c r="BJ19" s="260">
        <f>ROUND(1,2)</f>
        <v>1</v>
      </c>
      <c r="BK19" s="260"/>
      <c r="BL19" s="260"/>
      <c r="BM19" s="260"/>
      <c r="BN19" s="260"/>
      <c r="BO19" s="260"/>
      <c r="BP19" s="53" t="s">
        <v>6344</v>
      </c>
    </row>
    <row r="20" spans="1:68" s="85" customFormat="1">
      <c r="A20" s="105" t="s">
        <v>6345</v>
      </c>
      <c r="B20" s="105" t="str">
        <f>IF(TRUE = TRUE, "Yes", "No")</f>
        <v>Yes</v>
      </c>
      <c r="C20" s="105" t="s">
        <v>5202</v>
      </c>
      <c r="D20" s="105"/>
      <c r="E20" s="105" t="str">
        <f>IF(TRIM( "BUS_元居1#配电所母线1_216") = "", "BUS_元居1#配电所母线1_216", "BUS_元居1#配电所母线1_216")</f>
        <v>BUS_元居1#配电所母线1_216</v>
      </c>
      <c r="F20" s="105" t="str">
        <f>IF(TRIM( "BUS_1#配电所3#_80_1485") = "","BUS_1#配电所3#_80_1485","BUS_1#配电所3#_80_1485")</f>
        <v>BUS_1#配电所3#_80_1485</v>
      </c>
      <c r="G20" s="105" t="str">
        <f>IF(0 = 0, "3", "1")</f>
        <v>3</v>
      </c>
      <c r="H20" s="105" t="str">
        <f>IF(0 = 0, "N", "Y")</f>
        <v>N</v>
      </c>
      <c r="I20" s="105" t="str">
        <f>IF(0 = 0, CHOOSE((0+1), "Shell", "3 Limb","4 Limb","5 Limb","3 1-Phase"), IF(0 = 1,CHOOSE((0+1), "Shell", "Core"),"--"))</f>
        <v>Shell</v>
      </c>
      <c r="J20" s="242">
        <f xml:space="preserve"> IF(65 = 65, 65, CONCATENATE(65, "/", 65))</f>
        <v>65</v>
      </c>
      <c r="K20" s="275">
        <f>CHOOSE((0 + 1), 50 / 1000,50, 50 * 1000)</f>
        <v>0.05</v>
      </c>
      <c r="L20" s="276" t="str">
        <f>CHOOSE((0 + 1), "MVA", "kVA", "VA")</f>
        <v>MVA</v>
      </c>
      <c r="M20" s="277">
        <f xml:space="preserve"> 50</f>
        <v>50</v>
      </c>
      <c r="N20" s="277" t="str">
        <f>IF(0 = 4,CHOOSE((0 + 1), 0 / 1000,0, 0 * 1000),"--")</f>
        <v>--</v>
      </c>
      <c r="O20" s="277" t="str">
        <f>IF(0 = 4,CHOOSE((0 + 1), 0 / 1000,0, 0 * 1000),"--")</f>
        <v>--</v>
      </c>
      <c r="P20" s="277" t="str">
        <f>IF(0 = 4,CHOOSE((0 + 1), 0 / 1000,0, 0 * 1000),"--")</f>
        <v>--</v>
      </c>
      <c r="Q20" s="278">
        <f>ROUND(10, 3)</f>
        <v>10</v>
      </c>
      <c r="R20" s="268" t="s">
        <v>847</v>
      </c>
      <c r="S20" s="242">
        <f>IF(10 &gt; 0, IF(0=1, ROUND((50/10), 1),ROUND((50/(SQRT(3)*10)), 1)), "")</f>
        <v>2.9</v>
      </c>
      <c r="T20" s="278">
        <f>ROUND(0.400000006, 3)</f>
        <v>0.4</v>
      </c>
      <c r="U20" s="276" t="s">
        <v>847</v>
      </c>
      <c r="V20" s="242">
        <f>IF(0.400000006 &gt; 0, IF(0=1, ROUND((50/0.400000006), 1),ROUND((50/(SQRT(3)*0.400000006)), 1)), "")</f>
        <v>72.2</v>
      </c>
      <c r="W20" s="278">
        <f>ROUND(10, 1)</f>
        <v>10</v>
      </c>
      <c r="X20" s="276" t="s">
        <v>850</v>
      </c>
      <c r="Y20" s="260">
        <f>ROUND(20, 1)</f>
        <v>20</v>
      </c>
      <c r="Z20" s="278">
        <f>ROUND(10, 1)</f>
        <v>10</v>
      </c>
      <c r="AA20" s="268" t="s">
        <v>850</v>
      </c>
      <c r="AB20" s="260">
        <f>ROUND(20, 1)</f>
        <v>20</v>
      </c>
      <c r="AC20" s="260">
        <f>ROUND(0, 3)</f>
        <v>0</v>
      </c>
      <c r="AD20" s="260">
        <f>ROUND(0, 3)</f>
        <v>0</v>
      </c>
      <c r="AE20" s="260">
        <f>ROUND(0, 3)</f>
        <v>0</v>
      </c>
      <c r="AF20" s="260">
        <f>ROUND(0, 3)</f>
        <v>0</v>
      </c>
      <c r="AG20" s="260">
        <f>ROUND(0, 3)</f>
        <v>0</v>
      </c>
      <c r="AH20" s="260">
        <f>ROUND(0, 3)</f>
        <v>0</v>
      </c>
      <c r="AI20" s="260" t="str">
        <f>FIXED(0,1)</f>
        <v>0.0</v>
      </c>
      <c r="AJ20" s="260" t="str">
        <f>FIXED(0,1)</f>
        <v>0.0</v>
      </c>
      <c r="AK20" s="260" t="str">
        <f>IF(0=1, "Yes", "No")</f>
        <v>No</v>
      </c>
      <c r="AL20" s="242" t="str">
        <f>IF(0=1, ROUND(-10, 1), "--")</f>
        <v>--</v>
      </c>
      <c r="AM20" s="260" t="str">
        <f>IF(0=1, ROUND(10, 1), "--")</f>
        <v>--</v>
      </c>
      <c r="AN20" s="260" t="str">
        <f>IF(0=1, ROUND(0.625, 3), "--")</f>
        <v>--</v>
      </c>
      <c r="AO20" s="260" t="str">
        <f>IF(0=1, "3509", "--")</f>
        <v>--</v>
      </c>
      <c r="AP20" s="260" t="str">
        <f>IF(0=1, ROUND(100, 1), "--")</f>
        <v>--</v>
      </c>
      <c r="AQ20" s="260" t="str">
        <f>IF(0=1, "Yes", "No")</f>
        <v>No</v>
      </c>
      <c r="AR20" s="260" t="str">
        <f>IF(0=1, ROUND(-10, 1), "--")</f>
        <v>--</v>
      </c>
      <c r="AS20" s="260" t="str">
        <f>IF(0=1, ROUND(10, 1), "--")</f>
        <v>--</v>
      </c>
      <c r="AT20" s="260" t="str">
        <f>IF(0=1, ROUND(0.625, 1), "--")</f>
        <v>--</v>
      </c>
      <c r="AU20" s="260" t="str">
        <f>IF(0=1, "3509", "--")</f>
        <v>--</v>
      </c>
      <c r="AV20" s="260" t="str">
        <f>IF(0=1, ROUND(100, 1), "--")</f>
        <v>--</v>
      </c>
      <c r="AW20" s="242" t="str">
        <f>IF(0 = 0, IF(1=0, "Y", "Δ"),"--")</f>
        <v>Δ</v>
      </c>
      <c r="AX20" s="242" t="str">
        <f>IF(1=1, "--", CHOOSE((1 + 1), "Open", "Solid", "Resistor", "Reactor", "Xfmr-Resistor", "Xfmr-Reactor"))</f>
        <v>--</v>
      </c>
      <c r="AY20" s="242" t="str">
        <f>IF(0 = 0, IF(0=0,  "Y", "Δ"),IF(1=0,  "Ungrounded", "Grounded"))</f>
        <v>Y</v>
      </c>
      <c r="AZ20" s="242" t="str">
        <f>IF(0 = 0,IF(0=1, "--", CHOOSE((1 + 1), "Open", "Solid", "Resistor", "Reactor", "Xfmr-Resistor", "Xfmr-Reactor"))," ")</f>
        <v>Solid</v>
      </c>
      <c r="BA20" s="242" t="str">
        <f>IF(0 = 0, "ANSI", "IEC")</f>
        <v>ANSI</v>
      </c>
      <c r="BB20" s="242" t="str">
        <f>IF(0 = 1, "--",  CHOOSE((2 + 1), "Infrequent","Frequent","Both"))</f>
        <v>Both</v>
      </c>
      <c r="BC20" s="242" t="str">
        <f>IF(0 = 1, "--", IF(1=1, "Yes", "No"))</f>
        <v>Yes</v>
      </c>
      <c r="BD20" s="242">
        <f>IF(0 = 1, "--", ROUND(1, 2))</f>
        <v>1</v>
      </c>
      <c r="BE20" s="242" t="str">
        <f>CHOOSE((0+1), "Point", "Curve - Piecewise", "Curve - Equation")</f>
        <v>Point</v>
      </c>
      <c r="BF20" s="242">
        <f>ROUND(8, 1)</f>
        <v>8</v>
      </c>
      <c r="BG20" s="242">
        <f>IF(0=2,ROUND(60, 1),ROUND(6, 1))</f>
        <v>6</v>
      </c>
      <c r="BH20" s="242">
        <v>0</v>
      </c>
      <c r="BI20" s="260" t="s">
        <v>6327</v>
      </c>
      <c r="BJ20" s="260">
        <f>ROUND(1,2)</f>
        <v>1</v>
      </c>
      <c r="BK20" s="260"/>
      <c r="BL20" s="260"/>
      <c r="BM20" s="260"/>
      <c r="BN20" s="260"/>
      <c r="BO20" s="260"/>
      <c r="BP20" s="53" t="s">
        <v>6346</v>
      </c>
    </row>
    <row r="21" spans="1:68" s="85" customFormat="1">
      <c r="A21" s="105" t="s">
        <v>6347</v>
      </c>
      <c r="B21" s="105" t="str">
        <f>IF(TRUE = TRUE, "Yes", "No")</f>
        <v>Yes</v>
      </c>
      <c r="C21" s="105" t="s">
        <v>5202</v>
      </c>
      <c r="D21" s="105"/>
      <c r="E21" s="105" t="str">
        <f>IF(TRIM( "BUS_元居1#配电所母线3_215") = "", "BUS_元居1#配电所母线3_215", "BUS_元居1#配电所母线3_215")</f>
        <v>BUS_元居1#配电所母线3_215</v>
      </c>
      <c r="F21" s="105" t="str">
        <f>IF(TRIM( "BUS_1#配电所4#_80_1497") = "","BUS_1#配电所4#_80_1497","BUS_1#配电所4#_80_1497")</f>
        <v>BUS_1#配电所4#_80_1497</v>
      </c>
      <c r="G21" s="105" t="str">
        <f>IF(0 = 0, "3", "1")</f>
        <v>3</v>
      </c>
      <c r="H21" s="105" t="str">
        <f>IF(0 = 0, "N", "Y")</f>
        <v>N</v>
      </c>
      <c r="I21" s="105" t="str">
        <f>IF(0 = 0, CHOOSE((0+1), "Shell", "3 Limb","4 Limb","5 Limb","3 1-Phase"), IF(0 = 1,CHOOSE((0+1), "Shell", "Core"),"--"))</f>
        <v>Shell</v>
      </c>
      <c r="J21" s="242">
        <f xml:space="preserve"> IF(65 = 65, 65, CONCATENATE(65, "/", 65))</f>
        <v>65</v>
      </c>
      <c r="K21" s="275">
        <f>CHOOSE((0 + 1), 50 / 1000,50, 50 * 1000)</f>
        <v>0.05</v>
      </c>
      <c r="L21" s="276" t="str">
        <f>CHOOSE((0 + 1), "MVA", "kVA", "VA")</f>
        <v>MVA</v>
      </c>
      <c r="M21" s="277">
        <f xml:space="preserve"> 50</f>
        <v>50</v>
      </c>
      <c r="N21" s="277" t="str">
        <f>IF(0 = 4,CHOOSE((0 + 1), 0 / 1000,0, 0 * 1000),"--")</f>
        <v>--</v>
      </c>
      <c r="O21" s="277" t="str">
        <f>IF(0 = 4,CHOOSE((0 + 1), 0 / 1000,0, 0 * 1000),"--")</f>
        <v>--</v>
      </c>
      <c r="P21" s="277" t="str">
        <f>IF(0 = 4,CHOOSE((0 + 1), 0 / 1000,0, 0 * 1000),"--")</f>
        <v>--</v>
      </c>
      <c r="Q21" s="278">
        <f>ROUND(10, 3)</f>
        <v>10</v>
      </c>
      <c r="R21" s="268" t="s">
        <v>847</v>
      </c>
      <c r="S21" s="242">
        <f>IF(10 &gt; 0, IF(0=1, ROUND((50/10), 1),ROUND((50/(SQRT(3)*10)), 1)), "")</f>
        <v>2.9</v>
      </c>
      <c r="T21" s="278">
        <f>ROUND(0.400000006, 3)</f>
        <v>0.4</v>
      </c>
      <c r="U21" s="276" t="s">
        <v>847</v>
      </c>
      <c r="V21" s="242">
        <f>IF(0.400000006 &gt; 0, IF(0=1, ROUND((50/0.400000006), 1),ROUND((50/(SQRT(3)*0.400000006)), 1)), "")</f>
        <v>72.2</v>
      </c>
      <c r="W21" s="278">
        <f>ROUND(10, 1)</f>
        <v>10</v>
      </c>
      <c r="X21" s="276" t="s">
        <v>850</v>
      </c>
      <c r="Y21" s="260">
        <f>ROUND(20, 1)</f>
        <v>20</v>
      </c>
      <c r="Z21" s="278">
        <f>ROUND(10, 1)</f>
        <v>10</v>
      </c>
      <c r="AA21" s="268" t="s">
        <v>850</v>
      </c>
      <c r="AB21" s="260">
        <f>ROUND(20, 1)</f>
        <v>20</v>
      </c>
      <c r="AC21" s="260">
        <f>ROUND(0, 3)</f>
        <v>0</v>
      </c>
      <c r="AD21" s="260">
        <f>ROUND(0, 3)</f>
        <v>0</v>
      </c>
      <c r="AE21" s="260">
        <f>ROUND(0, 3)</f>
        <v>0</v>
      </c>
      <c r="AF21" s="260">
        <f>ROUND(0, 3)</f>
        <v>0</v>
      </c>
      <c r="AG21" s="260">
        <f>ROUND(0, 3)</f>
        <v>0</v>
      </c>
      <c r="AH21" s="260">
        <f>ROUND(0, 3)</f>
        <v>0</v>
      </c>
      <c r="AI21" s="260" t="str">
        <f>FIXED(0,1)</f>
        <v>0.0</v>
      </c>
      <c r="AJ21" s="260" t="str">
        <f>FIXED(0,1)</f>
        <v>0.0</v>
      </c>
      <c r="AK21" s="260" t="str">
        <f>IF(0=1, "Yes", "No")</f>
        <v>No</v>
      </c>
      <c r="AL21" s="242" t="str">
        <f>IF(0=1, ROUND(-10, 1), "--")</f>
        <v>--</v>
      </c>
      <c r="AM21" s="260" t="str">
        <f>IF(0=1, ROUND(10, 1), "--")</f>
        <v>--</v>
      </c>
      <c r="AN21" s="260" t="str">
        <f>IF(0=1, ROUND(0.625, 3), "--")</f>
        <v>--</v>
      </c>
      <c r="AO21" s="260" t="str">
        <f>IF(0=1, "3539", "--")</f>
        <v>--</v>
      </c>
      <c r="AP21" s="260" t="str">
        <f>IF(0=1, ROUND(100, 1), "--")</f>
        <v>--</v>
      </c>
      <c r="AQ21" s="260" t="str">
        <f>IF(0=1, "Yes", "No")</f>
        <v>No</v>
      </c>
      <c r="AR21" s="260" t="str">
        <f>IF(0=1, ROUND(-10, 1), "--")</f>
        <v>--</v>
      </c>
      <c r="AS21" s="260" t="str">
        <f>IF(0=1, ROUND(10, 1), "--")</f>
        <v>--</v>
      </c>
      <c r="AT21" s="260" t="str">
        <f>IF(0=1, ROUND(0.625, 1), "--")</f>
        <v>--</v>
      </c>
      <c r="AU21" s="260" t="str">
        <f>IF(0=1, "3539", "--")</f>
        <v>--</v>
      </c>
      <c r="AV21" s="260" t="str">
        <f>IF(0=1, ROUND(100, 1), "--")</f>
        <v>--</v>
      </c>
      <c r="AW21" s="242" t="str">
        <f>IF(0 = 0, IF(1=0, "Y", "Δ"),"--")</f>
        <v>Δ</v>
      </c>
      <c r="AX21" s="242" t="str">
        <f>IF(1=1, "--", CHOOSE((1 + 1), "Open", "Solid", "Resistor", "Reactor", "Xfmr-Resistor", "Xfmr-Reactor"))</f>
        <v>--</v>
      </c>
      <c r="AY21" s="242" t="str">
        <f>IF(0 = 0, IF(0=0,  "Y", "Δ"),IF(1=0,  "Ungrounded", "Grounded"))</f>
        <v>Y</v>
      </c>
      <c r="AZ21" s="242" t="str">
        <f>IF(0 = 0,IF(0=1, "--", CHOOSE((1 + 1), "Open", "Solid", "Resistor", "Reactor", "Xfmr-Resistor", "Xfmr-Reactor"))," ")</f>
        <v>Solid</v>
      </c>
      <c r="BA21" s="242" t="str">
        <f>IF(0 = 0, "ANSI", "IEC")</f>
        <v>ANSI</v>
      </c>
      <c r="BB21" s="242" t="str">
        <f>IF(0 = 1, "--",  CHOOSE((2 + 1), "Infrequent","Frequent","Both"))</f>
        <v>Both</v>
      </c>
      <c r="BC21" s="242" t="str">
        <f>IF(0 = 1, "--", IF(1=1, "Yes", "No"))</f>
        <v>Yes</v>
      </c>
      <c r="BD21" s="242">
        <f>IF(0 = 1, "--", ROUND(1, 2))</f>
        <v>1</v>
      </c>
      <c r="BE21" s="242" t="str">
        <f>CHOOSE((0+1), "Point", "Curve - Piecewise", "Curve - Equation")</f>
        <v>Point</v>
      </c>
      <c r="BF21" s="242">
        <f>ROUND(8, 1)</f>
        <v>8</v>
      </c>
      <c r="BG21" s="242">
        <f>IF(0=2,ROUND(60, 1),ROUND(6, 1))</f>
        <v>6</v>
      </c>
      <c r="BH21" s="242">
        <v>0</v>
      </c>
      <c r="BI21" s="260" t="s">
        <v>6327</v>
      </c>
      <c r="BJ21" s="260">
        <f>ROUND(1,2)</f>
        <v>1</v>
      </c>
      <c r="BK21" s="260"/>
      <c r="BL21" s="260"/>
      <c r="BM21" s="260"/>
      <c r="BN21" s="260"/>
      <c r="BO21" s="260"/>
      <c r="BP21" s="53" t="s">
        <v>6348</v>
      </c>
    </row>
    <row r="22" spans="1:68" s="85" customFormat="1">
      <c r="A22" s="105" t="s">
        <v>6349</v>
      </c>
      <c r="B22" s="105" t="str">
        <f>IF(TRUE = TRUE, "Yes", "No")</f>
        <v>Yes</v>
      </c>
      <c r="C22" s="105" t="s">
        <v>5202</v>
      </c>
      <c r="D22" s="105"/>
      <c r="E22" s="105" t="str">
        <f>IF(TRIM( "BUS_CNODE_JCT__1443") = "", "BUS_CNODE_JCT__1443", "BUS_CNODE_JCT__1443")</f>
        <v>BUS_CNODE_JCT__1443</v>
      </c>
      <c r="F22" s="105" t="str">
        <f>IF(TRIM( "BUS_区1变_811_1511") = "","BUS_区1变_811_1511","BUS_区1变_811_1511")</f>
        <v>BUS_区1变_811_1511</v>
      </c>
      <c r="G22" s="105" t="str">
        <f>IF(0 = 0, "3", "1")</f>
        <v>3</v>
      </c>
      <c r="H22" s="105" t="str">
        <f>IF(0 = 0, "N", "Y")</f>
        <v>N</v>
      </c>
      <c r="I22" s="105" t="str">
        <f>IF(0 = 0, CHOOSE((0+1), "Shell", "3 Limb","4 Limb","5 Limb","3 1-Phase"), IF(0 = 1,CHOOSE((0+1), "Shell", "Core"),"--"))</f>
        <v>Shell</v>
      </c>
      <c r="J22" s="242">
        <f xml:space="preserve"> IF(65 = 65, 65, CONCATENATE(65, "/", 65))</f>
        <v>65</v>
      </c>
      <c r="K22" s="275">
        <f>CHOOSE((0 + 1), 50 / 1000,50, 50 * 1000)</f>
        <v>0.05</v>
      </c>
      <c r="L22" s="276" t="str">
        <f>CHOOSE((0 + 1), "MVA", "kVA", "VA")</f>
        <v>MVA</v>
      </c>
      <c r="M22" s="277">
        <f xml:space="preserve"> 50</f>
        <v>50</v>
      </c>
      <c r="N22" s="277" t="str">
        <f>IF(0 = 4,CHOOSE((0 + 1), 0 / 1000,0, 0 * 1000),"--")</f>
        <v>--</v>
      </c>
      <c r="O22" s="277" t="str">
        <f>IF(0 = 4,CHOOSE((0 + 1), 0 / 1000,0, 0 * 1000),"--")</f>
        <v>--</v>
      </c>
      <c r="P22" s="277" t="str">
        <f>IF(0 = 4,CHOOSE((0 + 1), 0 / 1000,0, 0 * 1000),"--")</f>
        <v>--</v>
      </c>
      <c r="Q22" s="278">
        <f>ROUND(10, 3)</f>
        <v>10</v>
      </c>
      <c r="R22" s="268" t="s">
        <v>847</v>
      </c>
      <c r="S22" s="242">
        <f>IF(10 &gt; 0, IF(0=1, ROUND((50/10), 1),ROUND((50/(SQRT(3)*10)), 1)), "")</f>
        <v>2.9</v>
      </c>
      <c r="T22" s="278">
        <f>ROUND(0.400000006, 3)</f>
        <v>0.4</v>
      </c>
      <c r="U22" s="276" t="s">
        <v>847</v>
      </c>
      <c r="V22" s="242">
        <f>IF(0.400000006 &gt; 0, IF(0=1, ROUND((50/0.400000006), 1),ROUND((50/(SQRT(3)*0.400000006)), 1)), "")</f>
        <v>72.2</v>
      </c>
      <c r="W22" s="278">
        <f>ROUND(10, 1)</f>
        <v>10</v>
      </c>
      <c r="X22" s="276" t="s">
        <v>850</v>
      </c>
      <c r="Y22" s="260">
        <f>ROUND(20, 1)</f>
        <v>20</v>
      </c>
      <c r="Z22" s="278">
        <f>ROUND(10, 1)</f>
        <v>10</v>
      </c>
      <c r="AA22" s="268" t="s">
        <v>850</v>
      </c>
      <c r="AB22" s="260">
        <f>ROUND(20, 1)</f>
        <v>20</v>
      </c>
      <c r="AC22" s="260">
        <f>ROUND(0, 3)</f>
        <v>0</v>
      </c>
      <c r="AD22" s="260">
        <f>ROUND(0, 3)</f>
        <v>0</v>
      </c>
      <c r="AE22" s="260">
        <f>ROUND(0, 3)</f>
        <v>0</v>
      </c>
      <c r="AF22" s="260">
        <f>ROUND(0, 3)</f>
        <v>0</v>
      </c>
      <c r="AG22" s="260">
        <f>ROUND(0, 3)</f>
        <v>0</v>
      </c>
      <c r="AH22" s="260">
        <f>ROUND(0, 3)</f>
        <v>0</v>
      </c>
      <c r="AI22" s="260" t="str">
        <f>FIXED(0,1)</f>
        <v>0.0</v>
      </c>
      <c r="AJ22" s="260" t="str">
        <f>FIXED(0,1)</f>
        <v>0.0</v>
      </c>
      <c r="AK22" s="260" t="str">
        <f>IF(0=1, "Yes", "No")</f>
        <v>No</v>
      </c>
      <c r="AL22" s="242" t="str">
        <f>IF(0=1, ROUND(-10, 1), "--")</f>
        <v>--</v>
      </c>
      <c r="AM22" s="260" t="str">
        <f>IF(0=1, ROUND(10, 1), "--")</f>
        <v>--</v>
      </c>
      <c r="AN22" s="260" t="str">
        <f>IF(0=1, ROUND(0.625, 3), "--")</f>
        <v>--</v>
      </c>
      <c r="AO22" s="260" t="str">
        <f>IF(0=1, "3571", "--")</f>
        <v>--</v>
      </c>
      <c r="AP22" s="260" t="str">
        <f>IF(0=1, ROUND(100, 1), "--")</f>
        <v>--</v>
      </c>
      <c r="AQ22" s="260" t="str">
        <f>IF(0=1, "Yes", "No")</f>
        <v>No</v>
      </c>
      <c r="AR22" s="260" t="str">
        <f>IF(0=1, ROUND(-10, 1), "--")</f>
        <v>--</v>
      </c>
      <c r="AS22" s="260" t="str">
        <f>IF(0=1, ROUND(10, 1), "--")</f>
        <v>--</v>
      </c>
      <c r="AT22" s="260" t="str">
        <f>IF(0=1, ROUND(0.625, 1), "--")</f>
        <v>--</v>
      </c>
      <c r="AU22" s="260" t="str">
        <f>IF(0=1, "3571", "--")</f>
        <v>--</v>
      </c>
      <c r="AV22" s="260" t="str">
        <f>IF(0=1, ROUND(100, 1), "--")</f>
        <v>--</v>
      </c>
      <c r="AW22" s="242" t="str">
        <f>IF(0 = 0, IF(1=0, "Y", "Δ"),"--")</f>
        <v>Δ</v>
      </c>
      <c r="AX22" s="242" t="str">
        <f>IF(1=1, "--", CHOOSE((1 + 1), "Open", "Solid", "Resistor", "Reactor", "Xfmr-Resistor", "Xfmr-Reactor"))</f>
        <v>--</v>
      </c>
      <c r="AY22" s="242" t="str">
        <f>IF(0 = 0, IF(0=0,  "Y", "Δ"),IF(1=0,  "Ungrounded", "Grounded"))</f>
        <v>Y</v>
      </c>
      <c r="AZ22" s="242" t="str">
        <f>IF(0 = 0,IF(0=1, "--", CHOOSE((1 + 1), "Open", "Solid", "Resistor", "Reactor", "Xfmr-Resistor", "Xfmr-Reactor"))," ")</f>
        <v>Solid</v>
      </c>
      <c r="BA22" s="242" t="str">
        <f>IF(0 = 0, "ANSI", "IEC")</f>
        <v>ANSI</v>
      </c>
      <c r="BB22" s="242" t="str">
        <f>IF(0 = 1, "--",  CHOOSE((2 + 1), "Infrequent","Frequent","Both"))</f>
        <v>Both</v>
      </c>
      <c r="BC22" s="242" t="str">
        <f>IF(0 = 1, "--", IF(1=1, "Yes", "No"))</f>
        <v>Yes</v>
      </c>
      <c r="BD22" s="242">
        <f>IF(0 = 1, "--", ROUND(1, 2))</f>
        <v>1</v>
      </c>
      <c r="BE22" s="242" t="str">
        <f>CHOOSE((0+1), "Point", "Curve - Piecewise", "Curve - Equation")</f>
        <v>Point</v>
      </c>
      <c r="BF22" s="242">
        <f>ROUND(8, 1)</f>
        <v>8</v>
      </c>
      <c r="BG22" s="242">
        <f>IF(0=2,ROUND(60, 1),ROUND(6, 1))</f>
        <v>6</v>
      </c>
      <c r="BH22" s="242">
        <v>0</v>
      </c>
      <c r="BI22" s="260" t="s">
        <v>6327</v>
      </c>
      <c r="BJ22" s="260">
        <f>ROUND(1,2)</f>
        <v>1</v>
      </c>
      <c r="BK22" s="260"/>
      <c r="BL22" s="260"/>
      <c r="BM22" s="260"/>
      <c r="BN22" s="260"/>
      <c r="BO22" s="260"/>
      <c r="BP22" s="53" t="s">
        <v>6350</v>
      </c>
    </row>
    <row r="23" spans="1:68">
      <c r="A23" s="105" t="s">
        <v>6351</v>
      </c>
      <c r="B23" s="105" t="str">
        <f>IF(TRUE = TRUE, "Yes", "No")</f>
        <v>Yes</v>
      </c>
      <c r="C23" s="105" t="s">
        <v>5202</v>
      </c>
      <c r="D23" s="105"/>
      <c r="E23" s="105" t="str">
        <f>IF(TRIM( "BUS_CNODE_JCT__1449") = "", "BUS_CNODE_JCT__1449", "BUS_CNODE_JCT__1449")</f>
        <v>BUS_CNODE_JCT__1449</v>
      </c>
      <c r="F23" s="105" t="str">
        <f>IF(TRIM( "BUS_区2变_817_1523") = "","BUS_区2变_817_1523","BUS_区2变_817_1523")</f>
        <v>BUS_区2变_817_1523</v>
      </c>
      <c r="G23" s="105" t="str">
        <f>IF(0 = 0, "3", "1")</f>
        <v>3</v>
      </c>
      <c r="H23" s="105" t="str">
        <f>IF(0 = 0, "N", "Y")</f>
        <v>N</v>
      </c>
      <c r="I23" s="105" t="str">
        <f>IF(0 = 0, CHOOSE((0+1), "Shell", "3 Limb","4 Limb","5 Limb","3 1-Phase"), IF(0 = 1,CHOOSE((0+1), "Shell", "Core"),"--"))</f>
        <v>Shell</v>
      </c>
      <c r="J23" s="242">
        <f xml:space="preserve"> IF(65 = 65, 65, CONCATENATE(65, "/", 65))</f>
        <v>65</v>
      </c>
      <c r="K23" s="275">
        <f>CHOOSE((0 + 1), 50 / 1000,50, 50 * 1000)</f>
        <v>0.05</v>
      </c>
      <c r="L23" s="276" t="str">
        <f>CHOOSE((0 + 1), "MVA", "kVA", "VA")</f>
        <v>MVA</v>
      </c>
      <c r="M23" s="277">
        <f xml:space="preserve"> 50</f>
        <v>50</v>
      </c>
      <c r="N23" s="277" t="str">
        <f>IF(0 = 4,CHOOSE((0 + 1), 0 / 1000,0, 0 * 1000),"--")</f>
        <v>--</v>
      </c>
      <c r="O23" s="277" t="str">
        <f>IF(0 = 4,CHOOSE((0 + 1), 0 / 1000,0, 0 * 1000),"--")</f>
        <v>--</v>
      </c>
      <c r="P23" s="277" t="str">
        <f>IF(0 = 4,CHOOSE((0 + 1), 0 / 1000,0, 0 * 1000),"--")</f>
        <v>--</v>
      </c>
      <c r="Q23" s="278">
        <f>ROUND(10, 3)</f>
        <v>10</v>
      </c>
      <c r="R23" s="268" t="s">
        <v>847</v>
      </c>
      <c r="S23" s="242">
        <f>IF(10 &gt; 0, IF(0=1, ROUND((50/10), 1),ROUND((50/(SQRT(3)*10)), 1)), "")</f>
        <v>2.9</v>
      </c>
      <c r="T23" s="278">
        <f>ROUND(0.400000006, 3)</f>
        <v>0.4</v>
      </c>
      <c r="U23" s="276" t="s">
        <v>847</v>
      </c>
      <c r="V23" s="242">
        <f>IF(0.400000006 &gt; 0, IF(0=1, ROUND((50/0.400000006), 1),ROUND((50/(SQRT(3)*0.400000006)), 1)), "")</f>
        <v>72.2</v>
      </c>
      <c r="W23" s="278">
        <f>ROUND(10, 1)</f>
        <v>10</v>
      </c>
      <c r="X23" s="276" t="s">
        <v>850</v>
      </c>
      <c r="Y23" s="260">
        <f>ROUND(20, 1)</f>
        <v>20</v>
      </c>
      <c r="Z23" s="278">
        <f>ROUND(10, 1)</f>
        <v>10</v>
      </c>
      <c r="AA23" s="268" t="s">
        <v>850</v>
      </c>
      <c r="AB23" s="260">
        <f>ROUND(20, 1)</f>
        <v>20</v>
      </c>
      <c r="AC23" s="260">
        <f>ROUND(0, 3)</f>
        <v>0</v>
      </c>
      <c r="AD23" s="260">
        <f>ROUND(0, 3)</f>
        <v>0</v>
      </c>
      <c r="AE23" s="260">
        <f>ROUND(0, 3)</f>
        <v>0</v>
      </c>
      <c r="AF23" s="260">
        <f>ROUND(0, 3)</f>
        <v>0</v>
      </c>
      <c r="AG23" s="260">
        <f>ROUND(0, 3)</f>
        <v>0</v>
      </c>
      <c r="AH23" s="260">
        <f>ROUND(0, 3)</f>
        <v>0</v>
      </c>
      <c r="AI23" s="260" t="str">
        <f>FIXED(0,1)</f>
        <v>0.0</v>
      </c>
      <c r="AJ23" s="260" t="str">
        <f>FIXED(0,1)</f>
        <v>0.0</v>
      </c>
      <c r="AK23" s="260" t="str">
        <f>IF(0=1, "Yes", "No")</f>
        <v>No</v>
      </c>
      <c r="AL23" s="242" t="str">
        <f>IF(0=1, ROUND(-10, 1), "--")</f>
        <v>--</v>
      </c>
      <c r="AM23" s="260" t="str">
        <f>IF(0=1, ROUND(10, 1), "--")</f>
        <v>--</v>
      </c>
      <c r="AN23" s="260" t="str">
        <f>IF(0=1, ROUND(0.625, 3), "--")</f>
        <v>--</v>
      </c>
      <c r="AO23" s="260" t="str">
        <f>IF(0=1, "3601", "--")</f>
        <v>--</v>
      </c>
      <c r="AP23" s="260" t="str">
        <f>IF(0=1, ROUND(100, 1), "--")</f>
        <v>--</v>
      </c>
      <c r="AQ23" s="260" t="str">
        <f>IF(0=1, "Yes", "No")</f>
        <v>No</v>
      </c>
      <c r="AR23" s="260" t="str">
        <f>IF(0=1, ROUND(-10, 1), "--")</f>
        <v>--</v>
      </c>
      <c r="AS23" s="260" t="str">
        <f>IF(0=1, ROUND(10, 1), "--")</f>
        <v>--</v>
      </c>
      <c r="AT23" s="260" t="str">
        <f>IF(0=1, ROUND(0.625, 1), "--")</f>
        <v>--</v>
      </c>
      <c r="AU23" s="260" t="str">
        <f>IF(0=1, "3601", "--")</f>
        <v>--</v>
      </c>
      <c r="AV23" s="260" t="str">
        <f>IF(0=1, ROUND(100, 1), "--")</f>
        <v>--</v>
      </c>
      <c r="AW23" s="242" t="str">
        <f>IF(0 = 0, IF(1=0, "Y", "Δ"),"--")</f>
        <v>Δ</v>
      </c>
      <c r="AX23" s="242" t="str">
        <f>IF(1=1, "--", CHOOSE((1 + 1), "Open", "Solid", "Resistor", "Reactor", "Xfmr-Resistor", "Xfmr-Reactor"))</f>
        <v>--</v>
      </c>
      <c r="AY23" s="242" t="str">
        <f>IF(0 = 0, IF(0=0,  "Y", "Δ"),IF(1=0,  "Ungrounded", "Grounded"))</f>
        <v>Y</v>
      </c>
      <c r="AZ23" s="242" t="str">
        <f>IF(0 = 0,IF(0=1, "--", CHOOSE((1 + 1), "Open", "Solid", "Resistor", "Reactor", "Xfmr-Resistor", "Xfmr-Reactor"))," ")</f>
        <v>Solid</v>
      </c>
      <c r="BA23" s="242" t="str">
        <f>IF(0 = 0, "ANSI", "IEC")</f>
        <v>ANSI</v>
      </c>
      <c r="BB23" s="242" t="str">
        <f>IF(0 = 1, "--",  CHOOSE((2 + 1), "Infrequent","Frequent","Both"))</f>
        <v>Both</v>
      </c>
      <c r="BC23" s="242" t="str">
        <f>IF(0 = 1, "--", IF(1=1, "Yes", "No"))</f>
        <v>Yes</v>
      </c>
      <c r="BD23" s="242">
        <f>IF(0 = 1, "--", ROUND(1, 2))</f>
        <v>1</v>
      </c>
      <c r="BE23" s="242" t="str">
        <f>CHOOSE((0+1), "Point", "Curve - Piecewise", "Curve - Equation")</f>
        <v>Point</v>
      </c>
      <c r="BF23" s="242">
        <f>ROUND(8, 1)</f>
        <v>8</v>
      </c>
      <c r="BG23" s="242">
        <f>IF(0=2,ROUND(60, 1),ROUND(6, 1))</f>
        <v>6</v>
      </c>
      <c r="BH23" s="242">
        <v>0</v>
      </c>
      <c r="BI23" s="260" t="s">
        <v>6327</v>
      </c>
      <c r="BJ23" s="260">
        <f>ROUND(1,2)</f>
        <v>1</v>
      </c>
      <c r="BK23" s="260"/>
      <c r="BL23" s="260"/>
      <c r="BM23" s="260"/>
      <c r="BN23" s="260"/>
      <c r="BO23" s="260"/>
      <c r="BP23" s="53" t="s">
        <v>6352</v>
      </c>
    </row>
    <row r="24" spans="1:68">
      <c r="A24" s="105" t="s">
        <v>6353</v>
      </c>
      <c r="B24" s="105" t="str">
        <f>IF(TRUE = TRUE, "Yes", "No")</f>
        <v>Yes</v>
      </c>
      <c r="C24" s="105" t="s">
        <v>5202</v>
      </c>
      <c r="D24" s="105"/>
      <c r="E24" s="105" t="str">
        <f>IF(TRIM( "BUS_CNODE_JCT__1437") = "", "BUS_CNODE_JCT__1437", "BUS_CNODE_JCT__1437")</f>
        <v>BUS_CNODE_JCT__1437</v>
      </c>
      <c r="F24" s="105" t="str">
        <f>IF(TRIM( "BUS_苑#16变1变_80_1499") = "","BUS_苑#16变1变_80_1499","BUS_苑#16变1变_80_1499")</f>
        <v>BUS_苑#16变1变_80_1499</v>
      </c>
      <c r="G24" s="105" t="str">
        <f>IF(0 = 0, "3", "1")</f>
        <v>3</v>
      </c>
      <c r="H24" s="105" t="str">
        <f>IF(0 = 0, "N", "Y")</f>
        <v>N</v>
      </c>
      <c r="I24" s="105" t="str">
        <f>IF(0 = 0, CHOOSE((0+1), "Shell", "3 Limb","4 Limb","5 Limb","3 1-Phase"), IF(0 = 1,CHOOSE((0+1), "Shell", "Core"),"--"))</f>
        <v>Shell</v>
      </c>
      <c r="J24" s="242">
        <f xml:space="preserve"> IF(65 = 65, 65, CONCATENATE(65, "/", 65))</f>
        <v>65</v>
      </c>
      <c r="K24" s="275">
        <f>CHOOSE((0 + 1), 50 / 1000,50, 50 * 1000)</f>
        <v>0.05</v>
      </c>
      <c r="L24" s="276" t="str">
        <f>CHOOSE((0 + 1), "MVA", "kVA", "VA")</f>
        <v>MVA</v>
      </c>
      <c r="M24" s="277">
        <f xml:space="preserve"> 50</f>
        <v>50</v>
      </c>
      <c r="N24" s="277" t="str">
        <f>IF(0 = 4,CHOOSE((0 + 1), 0 / 1000,0, 0 * 1000),"--")</f>
        <v>--</v>
      </c>
      <c r="O24" s="277" t="str">
        <f>IF(0 = 4,CHOOSE((0 + 1), 0 / 1000,0, 0 * 1000),"--")</f>
        <v>--</v>
      </c>
      <c r="P24" s="277" t="str">
        <f>IF(0 = 4,CHOOSE((0 + 1), 0 / 1000,0, 0 * 1000),"--")</f>
        <v>--</v>
      </c>
      <c r="Q24" s="278">
        <f>ROUND(10, 3)</f>
        <v>10</v>
      </c>
      <c r="R24" s="268" t="s">
        <v>847</v>
      </c>
      <c r="S24" s="242">
        <f>IF(10 &gt; 0, IF(0=1, ROUND((50/10), 1),ROUND((50/(SQRT(3)*10)), 1)), "")</f>
        <v>2.9</v>
      </c>
      <c r="T24" s="278">
        <f>ROUND(0.400000006, 3)</f>
        <v>0.4</v>
      </c>
      <c r="U24" s="276" t="s">
        <v>847</v>
      </c>
      <c r="V24" s="242">
        <f>IF(0.400000006 &gt; 0, IF(0=1, ROUND((50/0.400000006), 1),ROUND((50/(SQRT(3)*0.400000006)), 1)), "")</f>
        <v>72.2</v>
      </c>
      <c r="W24" s="278">
        <f>ROUND(10, 1)</f>
        <v>10</v>
      </c>
      <c r="X24" s="276" t="s">
        <v>850</v>
      </c>
      <c r="Y24" s="260">
        <f>ROUND(20, 1)</f>
        <v>20</v>
      </c>
      <c r="Z24" s="278">
        <f>ROUND(10, 1)</f>
        <v>10</v>
      </c>
      <c r="AA24" s="268" t="s">
        <v>850</v>
      </c>
      <c r="AB24" s="260">
        <f>ROUND(20, 1)</f>
        <v>20</v>
      </c>
      <c r="AC24" s="260">
        <f>ROUND(0, 3)</f>
        <v>0</v>
      </c>
      <c r="AD24" s="260">
        <f>ROUND(0, 3)</f>
        <v>0</v>
      </c>
      <c r="AE24" s="260">
        <f>ROUND(0, 3)</f>
        <v>0</v>
      </c>
      <c r="AF24" s="260">
        <f>ROUND(0, 3)</f>
        <v>0</v>
      </c>
      <c r="AG24" s="260">
        <f>ROUND(0, 3)</f>
        <v>0</v>
      </c>
      <c r="AH24" s="260">
        <f>ROUND(0, 3)</f>
        <v>0</v>
      </c>
      <c r="AI24" s="260" t="str">
        <f>FIXED(0,1)</f>
        <v>0.0</v>
      </c>
      <c r="AJ24" s="260" t="str">
        <f>FIXED(0,1)</f>
        <v>0.0</v>
      </c>
      <c r="AK24" s="260" t="str">
        <f>IF(0=1, "Yes", "No")</f>
        <v>No</v>
      </c>
      <c r="AL24" s="242" t="str">
        <f>IF(0=1, ROUND(-10, 1), "--")</f>
        <v>--</v>
      </c>
      <c r="AM24" s="260" t="str">
        <f>IF(0=1, ROUND(10, 1), "--")</f>
        <v>--</v>
      </c>
      <c r="AN24" s="260" t="str">
        <f>IF(0=1, ROUND(0.625, 3), "--")</f>
        <v>--</v>
      </c>
      <c r="AO24" s="260" t="str">
        <f>IF(0=1, "3541", "--")</f>
        <v>--</v>
      </c>
      <c r="AP24" s="260" t="str">
        <f>IF(0=1, ROUND(100, 1), "--")</f>
        <v>--</v>
      </c>
      <c r="AQ24" s="260" t="str">
        <f>IF(0=1, "Yes", "No")</f>
        <v>No</v>
      </c>
      <c r="AR24" s="260" t="str">
        <f>IF(0=1, ROUND(-10, 1), "--")</f>
        <v>--</v>
      </c>
      <c r="AS24" s="260" t="str">
        <f>IF(0=1, ROUND(10, 1), "--")</f>
        <v>--</v>
      </c>
      <c r="AT24" s="260" t="str">
        <f>IF(0=1, ROUND(0.625, 1), "--")</f>
        <v>--</v>
      </c>
      <c r="AU24" s="260" t="str">
        <f>IF(0=1, "3541", "--")</f>
        <v>--</v>
      </c>
      <c r="AV24" s="260" t="str">
        <f>IF(0=1, ROUND(100, 1), "--")</f>
        <v>--</v>
      </c>
      <c r="AW24" s="242" t="str">
        <f>IF(0 = 0, IF(1=0, "Y", "Δ"),"--")</f>
        <v>Δ</v>
      </c>
      <c r="AX24" s="242" t="str">
        <f>IF(1=1, "--", CHOOSE((1 + 1), "Open", "Solid", "Resistor", "Reactor", "Xfmr-Resistor", "Xfmr-Reactor"))</f>
        <v>--</v>
      </c>
      <c r="AY24" s="242" t="str">
        <f>IF(0 = 0, IF(0=0,  "Y", "Δ"),IF(1=0,  "Ungrounded", "Grounded"))</f>
        <v>Y</v>
      </c>
      <c r="AZ24" s="242" t="str">
        <f>IF(0 = 0,IF(0=1, "--", CHOOSE((1 + 1), "Open", "Solid", "Resistor", "Reactor", "Xfmr-Resistor", "Xfmr-Reactor"))," ")</f>
        <v>Solid</v>
      </c>
      <c r="BA24" s="242" t="str">
        <f>IF(0 = 0, "ANSI", "IEC")</f>
        <v>ANSI</v>
      </c>
      <c r="BB24" s="242" t="str">
        <f>IF(0 = 1, "--",  CHOOSE((2 + 1), "Infrequent","Frequent","Both"))</f>
        <v>Both</v>
      </c>
      <c r="BC24" s="242" t="str">
        <f>IF(0 = 1, "--", IF(1=1, "Yes", "No"))</f>
        <v>Yes</v>
      </c>
      <c r="BD24" s="242">
        <f>IF(0 = 1, "--", ROUND(1, 2))</f>
        <v>1</v>
      </c>
      <c r="BE24" s="242" t="str">
        <f>CHOOSE((0+1), "Point", "Curve - Piecewise", "Curve - Equation")</f>
        <v>Point</v>
      </c>
      <c r="BF24" s="242">
        <f>ROUND(8, 1)</f>
        <v>8</v>
      </c>
      <c r="BG24" s="242">
        <f>IF(0=2,ROUND(60, 1),ROUND(6, 1))</f>
        <v>6</v>
      </c>
      <c r="BH24" s="242">
        <v>0</v>
      </c>
      <c r="BI24" s="260" t="s">
        <v>6327</v>
      </c>
      <c r="BJ24" s="260">
        <f>ROUND(1,2)</f>
        <v>1</v>
      </c>
      <c r="BK24" s="260"/>
      <c r="BL24" s="260"/>
      <c r="BM24" s="260"/>
      <c r="BN24" s="260"/>
      <c r="BO24" s="260"/>
      <c r="BP24" s="53" t="s">
        <v>6354</v>
      </c>
    </row>
    <row r="25" spans="1:68">
      <c r="A25" s="105" t="s">
        <v>6355</v>
      </c>
      <c r="B25" s="105" t="str">
        <f>IF(TRUE = TRUE, "Yes", "No")</f>
        <v>Yes</v>
      </c>
      <c r="C25" s="105" t="s">
        <v>5202</v>
      </c>
      <c r="D25" s="105"/>
      <c r="E25" s="105" t="str">
        <f>IF(TRIM( "BUS_CNODE_JCT__1438") = "", "BUS_CNODE_JCT__1438", "BUS_CNODE_JCT__1438")</f>
        <v>BUS_CNODE_JCT__1438</v>
      </c>
      <c r="F25" s="105" t="str">
        <f>IF(TRIM( "BUS_苑#16变2变_80_1501") = "","BUS_苑#16变2变_80_1501","BUS_苑#16变2变_80_1501")</f>
        <v>BUS_苑#16变2变_80_1501</v>
      </c>
      <c r="G25" s="105" t="str">
        <f>IF(0 = 0, "3", "1")</f>
        <v>3</v>
      </c>
      <c r="H25" s="105" t="str">
        <f>IF(0 = 0, "N", "Y")</f>
        <v>N</v>
      </c>
      <c r="I25" s="105" t="str">
        <f>IF(0 = 0, CHOOSE((0+1), "Shell", "3 Limb","4 Limb","5 Limb","3 1-Phase"), IF(0 = 1,CHOOSE((0+1), "Shell", "Core"),"--"))</f>
        <v>Shell</v>
      </c>
      <c r="J25" s="242">
        <f xml:space="preserve"> IF(65 = 65, 65, CONCATENATE(65, "/", 65))</f>
        <v>65</v>
      </c>
      <c r="K25" s="275">
        <f>CHOOSE((0 + 1), 50 / 1000,50, 50 * 1000)</f>
        <v>0.05</v>
      </c>
      <c r="L25" s="276" t="str">
        <f>CHOOSE((0 + 1), "MVA", "kVA", "VA")</f>
        <v>MVA</v>
      </c>
      <c r="M25" s="277">
        <f xml:space="preserve"> 50</f>
        <v>50</v>
      </c>
      <c r="N25" s="277" t="str">
        <f>IF(0 = 4,CHOOSE((0 + 1), 0 / 1000,0, 0 * 1000),"--")</f>
        <v>--</v>
      </c>
      <c r="O25" s="277" t="str">
        <f>IF(0 = 4,CHOOSE((0 + 1), 0 / 1000,0, 0 * 1000),"--")</f>
        <v>--</v>
      </c>
      <c r="P25" s="277" t="str">
        <f>IF(0 = 4,CHOOSE((0 + 1), 0 / 1000,0, 0 * 1000),"--")</f>
        <v>--</v>
      </c>
      <c r="Q25" s="278">
        <f>ROUND(10, 3)</f>
        <v>10</v>
      </c>
      <c r="R25" s="268" t="s">
        <v>847</v>
      </c>
      <c r="S25" s="242">
        <f>IF(10 &gt; 0, IF(0=1, ROUND((50/10), 1),ROUND((50/(SQRT(3)*10)), 1)), "")</f>
        <v>2.9</v>
      </c>
      <c r="T25" s="278">
        <f>ROUND(0.400000006, 3)</f>
        <v>0.4</v>
      </c>
      <c r="U25" s="276" t="s">
        <v>847</v>
      </c>
      <c r="V25" s="242">
        <f>IF(0.400000006 &gt; 0, IF(0=1, ROUND((50/0.400000006), 1),ROUND((50/(SQRT(3)*0.400000006)), 1)), "")</f>
        <v>72.2</v>
      </c>
      <c r="W25" s="278">
        <f>ROUND(10, 1)</f>
        <v>10</v>
      </c>
      <c r="X25" s="276" t="s">
        <v>850</v>
      </c>
      <c r="Y25" s="260">
        <f>ROUND(20, 1)</f>
        <v>20</v>
      </c>
      <c r="Z25" s="278">
        <f>ROUND(10, 1)</f>
        <v>10</v>
      </c>
      <c r="AA25" s="268" t="s">
        <v>850</v>
      </c>
      <c r="AB25" s="260">
        <f>ROUND(20, 1)</f>
        <v>20</v>
      </c>
      <c r="AC25" s="260">
        <f>ROUND(0, 3)</f>
        <v>0</v>
      </c>
      <c r="AD25" s="260">
        <f>ROUND(0, 3)</f>
        <v>0</v>
      </c>
      <c r="AE25" s="260">
        <f>ROUND(0, 3)</f>
        <v>0</v>
      </c>
      <c r="AF25" s="260">
        <f>ROUND(0, 3)</f>
        <v>0</v>
      </c>
      <c r="AG25" s="260">
        <f>ROUND(0, 3)</f>
        <v>0</v>
      </c>
      <c r="AH25" s="260">
        <f>ROUND(0, 3)</f>
        <v>0</v>
      </c>
      <c r="AI25" s="260" t="str">
        <f>FIXED(0,1)</f>
        <v>0.0</v>
      </c>
      <c r="AJ25" s="260" t="str">
        <f>FIXED(0,1)</f>
        <v>0.0</v>
      </c>
      <c r="AK25" s="260" t="str">
        <f>IF(0=1, "Yes", "No")</f>
        <v>No</v>
      </c>
      <c r="AL25" s="242" t="str">
        <f>IF(0=1, ROUND(-10, 1), "--")</f>
        <v>--</v>
      </c>
      <c r="AM25" s="260" t="str">
        <f>IF(0=1, ROUND(10, 1), "--")</f>
        <v>--</v>
      </c>
      <c r="AN25" s="260" t="str">
        <f>IF(0=1, ROUND(0.625, 3), "--")</f>
        <v>--</v>
      </c>
      <c r="AO25" s="260" t="str">
        <f>IF(0=1, "3543", "--")</f>
        <v>--</v>
      </c>
      <c r="AP25" s="260" t="str">
        <f>IF(0=1, ROUND(100, 1), "--")</f>
        <v>--</v>
      </c>
      <c r="AQ25" s="260" t="str">
        <f>IF(0=1, "Yes", "No")</f>
        <v>No</v>
      </c>
      <c r="AR25" s="260" t="str">
        <f>IF(0=1, ROUND(-10, 1), "--")</f>
        <v>--</v>
      </c>
      <c r="AS25" s="260" t="str">
        <f>IF(0=1, ROUND(10, 1), "--")</f>
        <v>--</v>
      </c>
      <c r="AT25" s="260" t="str">
        <f>IF(0=1, ROUND(0.625, 1), "--")</f>
        <v>--</v>
      </c>
      <c r="AU25" s="260" t="str">
        <f>IF(0=1, "3543", "--")</f>
        <v>--</v>
      </c>
      <c r="AV25" s="260" t="str">
        <f>IF(0=1, ROUND(100, 1), "--")</f>
        <v>--</v>
      </c>
      <c r="AW25" s="242" t="str">
        <f>IF(0 = 0, IF(1=0, "Y", "Δ"),"--")</f>
        <v>Δ</v>
      </c>
      <c r="AX25" s="242" t="str">
        <f>IF(1=1, "--", CHOOSE((1 + 1), "Open", "Solid", "Resistor", "Reactor", "Xfmr-Resistor", "Xfmr-Reactor"))</f>
        <v>--</v>
      </c>
      <c r="AY25" s="242" t="str">
        <f>IF(0 = 0, IF(0=0,  "Y", "Δ"),IF(1=0,  "Ungrounded", "Grounded"))</f>
        <v>Y</v>
      </c>
      <c r="AZ25" s="242" t="str">
        <f>IF(0 = 0,IF(0=1, "--", CHOOSE((1 + 1), "Open", "Solid", "Resistor", "Reactor", "Xfmr-Resistor", "Xfmr-Reactor"))," ")</f>
        <v>Solid</v>
      </c>
      <c r="BA25" s="242" t="str">
        <f>IF(0 = 0, "ANSI", "IEC")</f>
        <v>ANSI</v>
      </c>
      <c r="BB25" s="242" t="str">
        <f>IF(0 = 1, "--",  CHOOSE((2 + 1), "Infrequent","Frequent","Both"))</f>
        <v>Both</v>
      </c>
      <c r="BC25" s="242" t="str">
        <f>IF(0 = 1, "--", IF(1=1, "Yes", "No"))</f>
        <v>Yes</v>
      </c>
      <c r="BD25" s="242">
        <f>IF(0 = 1, "--", ROUND(1, 2))</f>
        <v>1</v>
      </c>
      <c r="BE25" s="242" t="str">
        <f>CHOOSE((0+1), "Point", "Curve - Piecewise", "Curve - Equation")</f>
        <v>Point</v>
      </c>
      <c r="BF25" s="242">
        <f>ROUND(8, 1)</f>
        <v>8</v>
      </c>
      <c r="BG25" s="242">
        <f>IF(0=2,ROUND(60, 1),ROUND(6, 1))</f>
        <v>6</v>
      </c>
      <c r="BH25" s="242">
        <v>0</v>
      </c>
      <c r="BI25" s="260" t="s">
        <v>6327</v>
      </c>
      <c r="BJ25" s="260">
        <f>ROUND(1,2)</f>
        <v>1</v>
      </c>
      <c r="BK25" s="260"/>
      <c r="BL25" s="260"/>
      <c r="BM25" s="260"/>
      <c r="BN25" s="260"/>
      <c r="BO25" s="260"/>
      <c r="BP25" s="53" t="s">
        <v>6356</v>
      </c>
    </row>
    <row r="26" spans="1:68">
      <c r="A26" s="105" t="s">
        <v>6357</v>
      </c>
      <c r="B26" s="105" t="str">
        <f>IF(TRUE = TRUE, "Yes", "No")</f>
        <v>Yes</v>
      </c>
      <c r="C26" s="105" t="s">
        <v>5202</v>
      </c>
      <c r="D26" s="105"/>
      <c r="E26" s="105" t="str">
        <f>IF(TRIM( "BUS_CNODE_JCT__1441") = "", "BUS_CNODE_JCT__1441", "BUS_CNODE_JCT__1441")</f>
        <v>BUS_CNODE_JCT__1441</v>
      </c>
      <c r="F26" s="105" t="str">
        <f>IF(TRIM( "BUS_苑#17变1变_80_1507") = "","BUS_苑#17变1变_80_1507","BUS_苑#17变1变_80_1507")</f>
        <v>BUS_苑#17变1变_80_1507</v>
      </c>
      <c r="G26" s="105" t="str">
        <f>IF(0 = 0, "3", "1")</f>
        <v>3</v>
      </c>
      <c r="H26" s="105" t="str">
        <f>IF(0 = 0, "N", "Y")</f>
        <v>N</v>
      </c>
      <c r="I26" s="105" t="str">
        <f>IF(0 = 0, CHOOSE((0+1), "Shell", "3 Limb","4 Limb","5 Limb","3 1-Phase"), IF(0 = 1,CHOOSE((0+1), "Shell", "Core"),"--"))</f>
        <v>Shell</v>
      </c>
      <c r="J26" s="242">
        <f xml:space="preserve"> IF(65 = 65, 65, CONCATENATE(65, "/", 65))</f>
        <v>65</v>
      </c>
      <c r="K26" s="275">
        <f>CHOOSE((0 + 1), 50 / 1000,50, 50 * 1000)</f>
        <v>0.05</v>
      </c>
      <c r="L26" s="276" t="str">
        <f>CHOOSE((0 + 1), "MVA", "kVA", "VA")</f>
        <v>MVA</v>
      </c>
      <c r="M26" s="277">
        <f xml:space="preserve"> 50</f>
        <v>50</v>
      </c>
      <c r="N26" s="277" t="str">
        <f>IF(0 = 4,CHOOSE((0 + 1), 0 / 1000,0, 0 * 1000),"--")</f>
        <v>--</v>
      </c>
      <c r="O26" s="277" t="str">
        <f>IF(0 = 4,CHOOSE((0 + 1), 0 / 1000,0, 0 * 1000),"--")</f>
        <v>--</v>
      </c>
      <c r="P26" s="277" t="str">
        <f>IF(0 = 4,CHOOSE((0 + 1), 0 / 1000,0, 0 * 1000),"--")</f>
        <v>--</v>
      </c>
      <c r="Q26" s="278">
        <f>ROUND(10, 3)</f>
        <v>10</v>
      </c>
      <c r="R26" s="268" t="s">
        <v>847</v>
      </c>
      <c r="S26" s="242">
        <f>IF(10 &gt; 0, IF(0=1, ROUND((50/10), 1),ROUND((50/(SQRT(3)*10)), 1)), "")</f>
        <v>2.9</v>
      </c>
      <c r="T26" s="278">
        <f>ROUND(0.400000006, 3)</f>
        <v>0.4</v>
      </c>
      <c r="U26" s="276" t="s">
        <v>847</v>
      </c>
      <c r="V26" s="242">
        <f>IF(0.400000006 &gt; 0, IF(0=1, ROUND((50/0.400000006), 1),ROUND((50/(SQRT(3)*0.400000006)), 1)), "")</f>
        <v>72.2</v>
      </c>
      <c r="W26" s="278">
        <f>ROUND(10, 1)</f>
        <v>10</v>
      </c>
      <c r="X26" s="276" t="s">
        <v>850</v>
      </c>
      <c r="Y26" s="260">
        <f>ROUND(20, 1)</f>
        <v>20</v>
      </c>
      <c r="Z26" s="278">
        <f>ROUND(10, 1)</f>
        <v>10</v>
      </c>
      <c r="AA26" s="268" t="s">
        <v>850</v>
      </c>
      <c r="AB26" s="260">
        <f>ROUND(20, 1)</f>
        <v>20</v>
      </c>
      <c r="AC26" s="260">
        <f>ROUND(0, 3)</f>
        <v>0</v>
      </c>
      <c r="AD26" s="260">
        <f>ROUND(0, 3)</f>
        <v>0</v>
      </c>
      <c r="AE26" s="260">
        <f>ROUND(0, 3)</f>
        <v>0</v>
      </c>
      <c r="AF26" s="260">
        <f>ROUND(0, 3)</f>
        <v>0</v>
      </c>
      <c r="AG26" s="260">
        <f>ROUND(0, 3)</f>
        <v>0</v>
      </c>
      <c r="AH26" s="260">
        <f>ROUND(0, 3)</f>
        <v>0</v>
      </c>
      <c r="AI26" s="260" t="str">
        <f>FIXED(0,1)</f>
        <v>0.0</v>
      </c>
      <c r="AJ26" s="260" t="str">
        <f>FIXED(0,1)</f>
        <v>0.0</v>
      </c>
      <c r="AK26" s="260" t="str">
        <f>IF(0=1, "Yes", "No")</f>
        <v>No</v>
      </c>
      <c r="AL26" s="242" t="str">
        <f>IF(0=1, ROUND(-10, 1), "--")</f>
        <v>--</v>
      </c>
      <c r="AM26" s="260" t="str">
        <f>IF(0=1, ROUND(10, 1), "--")</f>
        <v>--</v>
      </c>
      <c r="AN26" s="260" t="str">
        <f>IF(0=1, ROUND(0.625, 3), "--")</f>
        <v>--</v>
      </c>
      <c r="AO26" s="260" t="str">
        <f>IF(0=1, "3558", "--")</f>
        <v>--</v>
      </c>
      <c r="AP26" s="260" t="str">
        <f>IF(0=1, ROUND(100, 1), "--")</f>
        <v>--</v>
      </c>
      <c r="AQ26" s="260" t="str">
        <f>IF(0=1, "Yes", "No")</f>
        <v>No</v>
      </c>
      <c r="AR26" s="260" t="str">
        <f>IF(0=1, ROUND(-10, 1), "--")</f>
        <v>--</v>
      </c>
      <c r="AS26" s="260" t="str">
        <f>IF(0=1, ROUND(10, 1), "--")</f>
        <v>--</v>
      </c>
      <c r="AT26" s="260" t="str">
        <f>IF(0=1, ROUND(0.625, 1), "--")</f>
        <v>--</v>
      </c>
      <c r="AU26" s="260" t="str">
        <f>IF(0=1, "3558", "--")</f>
        <v>--</v>
      </c>
      <c r="AV26" s="260" t="str">
        <f>IF(0=1, ROUND(100, 1), "--")</f>
        <v>--</v>
      </c>
      <c r="AW26" s="242" t="str">
        <f>IF(0 = 0, IF(1=0, "Y", "Δ"),"--")</f>
        <v>Δ</v>
      </c>
      <c r="AX26" s="242" t="str">
        <f>IF(1=1, "--", CHOOSE((1 + 1), "Open", "Solid", "Resistor", "Reactor", "Xfmr-Resistor", "Xfmr-Reactor"))</f>
        <v>--</v>
      </c>
      <c r="AY26" s="242" t="str">
        <f>IF(0 = 0, IF(0=0,  "Y", "Δ"),IF(1=0,  "Ungrounded", "Grounded"))</f>
        <v>Y</v>
      </c>
      <c r="AZ26" s="242" t="str">
        <f>IF(0 = 0,IF(0=1, "--", CHOOSE((1 + 1), "Open", "Solid", "Resistor", "Reactor", "Xfmr-Resistor", "Xfmr-Reactor"))," ")</f>
        <v>Solid</v>
      </c>
      <c r="BA26" s="242" t="str">
        <f>IF(0 = 0, "ANSI", "IEC")</f>
        <v>ANSI</v>
      </c>
      <c r="BB26" s="242" t="str">
        <f>IF(0 = 1, "--",  CHOOSE((2 + 1), "Infrequent","Frequent","Both"))</f>
        <v>Both</v>
      </c>
      <c r="BC26" s="242" t="str">
        <f>IF(0 = 1, "--", IF(1=1, "Yes", "No"))</f>
        <v>Yes</v>
      </c>
      <c r="BD26" s="242">
        <f>IF(0 = 1, "--", ROUND(1, 2))</f>
        <v>1</v>
      </c>
      <c r="BE26" s="242" t="str">
        <f>CHOOSE((0+1), "Point", "Curve - Piecewise", "Curve - Equation")</f>
        <v>Point</v>
      </c>
      <c r="BF26" s="242">
        <f>ROUND(8, 1)</f>
        <v>8</v>
      </c>
      <c r="BG26" s="242">
        <f>IF(0=2,ROUND(60, 1),ROUND(6, 1))</f>
        <v>6</v>
      </c>
      <c r="BH26" s="242">
        <v>0</v>
      </c>
      <c r="BI26" s="260" t="s">
        <v>6327</v>
      </c>
      <c r="BJ26" s="260">
        <f>ROUND(1,2)</f>
        <v>1</v>
      </c>
      <c r="BK26" s="260"/>
      <c r="BL26" s="260"/>
      <c r="BM26" s="260"/>
      <c r="BN26" s="260"/>
      <c r="BO26" s="260"/>
      <c r="BP26" s="53" t="s">
        <v>6358</v>
      </c>
    </row>
    <row r="27" spans="1:68">
      <c r="A27" s="105" t="s">
        <v>6359</v>
      </c>
      <c r="B27" s="105" t="str">
        <f>IF(TRUE = TRUE, "Yes", "No")</f>
        <v>Yes</v>
      </c>
      <c r="C27" s="105" t="s">
        <v>5202</v>
      </c>
      <c r="D27" s="105"/>
      <c r="E27" s="105" t="str">
        <f>IF(TRIM( "BUS_CNODE_JCT__1442") = "", "BUS_CNODE_JCT__1442", "BUS_CNODE_JCT__1442")</f>
        <v>BUS_CNODE_JCT__1442</v>
      </c>
      <c r="F27" s="105" t="str">
        <f>IF(TRIM( "BUS_苑#17变2变_81_1509") = "","BUS_苑#17变2变_81_1509","BUS_苑#17变2变_81_1509")</f>
        <v>BUS_苑#17变2变_81_1509</v>
      </c>
      <c r="G27" s="105" t="str">
        <f>IF(0 = 0, "3", "1")</f>
        <v>3</v>
      </c>
      <c r="H27" s="105" t="str">
        <f>IF(0 = 0, "N", "Y")</f>
        <v>N</v>
      </c>
      <c r="I27" s="105" t="str">
        <f>IF(0 = 0, CHOOSE((0+1), "Shell", "3 Limb","4 Limb","5 Limb","3 1-Phase"), IF(0 = 1,CHOOSE((0+1), "Shell", "Core"),"--"))</f>
        <v>Shell</v>
      </c>
      <c r="J27" s="242">
        <f xml:space="preserve"> IF(65 = 65, 65, CONCATENATE(65, "/", 65))</f>
        <v>65</v>
      </c>
      <c r="K27" s="275">
        <f>CHOOSE((0 + 1), 50 / 1000,50, 50 * 1000)</f>
        <v>0.05</v>
      </c>
      <c r="L27" s="276" t="str">
        <f>CHOOSE((0 + 1), "MVA", "kVA", "VA")</f>
        <v>MVA</v>
      </c>
      <c r="M27" s="277">
        <f xml:space="preserve"> 50</f>
        <v>50</v>
      </c>
      <c r="N27" s="277" t="str">
        <f>IF(0 = 4,CHOOSE((0 + 1), 0 / 1000,0, 0 * 1000),"--")</f>
        <v>--</v>
      </c>
      <c r="O27" s="277" t="str">
        <f>IF(0 = 4,CHOOSE((0 + 1), 0 / 1000,0, 0 * 1000),"--")</f>
        <v>--</v>
      </c>
      <c r="P27" s="277" t="str">
        <f>IF(0 = 4,CHOOSE((0 + 1), 0 / 1000,0, 0 * 1000),"--")</f>
        <v>--</v>
      </c>
      <c r="Q27" s="278">
        <f>ROUND(10, 3)</f>
        <v>10</v>
      </c>
      <c r="R27" s="268" t="s">
        <v>847</v>
      </c>
      <c r="S27" s="242">
        <f>IF(10 &gt; 0, IF(0=1, ROUND((50/10), 1),ROUND((50/(SQRT(3)*10)), 1)), "")</f>
        <v>2.9</v>
      </c>
      <c r="T27" s="278">
        <f>ROUND(0.400000006, 3)</f>
        <v>0.4</v>
      </c>
      <c r="U27" s="276" t="s">
        <v>847</v>
      </c>
      <c r="V27" s="242">
        <f>IF(0.400000006 &gt; 0, IF(0=1, ROUND((50/0.400000006), 1),ROUND((50/(SQRT(3)*0.400000006)), 1)), "")</f>
        <v>72.2</v>
      </c>
      <c r="W27" s="278">
        <f>ROUND(10, 1)</f>
        <v>10</v>
      </c>
      <c r="X27" s="276" t="s">
        <v>850</v>
      </c>
      <c r="Y27" s="260">
        <f>ROUND(20, 1)</f>
        <v>20</v>
      </c>
      <c r="Z27" s="278">
        <f>ROUND(10, 1)</f>
        <v>10</v>
      </c>
      <c r="AA27" s="268" t="s">
        <v>850</v>
      </c>
      <c r="AB27" s="260">
        <f>ROUND(20, 1)</f>
        <v>20</v>
      </c>
      <c r="AC27" s="260">
        <f>ROUND(0, 3)</f>
        <v>0</v>
      </c>
      <c r="AD27" s="260">
        <f>ROUND(0, 3)</f>
        <v>0</v>
      </c>
      <c r="AE27" s="260">
        <f>ROUND(0, 3)</f>
        <v>0</v>
      </c>
      <c r="AF27" s="260">
        <f>ROUND(0, 3)</f>
        <v>0</v>
      </c>
      <c r="AG27" s="260">
        <f>ROUND(0, 3)</f>
        <v>0</v>
      </c>
      <c r="AH27" s="260">
        <f>ROUND(0, 3)</f>
        <v>0</v>
      </c>
      <c r="AI27" s="260" t="str">
        <f>FIXED(0,1)</f>
        <v>0.0</v>
      </c>
      <c r="AJ27" s="260" t="str">
        <f>FIXED(0,1)</f>
        <v>0.0</v>
      </c>
      <c r="AK27" s="260" t="str">
        <f>IF(0=1, "Yes", "No")</f>
        <v>No</v>
      </c>
      <c r="AL27" s="242" t="str">
        <f>IF(0=1, ROUND(-10, 1), "--")</f>
        <v>--</v>
      </c>
      <c r="AM27" s="260" t="str">
        <f>IF(0=1, ROUND(10, 1), "--")</f>
        <v>--</v>
      </c>
      <c r="AN27" s="260" t="str">
        <f>IF(0=1, ROUND(0.625, 3), "--")</f>
        <v>--</v>
      </c>
      <c r="AO27" s="260" t="str">
        <f>IF(0=1, "3569", "--")</f>
        <v>--</v>
      </c>
      <c r="AP27" s="260" t="str">
        <f>IF(0=1, ROUND(100, 1), "--")</f>
        <v>--</v>
      </c>
      <c r="AQ27" s="260" t="str">
        <f>IF(0=1, "Yes", "No")</f>
        <v>No</v>
      </c>
      <c r="AR27" s="260" t="str">
        <f>IF(0=1, ROUND(-10, 1), "--")</f>
        <v>--</v>
      </c>
      <c r="AS27" s="260" t="str">
        <f>IF(0=1, ROUND(10, 1), "--")</f>
        <v>--</v>
      </c>
      <c r="AT27" s="260" t="str">
        <f>IF(0=1, ROUND(0.625, 1), "--")</f>
        <v>--</v>
      </c>
      <c r="AU27" s="260" t="str">
        <f>IF(0=1, "3569", "--")</f>
        <v>--</v>
      </c>
      <c r="AV27" s="260" t="str">
        <f>IF(0=1, ROUND(100, 1), "--")</f>
        <v>--</v>
      </c>
      <c r="AW27" s="242" t="str">
        <f>IF(0 = 0, IF(1=0, "Y", "Δ"),"--")</f>
        <v>Δ</v>
      </c>
      <c r="AX27" s="242" t="str">
        <f>IF(1=1, "--", CHOOSE((1 + 1), "Open", "Solid", "Resistor", "Reactor", "Xfmr-Resistor", "Xfmr-Reactor"))</f>
        <v>--</v>
      </c>
      <c r="AY27" s="242" t="str">
        <f>IF(0 = 0, IF(0=0,  "Y", "Δ"),IF(1=0,  "Ungrounded", "Grounded"))</f>
        <v>Y</v>
      </c>
      <c r="AZ27" s="242" t="str">
        <f>IF(0 = 0,IF(0=1, "--", CHOOSE((1 + 1), "Open", "Solid", "Resistor", "Reactor", "Xfmr-Resistor", "Xfmr-Reactor"))," ")</f>
        <v>Solid</v>
      </c>
      <c r="BA27" s="242" t="str">
        <f>IF(0 = 0, "ANSI", "IEC")</f>
        <v>ANSI</v>
      </c>
      <c r="BB27" s="242" t="str">
        <f>IF(0 = 1, "--",  CHOOSE((2 + 1), "Infrequent","Frequent","Both"))</f>
        <v>Both</v>
      </c>
      <c r="BC27" s="242" t="str">
        <f>IF(0 = 1, "--", IF(1=1, "Yes", "No"))</f>
        <v>Yes</v>
      </c>
      <c r="BD27" s="242">
        <f>IF(0 = 1, "--", ROUND(1, 2))</f>
        <v>1</v>
      </c>
      <c r="BE27" s="242" t="str">
        <f>CHOOSE((0+1), "Point", "Curve - Piecewise", "Curve - Equation")</f>
        <v>Point</v>
      </c>
      <c r="BF27" s="242">
        <f>ROUND(8, 1)</f>
        <v>8</v>
      </c>
      <c r="BG27" s="242">
        <f>IF(0=2,ROUND(60, 1),ROUND(6, 1))</f>
        <v>6</v>
      </c>
      <c r="BH27" s="242">
        <v>0</v>
      </c>
      <c r="BI27" s="260" t="s">
        <v>6327</v>
      </c>
      <c r="BJ27" s="260">
        <f>ROUND(1,2)</f>
        <v>1</v>
      </c>
      <c r="BK27" s="260"/>
      <c r="BL27" s="260"/>
      <c r="BM27" s="260"/>
      <c r="BN27" s="260"/>
      <c r="BO27" s="260"/>
      <c r="BP27" s="53" t="s">
        <v>6360</v>
      </c>
    </row>
    <row r="28" spans="1:68">
      <c r="A28" s="105" t="s">
        <v>6361</v>
      </c>
      <c r="B28" s="105" t="str">
        <f>IF(TRUE = TRUE, "Yes", "No")</f>
        <v>Yes</v>
      </c>
      <c r="C28" s="105" t="s">
        <v>5202</v>
      </c>
      <c r="D28" s="105"/>
      <c r="E28" s="105" t="str">
        <f>IF(TRIM( "BUS_CNODE_JCT__1456") = "", "BUS_CNODE_JCT__1456", "BUS_CNODE_JCT__1456")</f>
        <v>BUS_CNODE_JCT__1456</v>
      </c>
      <c r="F28" s="105" t="str">
        <f>IF(TRIM( "BUS_苑#5变1变_824_1537") = "","BUS_苑#5变1变_824_1537","BUS_苑#5变1变_824_1537")</f>
        <v>BUS_苑#5变1变_824_1537</v>
      </c>
      <c r="G28" s="105" t="str">
        <f>IF(0 = 0, "3", "1")</f>
        <v>3</v>
      </c>
      <c r="H28" s="105" t="str">
        <f>IF(0 = 0, "N", "Y")</f>
        <v>N</v>
      </c>
      <c r="I28" s="105" t="str">
        <f>IF(0 = 0, CHOOSE((0+1), "Shell", "3 Limb","4 Limb","5 Limb","3 1-Phase"), IF(0 = 1,CHOOSE((0+1), "Shell", "Core"),"--"))</f>
        <v>Shell</v>
      </c>
      <c r="J28" s="242">
        <f xml:space="preserve"> IF(65 = 65, 65, CONCATENATE(65, "/", 65))</f>
        <v>65</v>
      </c>
      <c r="K28" s="275">
        <f>CHOOSE((0 + 1), 50 / 1000,50, 50 * 1000)</f>
        <v>0.05</v>
      </c>
      <c r="L28" s="276" t="str">
        <f>CHOOSE((0 + 1), "MVA", "kVA", "VA")</f>
        <v>MVA</v>
      </c>
      <c r="M28" s="277">
        <f xml:space="preserve"> 50</f>
        <v>50</v>
      </c>
      <c r="N28" s="277" t="str">
        <f>IF(0 = 4,CHOOSE((0 + 1), 0 / 1000,0, 0 * 1000),"--")</f>
        <v>--</v>
      </c>
      <c r="O28" s="277" t="str">
        <f>IF(0 = 4,CHOOSE((0 + 1), 0 / 1000,0, 0 * 1000),"--")</f>
        <v>--</v>
      </c>
      <c r="P28" s="277" t="str">
        <f>IF(0 = 4,CHOOSE((0 + 1), 0 / 1000,0, 0 * 1000),"--")</f>
        <v>--</v>
      </c>
      <c r="Q28" s="278">
        <f>ROUND(10, 3)</f>
        <v>10</v>
      </c>
      <c r="R28" s="268" t="s">
        <v>847</v>
      </c>
      <c r="S28" s="242">
        <f>IF(10 &gt; 0, IF(0=1, ROUND((50/10), 1),ROUND((50/(SQRT(3)*10)), 1)), "")</f>
        <v>2.9</v>
      </c>
      <c r="T28" s="278">
        <f>ROUND(0.400000006, 3)</f>
        <v>0.4</v>
      </c>
      <c r="U28" s="276" t="s">
        <v>847</v>
      </c>
      <c r="V28" s="242">
        <f>IF(0.400000006 &gt; 0, IF(0=1, ROUND((50/0.400000006), 1),ROUND((50/(SQRT(3)*0.400000006)), 1)), "")</f>
        <v>72.2</v>
      </c>
      <c r="W28" s="278">
        <f>ROUND(10, 1)</f>
        <v>10</v>
      </c>
      <c r="X28" s="276" t="s">
        <v>850</v>
      </c>
      <c r="Y28" s="260">
        <f>ROUND(20, 1)</f>
        <v>20</v>
      </c>
      <c r="Z28" s="278">
        <f>ROUND(10, 1)</f>
        <v>10</v>
      </c>
      <c r="AA28" s="268" t="s">
        <v>850</v>
      </c>
      <c r="AB28" s="260">
        <f>ROUND(20, 1)</f>
        <v>20</v>
      </c>
      <c r="AC28" s="260">
        <f>ROUND(0, 3)</f>
        <v>0</v>
      </c>
      <c r="AD28" s="260">
        <f>ROUND(0, 3)</f>
        <v>0</v>
      </c>
      <c r="AE28" s="260">
        <f>ROUND(0, 3)</f>
        <v>0</v>
      </c>
      <c r="AF28" s="260">
        <f>ROUND(0, 3)</f>
        <v>0</v>
      </c>
      <c r="AG28" s="260">
        <f>ROUND(0, 3)</f>
        <v>0</v>
      </c>
      <c r="AH28" s="260">
        <f>ROUND(0, 3)</f>
        <v>0</v>
      </c>
      <c r="AI28" s="260" t="str">
        <f>FIXED(0,1)</f>
        <v>0.0</v>
      </c>
      <c r="AJ28" s="260" t="str">
        <f>FIXED(0,1)</f>
        <v>0.0</v>
      </c>
      <c r="AK28" s="260" t="str">
        <f>IF(0=1, "Yes", "No")</f>
        <v>No</v>
      </c>
      <c r="AL28" s="242" t="str">
        <f>IF(0=1, ROUND(-10, 1), "--")</f>
        <v>--</v>
      </c>
      <c r="AM28" s="260" t="str">
        <f>IF(0=1, ROUND(10, 1), "--")</f>
        <v>--</v>
      </c>
      <c r="AN28" s="260" t="str">
        <f>IF(0=1, ROUND(0.625, 3), "--")</f>
        <v>--</v>
      </c>
      <c r="AO28" s="260" t="str">
        <f>IF(0=1, "3633", "--")</f>
        <v>--</v>
      </c>
      <c r="AP28" s="260" t="str">
        <f>IF(0=1, ROUND(100, 1), "--")</f>
        <v>--</v>
      </c>
      <c r="AQ28" s="260" t="str">
        <f>IF(0=1, "Yes", "No")</f>
        <v>No</v>
      </c>
      <c r="AR28" s="260" t="str">
        <f>IF(0=1, ROUND(-10, 1), "--")</f>
        <v>--</v>
      </c>
      <c r="AS28" s="260" t="str">
        <f>IF(0=1, ROUND(10, 1), "--")</f>
        <v>--</v>
      </c>
      <c r="AT28" s="260" t="str">
        <f>IF(0=1, ROUND(0.625, 1), "--")</f>
        <v>--</v>
      </c>
      <c r="AU28" s="260" t="str">
        <f>IF(0=1, "3633", "--")</f>
        <v>--</v>
      </c>
      <c r="AV28" s="260" t="str">
        <f>IF(0=1, ROUND(100, 1), "--")</f>
        <v>--</v>
      </c>
      <c r="AW28" s="242" t="str">
        <f>IF(0 = 0, IF(1=0, "Y", "Δ"),"--")</f>
        <v>Δ</v>
      </c>
      <c r="AX28" s="242" t="str">
        <f>IF(1=1, "--", CHOOSE((1 + 1), "Open", "Solid", "Resistor", "Reactor", "Xfmr-Resistor", "Xfmr-Reactor"))</f>
        <v>--</v>
      </c>
      <c r="AY28" s="242" t="str">
        <f>IF(0 = 0, IF(0=0,  "Y", "Δ"),IF(1=0,  "Ungrounded", "Grounded"))</f>
        <v>Y</v>
      </c>
      <c r="AZ28" s="242" t="str">
        <f>IF(0 = 0,IF(0=1, "--", CHOOSE((1 + 1), "Open", "Solid", "Resistor", "Reactor", "Xfmr-Resistor", "Xfmr-Reactor"))," ")</f>
        <v>Solid</v>
      </c>
      <c r="BA28" s="242" t="str">
        <f>IF(0 = 0, "ANSI", "IEC")</f>
        <v>ANSI</v>
      </c>
      <c r="BB28" s="242" t="str">
        <f>IF(0 = 1, "--",  CHOOSE((2 + 1), "Infrequent","Frequent","Both"))</f>
        <v>Both</v>
      </c>
      <c r="BC28" s="242" t="str">
        <f>IF(0 = 1, "--", IF(1=1, "Yes", "No"))</f>
        <v>Yes</v>
      </c>
      <c r="BD28" s="242">
        <f>IF(0 = 1, "--", ROUND(1, 2))</f>
        <v>1</v>
      </c>
      <c r="BE28" s="242" t="str">
        <f>CHOOSE((0+1), "Point", "Curve - Piecewise", "Curve - Equation")</f>
        <v>Point</v>
      </c>
      <c r="BF28" s="242">
        <f>ROUND(8, 1)</f>
        <v>8</v>
      </c>
      <c r="BG28" s="242">
        <f>IF(0=2,ROUND(60, 1),ROUND(6, 1))</f>
        <v>6</v>
      </c>
      <c r="BH28" s="242">
        <v>0</v>
      </c>
      <c r="BI28" s="260" t="s">
        <v>6327</v>
      </c>
      <c r="BJ28" s="260">
        <f>ROUND(1,2)</f>
        <v>1</v>
      </c>
      <c r="BK28" s="260"/>
      <c r="BL28" s="260"/>
      <c r="BM28" s="260"/>
      <c r="BN28" s="260"/>
      <c r="BO28" s="260"/>
      <c r="BP28" s="53" t="s">
        <v>6362</v>
      </c>
    </row>
    <row r="29" spans="1:68">
      <c r="A29" s="105" t="s">
        <v>6363</v>
      </c>
      <c r="B29" s="105" t="str">
        <f>IF(TRUE = TRUE, "Yes", "No")</f>
        <v>Yes</v>
      </c>
      <c r="C29" s="105" t="s">
        <v>5202</v>
      </c>
      <c r="D29" s="105"/>
      <c r="E29" s="105" t="str">
        <f>IF(TRIM( "BUS_CNODE_JCT__1457") = "", "BUS_CNODE_JCT__1457", "BUS_CNODE_JCT__1457")</f>
        <v>BUS_CNODE_JCT__1457</v>
      </c>
      <c r="F29" s="105" t="str">
        <f>IF(TRIM( "BUS_苑#5变2变_825_1539") = "","BUS_苑#5变2变_825_1539","BUS_苑#5变2变_825_1539")</f>
        <v>BUS_苑#5变2变_825_1539</v>
      </c>
      <c r="G29" s="105" t="str">
        <f>IF(0 = 0, "3", "1")</f>
        <v>3</v>
      </c>
      <c r="H29" s="105" t="str">
        <f>IF(0 = 0, "N", "Y")</f>
        <v>N</v>
      </c>
      <c r="I29" s="105" t="str">
        <f>IF(0 = 0, CHOOSE((0+1), "Shell", "3 Limb","4 Limb","5 Limb","3 1-Phase"), IF(0 = 1,CHOOSE((0+1), "Shell", "Core"),"--"))</f>
        <v>Shell</v>
      </c>
      <c r="J29" s="242">
        <f xml:space="preserve"> IF(65 = 65, 65, CONCATENATE(65, "/", 65))</f>
        <v>65</v>
      </c>
      <c r="K29" s="275">
        <f>CHOOSE((0 + 1), 50 / 1000,50, 50 * 1000)</f>
        <v>0.05</v>
      </c>
      <c r="L29" s="276" t="str">
        <f>CHOOSE((0 + 1), "MVA", "kVA", "VA")</f>
        <v>MVA</v>
      </c>
      <c r="M29" s="277">
        <f xml:space="preserve"> 50</f>
        <v>50</v>
      </c>
      <c r="N29" s="277" t="str">
        <f>IF(0 = 4,CHOOSE((0 + 1), 0 / 1000,0, 0 * 1000),"--")</f>
        <v>--</v>
      </c>
      <c r="O29" s="277" t="str">
        <f>IF(0 = 4,CHOOSE((0 + 1), 0 / 1000,0, 0 * 1000),"--")</f>
        <v>--</v>
      </c>
      <c r="P29" s="277" t="str">
        <f>IF(0 = 4,CHOOSE((0 + 1), 0 / 1000,0, 0 * 1000),"--")</f>
        <v>--</v>
      </c>
      <c r="Q29" s="278">
        <f>ROUND(10, 3)</f>
        <v>10</v>
      </c>
      <c r="R29" s="268" t="s">
        <v>847</v>
      </c>
      <c r="S29" s="242">
        <f>IF(10 &gt; 0, IF(0=1, ROUND((50/10), 1),ROUND((50/(SQRT(3)*10)), 1)), "")</f>
        <v>2.9</v>
      </c>
      <c r="T29" s="278">
        <f>ROUND(0.400000006, 3)</f>
        <v>0.4</v>
      </c>
      <c r="U29" s="276" t="s">
        <v>847</v>
      </c>
      <c r="V29" s="242">
        <f>IF(0.400000006 &gt; 0, IF(0=1, ROUND((50/0.400000006), 1),ROUND((50/(SQRT(3)*0.400000006)), 1)), "")</f>
        <v>72.2</v>
      </c>
      <c r="W29" s="278">
        <f>ROUND(10, 1)</f>
        <v>10</v>
      </c>
      <c r="X29" s="276" t="s">
        <v>850</v>
      </c>
      <c r="Y29" s="260">
        <f>ROUND(20, 1)</f>
        <v>20</v>
      </c>
      <c r="Z29" s="278">
        <f>ROUND(10, 1)</f>
        <v>10</v>
      </c>
      <c r="AA29" s="268" t="s">
        <v>850</v>
      </c>
      <c r="AB29" s="260">
        <f>ROUND(20, 1)</f>
        <v>20</v>
      </c>
      <c r="AC29" s="260">
        <f>ROUND(0, 3)</f>
        <v>0</v>
      </c>
      <c r="AD29" s="260">
        <f>ROUND(0, 3)</f>
        <v>0</v>
      </c>
      <c r="AE29" s="260">
        <f>ROUND(0, 3)</f>
        <v>0</v>
      </c>
      <c r="AF29" s="260">
        <f>ROUND(0, 3)</f>
        <v>0</v>
      </c>
      <c r="AG29" s="260">
        <f>ROUND(0, 3)</f>
        <v>0</v>
      </c>
      <c r="AH29" s="260">
        <f>ROUND(0, 3)</f>
        <v>0</v>
      </c>
      <c r="AI29" s="260" t="str">
        <f>FIXED(0,1)</f>
        <v>0.0</v>
      </c>
      <c r="AJ29" s="260" t="str">
        <f>FIXED(0,1)</f>
        <v>0.0</v>
      </c>
      <c r="AK29" s="260" t="str">
        <f>IF(0=1, "Yes", "No")</f>
        <v>No</v>
      </c>
      <c r="AL29" s="242" t="str">
        <f>IF(0=1, ROUND(-10, 1), "--")</f>
        <v>--</v>
      </c>
      <c r="AM29" s="260" t="str">
        <f>IF(0=1, ROUND(10, 1), "--")</f>
        <v>--</v>
      </c>
      <c r="AN29" s="260" t="str">
        <f>IF(0=1, ROUND(0.625, 3), "--")</f>
        <v>--</v>
      </c>
      <c r="AO29" s="260" t="str">
        <f>IF(0=1, "3635", "--")</f>
        <v>--</v>
      </c>
      <c r="AP29" s="260" t="str">
        <f>IF(0=1, ROUND(100, 1), "--")</f>
        <v>--</v>
      </c>
      <c r="AQ29" s="260" t="str">
        <f>IF(0=1, "Yes", "No")</f>
        <v>No</v>
      </c>
      <c r="AR29" s="260" t="str">
        <f>IF(0=1, ROUND(-10, 1), "--")</f>
        <v>--</v>
      </c>
      <c r="AS29" s="260" t="str">
        <f>IF(0=1, ROUND(10, 1), "--")</f>
        <v>--</v>
      </c>
      <c r="AT29" s="260" t="str">
        <f>IF(0=1, ROUND(0.625, 1), "--")</f>
        <v>--</v>
      </c>
      <c r="AU29" s="260" t="str">
        <f>IF(0=1, "3635", "--")</f>
        <v>--</v>
      </c>
      <c r="AV29" s="260" t="str">
        <f>IF(0=1, ROUND(100, 1), "--")</f>
        <v>--</v>
      </c>
      <c r="AW29" s="242" t="str">
        <f>IF(0 = 0, IF(1=0, "Y", "Δ"),"--")</f>
        <v>Δ</v>
      </c>
      <c r="AX29" s="242" t="str">
        <f>IF(1=1, "--", CHOOSE((1 + 1), "Open", "Solid", "Resistor", "Reactor", "Xfmr-Resistor", "Xfmr-Reactor"))</f>
        <v>--</v>
      </c>
      <c r="AY29" s="242" t="str">
        <f>IF(0 = 0, IF(0=0,  "Y", "Δ"),IF(1=0,  "Ungrounded", "Grounded"))</f>
        <v>Y</v>
      </c>
      <c r="AZ29" s="242" t="str">
        <f>IF(0 = 0,IF(0=1, "--", CHOOSE((1 + 1), "Open", "Solid", "Resistor", "Reactor", "Xfmr-Resistor", "Xfmr-Reactor"))," ")</f>
        <v>Solid</v>
      </c>
      <c r="BA29" s="242" t="str">
        <f>IF(0 = 0, "ANSI", "IEC")</f>
        <v>ANSI</v>
      </c>
      <c r="BB29" s="242" t="str">
        <f>IF(0 = 1, "--",  CHOOSE((2 + 1), "Infrequent","Frequent","Both"))</f>
        <v>Both</v>
      </c>
      <c r="BC29" s="242" t="str">
        <f>IF(0 = 1, "--", IF(1=1, "Yes", "No"))</f>
        <v>Yes</v>
      </c>
      <c r="BD29" s="242">
        <f>IF(0 = 1, "--", ROUND(1, 2))</f>
        <v>1</v>
      </c>
      <c r="BE29" s="242" t="str">
        <f>CHOOSE((0+1), "Point", "Curve - Piecewise", "Curve - Equation")</f>
        <v>Point</v>
      </c>
      <c r="BF29" s="242">
        <f>ROUND(8, 1)</f>
        <v>8</v>
      </c>
      <c r="BG29" s="242">
        <f>IF(0=2,ROUND(60, 1),ROUND(6, 1))</f>
        <v>6</v>
      </c>
      <c r="BH29" s="242">
        <v>0</v>
      </c>
      <c r="BI29" s="260" t="s">
        <v>6327</v>
      </c>
      <c r="BJ29" s="260">
        <f>ROUND(1,2)</f>
        <v>1</v>
      </c>
      <c r="BK29" s="260"/>
      <c r="BL29" s="260"/>
      <c r="BM29" s="260"/>
      <c r="BN29" s="260"/>
      <c r="BO29" s="260"/>
      <c r="BP29" s="53" t="s">
        <v>6364</v>
      </c>
    </row>
    <row r="30" spans="1:68">
      <c r="A30" s="105" t="s">
        <v>6365</v>
      </c>
      <c r="B30" s="105" t="str">
        <f>IF(TRUE = TRUE, "Yes", "No")</f>
        <v>Yes</v>
      </c>
      <c r="C30" s="105" t="s">
        <v>5202</v>
      </c>
      <c r="D30" s="105"/>
      <c r="E30" s="105" t="str">
        <f>IF(TRIM( "BUS_CNODE_JCT__1440") = "", "BUS_CNODE_JCT__1440", "BUS_CNODE_JCT__1440")</f>
        <v>BUS_CNODE_JCT__1440</v>
      </c>
      <c r="F30" s="105" t="str">
        <f>IF(TRIM( "BUS_苑10主变1变_80_1505") = "","BUS_苑10主变1变_80_1505","BUS_苑10主变1变_80_1505")</f>
        <v>BUS_苑10主变1变_80_1505</v>
      </c>
      <c r="G30" s="105" t="str">
        <f>IF(0 = 0, "3", "1")</f>
        <v>3</v>
      </c>
      <c r="H30" s="105" t="str">
        <f>IF(0 = 0, "N", "Y")</f>
        <v>N</v>
      </c>
      <c r="I30" s="105" t="str">
        <f>IF(0 = 0, CHOOSE((0+1), "Shell", "3 Limb","4 Limb","5 Limb","3 1-Phase"), IF(0 = 1,CHOOSE((0+1), "Shell", "Core"),"--"))</f>
        <v>Shell</v>
      </c>
      <c r="J30" s="242">
        <f xml:space="preserve"> IF(65 = 65, 65, CONCATENATE(65, "/", 65))</f>
        <v>65</v>
      </c>
      <c r="K30" s="275">
        <f>CHOOSE((0 + 1), 50 / 1000,50, 50 * 1000)</f>
        <v>0.05</v>
      </c>
      <c r="L30" s="276" t="str">
        <f>CHOOSE((0 + 1), "MVA", "kVA", "VA")</f>
        <v>MVA</v>
      </c>
      <c r="M30" s="277">
        <f xml:space="preserve"> 50</f>
        <v>50</v>
      </c>
      <c r="N30" s="277" t="str">
        <f>IF(0 = 4,CHOOSE((0 + 1), 0 / 1000,0, 0 * 1000),"--")</f>
        <v>--</v>
      </c>
      <c r="O30" s="277" t="str">
        <f>IF(0 = 4,CHOOSE((0 + 1), 0 / 1000,0, 0 * 1000),"--")</f>
        <v>--</v>
      </c>
      <c r="P30" s="277" t="str">
        <f>IF(0 = 4,CHOOSE((0 + 1), 0 / 1000,0, 0 * 1000),"--")</f>
        <v>--</v>
      </c>
      <c r="Q30" s="278">
        <f>ROUND(10, 3)</f>
        <v>10</v>
      </c>
      <c r="R30" s="268" t="s">
        <v>847</v>
      </c>
      <c r="S30" s="242">
        <f>IF(10 &gt; 0, IF(0=1, ROUND((50/10), 1),ROUND((50/(SQRT(3)*10)), 1)), "")</f>
        <v>2.9</v>
      </c>
      <c r="T30" s="278">
        <f>ROUND(0.400000006, 3)</f>
        <v>0.4</v>
      </c>
      <c r="U30" s="276" t="s">
        <v>847</v>
      </c>
      <c r="V30" s="242">
        <f>IF(0.400000006 &gt; 0, IF(0=1, ROUND((50/0.400000006), 1),ROUND((50/(SQRT(3)*0.400000006)), 1)), "")</f>
        <v>72.2</v>
      </c>
      <c r="W30" s="278">
        <f>ROUND(10, 1)</f>
        <v>10</v>
      </c>
      <c r="X30" s="276" t="s">
        <v>850</v>
      </c>
      <c r="Y30" s="260">
        <f>ROUND(20, 1)</f>
        <v>20</v>
      </c>
      <c r="Z30" s="278">
        <f>ROUND(10, 1)</f>
        <v>10</v>
      </c>
      <c r="AA30" s="268" t="s">
        <v>850</v>
      </c>
      <c r="AB30" s="260">
        <f>ROUND(20, 1)</f>
        <v>20</v>
      </c>
      <c r="AC30" s="260">
        <f>ROUND(0, 3)</f>
        <v>0</v>
      </c>
      <c r="AD30" s="260">
        <f>ROUND(0, 3)</f>
        <v>0</v>
      </c>
      <c r="AE30" s="260">
        <f>ROUND(0, 3)</f>
        <v>0</v>
      </c>
      <c r="AF30" s="260">
        <f>ROUND(0, 3)</f>
        <v>0</v>
      </c>
      <c r="AG30" s="260">
        <f>ROUND(0, 3)</f>
        <v>0</v>
      </c>
      <c r="AH30" s="260">
        <f>ROUND(0, 3)</f>
        <v>0</v>
      </c>
      <c r="AI30" s="260" t="str">
        <f>FIXED(0,1)</f>
        <v>0.0</v>
      </c>
      <c r="AJ30" s="260" t="str">
        <f>FIXED(0,1)</f>
        <v>0.0</v>
      </c>
      <c r="AK30" s="260" t="str">
        <f>IF(0=1, "Yes", "No")</f>
        <v>No</v>
      </c>
      <c r="AL30" s="242" t="str">
        <f>IF(0=1, ROUND(-10, 1), "--")</f>
        <v>--</v>
      </c>
      <c r="AM30" s="260" t="str">
        <f>IF(0=1, ROUND(10, 1), "--")</f>
        <v>--</v>
      </c>
      <c r="AN30" s="260" t="str">
        <f>IF(0=1, ROUND(0.625, 3), "--")</f>
        <v>--</v>
      </c>
      <c r="AO30" s="260" t="str">
        <f>IF(0=1, "3556", "--")</f>
        <v>--</v>
      </c>
      <c r="AP30" s="260" t="str">
        <f>IF(0=1, ROUND(100, 1), "--")</f>
        <v>--</v>
      </c>
      <c r="AQ30" s="260" t="str">
        <f>IF(0=1, "Yes", "No")</f>
        <v>No</v>
      </c>
      <c r="AR30" s="260" t="str">
        <f>IF(0=1, ROUND(-10, 1), "--")</f>
        <v>--</v>
      </c>
      <c r="AS30" s="260" t="str">
        <f>IF(0=1, ROUND(10, 1), "--")</f>
        <v>--</v>
      </c>
      <c r="AT30" s="260" t="str">
        <f>IF(0=1, ROUND(0.625, 1), "--")</f>
        <v>--</v>
      </c>
      <c r="AU30" s="260" t="str">
        <f>IF(0=1, "3556", "--")</f>
        <v>--</v>
      </c>
      <c r="AV30" s="260" t="str">
        <f>IF(0=1, ROUND(100, 1), "--")</f>
        <v>--</v>
      </c>
      <c r="AW30" s="242" t="str">
        <f>IF(0 = 0, IF(1=0, "Y", "Δ"),"--")</f>
        <v>Δ</v>
      </c>
      <c r="AX30" s="242" t="str">
        <f>IF(1=1, "--", CHOOSE((1 + 1), "Open", "Solid", "Resistor", "Reactor", "Xfmr-Resistor", "Xfmr-Reactor"))</f>
        <v>--</v>
      </c>
      <c r="AY30" s="242" t="str">
        <f>IF(0 = 0, IF(0=0,  "Y", "Δ"),IF(1=0,  "Ungrounded", "Grounded"))</f>
        <v>Y</v>
      </c>
      <c r="AZ30" s="242" t="str">
        <f>IF(0 = 0,IF(0=1, "--", CHOOSE((1 + 1), "Open", "Solid", "Resistor", "Reactor", "Xfmr-Resistor", "Xfmr-Reactor"))," ")</f>
        <v>Solid</v>
      </c>
      <c r="BA30" s="242" t="str">
        <f>IF(0 = 0, "ANSI", "IEC")</f>
        <v>ANSI</v>
      </c>
      <c r="BB30" s="242" t="str">
        <f>IF(0 = 1, "--",  CHOOSE((2 + 1), "Infrequent","Frequent","Both"))</f>
        <v>Both</v>
      </c>
      <c r="BC30" s="242" t="str">
        <f>IF(0 = 1, "--", IF(1=1, "Yes", "No"))</f>
        <v>Yes</v>
      </c>
      <c r="BD30" s="242">
        <f>IF(0 = 1, "--", ROUND(1, 2))</f>
        <v>1</v>
      </c>
      <c r="BE30" s="242" t="str">
        <f>CHOOSE((0+1), "Point", "Curve - Piecewise", "Curve - Equation")</f>
        <v>Point</v>
      </c>
      <c r="BF30" s="242">
        <f>ROUND(8, 1)</f>
        <v>8</v>
      </c>
      <c r="BG30" s="242">
        <f>IF(0=2,ROUND(60, 1),ROUND(6, 1))</f>
        <v>6</v>
      </c>
      <c r="BH30" s="242">
        <v>0</v>
      </c>
      <c r="BI30" s="260" t="s">
        <v>6327</v>
      </c>
      <c r="BJ30" s="260">
        <f>ROUND(1,2)</f>
        <v>1</v>
      </c>
      <c r="BK30" s="260"/>
      <c r="BL30" s="260"/>
      <c r="BM30" s="260"/>
      <c r="BN30" s="260"/>
      <c r="BO30" s="260"/>
      <c r="BP30" s="53" t="s">
        <v>6366</v>
      </c>
    </row>
    <row r="31" spans="1:68">
      <c r="A31" s="105" t="s">
        <v>6367</v>
      </c>
      <c r="B31" s="105" t="str">
        <f>IF(TRUE = TRUE, "Yes", "No")</f>
        <v>Yes</v>
      </c>
      <c r="C31" s="105" t="s">
        <v>5202</v>
      </c>
      <c r="D31" s="105"/>
      <c r="E31" s="105" t="str">
        <f>IF(TRIM( "BUS_CNODE_JCT__1439") = "", "BUS_CNODE_JCT__1439", "BUS_CNODE_JCT__1439")</f>
        <v>BUS_CNODE_JCT__1439</v>
      </c>
      <c r="F31" s="105" t="str">
        <f>IF(TRIM( "BUS_苑10主变2变_80_1503") = "","BUS_苑10主变2变_80_1503","BUS_苑10主变2变_80_1503")</f>
        <v>BUS_苑10主变2变_80_1503</v>
      </c>
      <c r="G31" s="105" t="str">
        <f>IF(0 = 0, "3", "1")</f>
        <v>3</v>
      </c>
      <c r="H31" s="105" t="str">
        <f>IF(0 = 0, "N", "Y")</f>
        <v>N</v>
      </c>
      <c r="I31" s="105" t="str">
        <f>IF(0 = 0, CHOOSE((0+1), "Shell", "3 Limb","4 Limb","5 Limb","3 1-Phase"), IF(0 = 1,CHOOSE((0+1), "Shell", "Core"),"--"))</f>
        <v>Shell</v>
      </c>
      <c r="J31" s="242">
        <f xml:space="preserve"> IF(65 = 65, 65, CONCATENATE(65, "/", 65))</f>
        <v>65</v>
      </c>
      <c r="K31" s="275">
        <f>CHOOSE((0 + 1), 50 / 1000,50, 50 * 1000)</f>
        <v>0.05</v>
      </c>
      <c r="L31" s="276" t="str">
        <f>CHOOSE((0 + 1), "MVA", "kVA", "VA")</f>
        <v>MVA</v>
      </c>
      <c r="M31" s="277">
        <f xml:space="preserve"> 50</f>
        <v>50</v>
      </c>
      <c r="N31" s="277" t="str">
        <f>IF(0 = 4,CHOOSE((0 + 1), 0 / 1000,0, 0 * 1000),"--")</f>
        <v>--</v>
      </c>
      <c r="O31" s="277" t="str">
        <f>IF(0 = 4,CHOOSE((0 + 1), 0 / 1000,0, 0 * 1000),"--")</f>
        <v>--</v>
      </c>
      <c r="P31" s="277" t="str">
        <f>IF(0 = 4,CHOOSE((0 + 1), 0 / 1000,0, 0 * 1000),"--")</f>
        <v>--</v>
      </c>
      <c r="Q31" s="278">
        <f>ROUND(10, 3)</f>
        <v>10</v>
      </c>
      <c r="R31" s="268" t="s">
        <v>847</v>
      </c>
      <c r="S31" s="242">
        <f>IF(10 &gt; 0, IF(0=1, ROUND((50/10), 1),ROUND((50/(SQRT(3)*10)), 1)), "")</f>
        <v>2.9</v>
      </c>
      <c r="T31" s="278">
        <f>ROUND(0.400000006, 3)</f>
        <v>0.4</v>
      </c>
      <c r="U31" s="276" t="s">
        <v>847</v>
      </c>
      <c r="V31" s="242">
        <f>IF(0.400000006 &gt; 0, IF(0=1, ROUND((50/0.400000006), 1),ROUND((50/(SQRT(3)*0.400000006)), 1)), "")</f>
        <v>72.2</v>
      </c>
      <c r="W31" s="278">
        <f>ROUND(10, 1)</f>
        <v>10</v>
      </c>
      <c r="X31" s="276" t="s">
        <v>850</v>
      </c>
      <c r="Y31" s="260">
        <f>ROUND(20, 1)</f>
        <v>20</v>
      </c>
      <c r="Z31" s="278">
        <f>ROUND(10, 1)</f>
        <v>10</v>
      </c>
      <c r="AA31" s="268" t="s">
        <v>850</v>
      </c>
      <c r="AB31" s="260">
        <f>ROUND(20, 1)</f>
        <v>20</v>
      </c>
      <c r="AC31" s="260">
        <f>ROUND(0, 3)</f>
        <v>0</v>
      </c>
      <c r="AD31" s="260">
        <f>ROUND(0, 3)</f>
        <v>0</v>
      </c>
      <c r="AE31" s="260">
        <f>ROUND(0, 3)</f>
        <v>0</v>
      </c>
      <c r="AF31" s="260">
        <f>ROUND(0, 3)</f>
        <v>0</v>
      </c>
      <c r="AG31" s="260">
        <f>ROUND(0, 3)</f>
        <v>0</v>
      </c>
      <c r="AH31" s="260">
        <f>ROUND(0, 3)</f>
        <v>0</v>
      </c>
      <c r="AI31" s="260" t="str">
        <f>FIXED(0,1)</f>
        <v>0.0</v>
      </c>
      <c r="AJ31" s="260" t="str">
        <f>FIXED(0,1)</f>
        <v>0.0</v>
      </c>
      <c r="AK31" s="260" t="str">
        <f>IF(0=1, "Yes", "No")</f>
        <v>No</v>
      </c>
      <c r="AL31" s="242" t="str">
        <f>IF(0=1, ROUND(-10, 1), "--")</f>
        <v>--</v>
      </c>
      <c r="AM31" s="260" t="str">
        <f>IF(0=1, ROUND(10, 1), "--")</f>
        <v>--</v>
      </c>
      <c r="AN31" s="260" t="str">
        <f>IF(0=1, ROUND(0.625, 3), "--")</f>
        <v>--</v>
      </c>
      <c r="AO31" s="260" t="str">
        <f>IF(0=1, "3554", "--")</f>
        <v>--</v>
      </c>
      <c r="AP31" s="260" t="str">
        <f>IF(0=1, ROUND(100, 1), "--")</f>
        <v>--</v>
      </c>
      <c r="AQ31" s="260" t="str">
        <f>IF(0=1, "Yes", "No")</f>
        <v>No</v>
      </c>
      <c r="AR31" s="260" t="str">
        <f>IF(0=1, ROUND(-10, 1), "--")</f>
        <v>--</v>
      </c>
      <c r="AS31" s="260" t="str">
        <f>IF(0=1, ROUND(10, 1), "--")</f>
        <v>--</v>
      </c>
      <c r="AT31" s="260" t="str">
        <f>IF(0=1, ROUND(0.625, 1), "--")</f>
        <v>--</v>
      </c>
      <c r="AU31" s="260" t="str">
        <f>IF(0=1, "3554", "--")</f>
        <v>--</v>
      </c>
      <c r="AV31" s="260" t="str">
        <f>IF(0=1, ROUND(100, 1), "--")</f>
        <v>--</v>
      </c>
      <c r="AW31" s="242" t="str">
        <f>IF(0 = 0, IF(1=0, "Y", "Δ"),"--")</f>
        <v>Δ</v>
      </c>
      <c r="AX31" s="242" t="str">
        <f>IF(1=1, "--", CHOOSE((1 + 1), "Open", "Solid", "Resistor", "Reactor", "Xfmr-Resistor", "Xfmr-Reactor"))</f>
        <v>--</v>
      </c>
      <c r="AY31" s="242" t="str">
        <f>IF(0 = 0, IF(0=0,  "Y", "Δ"),IF(1=0,  "Ungrounded", "Grounded"))</f>
        <v>Y</v>
      </c>
      <c r="AZ31" s="242" t="str">
        <f>IF(0 = 0,IF(0=1, "--", CHOOSE((1 + 1), "Open", "Solid", "Resistor", "Reactor", "Xfmr-Resistor", "Xfmr-Reactor"))," ")</f>
        <v>Solid</v>
      </c>
      <c r="BA31" s="242" t="str">
        <f>IF(0 = 0, "ANSI", "IEC")</f>
        <v>ANSI</v>
      </c>
      <c r="BB31" s="242" t="str">
        <f>IF(0 = 1, "--",  CHOOSE((2 + 1), "Infrequent","Frequent","Both"))</f>
        <v>Both</v>
      </c>
      <c r="BC31" s="242" t="str">
        <f>IF(0 = 1, "--", IF(1=1, "Yes", "No"))</f>
        <v>Yes</v>
      </c>
      <c r="BD31" s="242">
        <f>IF(0 = 1, "--", ROUND(1, 2))</f>
        <v>1</v>
      </c>
      <c r="BE31" s="242" t="str">
        <f>CHOOSE((0+1), "Point", "Curve - Piecewise", "Curve - Equation")</f>
        <v>Point</v>
      </c>
      <c r="BF31" s="242">
        <f>ROUND(8, 1)</f>
        <v>8</v>
      </c>
      <c r="BG31" s="242">
        <f>IF(0=2,ROUND(60, 1),ROUND(6, 1))</f>
        <v>6</v>
      </c>
      <c r="BH31" s="242">
        <v>0</v>
      </c>
      <c r="BI31" s="260" t="s">
        <v>6327</v>
      </c>
      <c r="BJ31" s="260">
        <f>ROUND(1,2)</f>
        <v>1</v>
      </c>
      <c r="BK31" s="260"/>
      <c r="BL31" s="260"/>
      <c r="BM31" s="260"/>
      <c r="BN31" s="260"/>
      <c r="BO31" s="260"/>
      <c r="BP31" s="53" t="s">
        <v>6368</v>
      </c>
    </row>
    <row r="32" spans="1:68">
      <c r="A32" s="105" t="s">
        <v>6369</v>
      </c>
      <c r="B32" s="105" t="str">
        <f>IF(TRUE = TRUE, "Yes", "No")</f>
        <v>Yes</v>
      </c>
      <c r="C32" s="105" t="s">
        <v>5202</v>
      </c>
      <c r="D32" s="105"/>
      <c r="E32" s="105" t="str">
        <f>IF(TRIM( "BUS_CNODE_JCT__1458") = "", "BUS_CNODE_JCT__1458", "BUS_CNODE_JCT__1458")</f>
        <v>BUS_CNODE_JCT__1458</v>
      </c>
      <c r="F32" s="105" t="str">
        <f>IF(TRIM( "BUS_苑3主变1变_826_1541") = "","BUS_苑3主变1变_826_1541","BUS_苑3主变1变_826_1541")</f>
        <v>BUS_苑3主变1变_826_1541</v>
      </c>
      <c r="G32" s="105" t="str">
        <f>IF(0 = 0, "3", "1")</f>
        <v>3</v>
      </c>
      <c r="H32" s="105" t="str">
        <f>IF(0 = 0, "N", "Y")</f>
        <v>N</v>
      </c>
      <c r="I32" s="105" t="str">
        <f>IF(0 = 0, CHOOSE((0+1), "Shell", "3 Limb","4 Limb","5 Limb","3 1-Phase"), IF(0 = 1,CHOOSE((0+1), "Shell", "Core"),"--"))</f>
        <v>Shell</v>
      </c>
      <c r="J32" s="242">
        <f xml:space="preserve"> IF(65 = 65, 65, CONCATENATE(65, "/", 65))</f>
        <v>65</v>
      </c>
      <c r="K32" s="275">
        <f>CHOOSE((0 + 1), 50 / 1000,50, 50 * 1000)</f>
        <v>0.05</v>
      </c>
      <c r="L32" s="276" t="str">
        <f>CHOOSE((0 + 1), "MVA", "kVA", "VA")</f>
        <v>MVA</v>
      </c>
      <c r="M32" s="277">
        <f xml:space="preserve"> 50</f>
        <v>50</v>
      </c>
      <c r="N32" s="277" t="str">
        <f>IF(0 = 4,CHOOSE((0 + 1), 0 / 1000,0, 0 * 1000),"--")</f>
        <v>--</v>
      </c>
      <c r="O32" s="277" t="str">
        <f>IF(0 = 4,CHOOSE((0 + 1), 0 / 1000,0, 0 * 1000),"--")</f>
        <v>--</v>
      </c>
      <c r="P32" s="277" t="str">
        <f>IF(0 = 4,CHOOSE((0 + 1), 0 / 1000,0, 0 * 1000),"--")</f>
        <v>--</v>
      </c>
      <c r="Q32" s="278">
        <f>ROUND(10, 3)</f>
        <v>10</v>
      </c>
      <c r="R32" s="268" t="s">
        <v>847</v>
      </c>
      <c r="S32" s="242">
        <f>IF(10 &gt; 0, IF(0=1, ROUND((50/10), 1),ROUND((50/(SQRT(3)*10)), 1)), "")</f>
        <v>2.9</v>
      </c>
      <c r="T32" s="278">
        <f>ROUND(0.400000006, 3)</f>
        <v>0.4</v>
      </c>
      <c r="U32" s="276" t="s">
        <v>847</v>
      </c>
      <c r="V32" s="242">
        <f>IF(0.400000006 &gt; 0, IF(0=1, ROUND((50/0.400000006), 1),ROUND((50/(SQRT(3)*0.400000006)), 1)), "")</f>
        <v>72.2</v>
      </c>
      <c r="W32" s="278">
        <f>ROUND(10, 1)</f>
        <v>10</v>
      </c>
      <c r="X32" s="276" t="s">
        <v>850</v>
      </c>
      <c r="Y32" s="260">
        <f>ROUND(20, 1)</f>
        <v>20</v>
      </c>
      <c r="Z32" s="278">
        <f>ROUND(10, 1)</f>
        <v>10</v>
      </c>
      <c r="AA32" s="268" t="s">
        <v>850</v>
      </c>
      <c r="AB32" s="260">
        <f>ROUND(20, 1)</f>
        <v>20</v>
      </c>
      <c r="AC32" s="260">
        <f>ROUND(0, 3)</f>
        <v>0</v>
      </c>
      <c r="AD32" s="260">
        <f>ROUND(0, 3)</f>
        <v>0</v>
      </c>
      <c r="AE32" s="260">
        <f>ROUND(0, 3)</f>
        <v>0</v>
      </c>
      <c r="AF32" s="260">
        <f>ROUND(0, 3)</f>
        <v>0</v>
      </c>
      <c r="AG32" s="260">
        <f>ROUND(0, 3)</f>
        <v>0</v>
      </c>
      <c r="AH32" s="260">
        <f>ROUND(0, 3)</f>
        <v>0</v>
      </c>
      <c r="AI32" s="260" t="str">
        <f>FIXED(0,1)</f>
        <v>0.0</v>
      </c>
      <c r="AJ32" s="260" t="str">
        <f>FIXED(0,1)</f>
        <v>0.0</v>
      </c>
      <c r="AK32" s="260" t="str">
        <f>IF(0=1, "Yes", "No")</f>
        <v>No</v>
      </c>
      <c r="AL32" s="242" t="str">
        <f>IF(0=1, ROUND(-10, 1), "--")</f>
        <v>--</v>
      </c>
      <c r="AM32" s="260" t="str">
        <f>IF(0=1, ROUND(10, 1), "--")</f>
        <v>--</v>
      </c>
      <c r="AN32" s="260" t="str">
        <f>IF(0=1, ROUND(0.625, 3), "--")</f>
        <v>--</v>
      </c>
      <c r="AO32" s="260" t="str">
        <f>IF(0=1, "3637", "--")</f>
        <v>--</v>
      </c>
      <c r="AP32" s="260" t="str">
        <f>IF(0=1, ROUND(100, 1), "--")</f>
        <v>--</v>
      </c>
      <c r="AQ32" s="260" t="str">
        <f>IF(0=1, "Yes", "No")</f>
        <v>No</v>
      </c>
      <c r="AR32" s="260" t="str">
        <f>IF(0=1, ROUND(-10, 1), "--")</f>
        <v>--</v>
      </c>
      <c r="AS32" s="260" t="str">
        <f>IF(0=1, ROUND(10, 1), "--")</f>
        <v>--</v>
      </c>
      <c r="AT32" s="260" t="str">
        <f>IF(0=1, ROUND(0.625, 1), "--")</f>
        <v>--</v>
      </c>
      <c r="AU32" s="260" t="str">
        <f>IF(0=1, "3637", "--")</f>
        <v>--</v>
      </c>
      <c r="AV32" s="260" t="str">
        <f>IF(0=1, ROUND(100, 1), "--")</f>
        <v>--</v>
      </c>
      <c r="AW32" s="242" t="str">
        <f>IF(0 = 0, IF(1=0, "Y", "Δ"),"--")</f>
        <v>Δ</v>
      </c>
      <c r="AX32" s="242" t="str">
        <f>IF(1=1, "--", CHOOSE((1 + 1), "Open", "Solid", "Resistor", "Reactor", "Xfmr-Resistor", "Xfmr-Reactor"))</f>
        <v>--</v>
      </c>
      <c r="AY32" s="242" t="str">
        <f>IF(0 = 0, IF(0=0,  "Y", "Δ"),IF(1=0,  "Ungrounded", "Grounded"))</f>
        <v>Y</v>
      </c>
      <c r="AZ32" s="242" t="str">
        <f>IF(0 = 0,IF(0=1, "--", CHOOSE((1 + 1), "Open", "Solid", "Resistor", "Reactor", "Xfmr-Resistor", "Xfmr-Reactor"))," ")</f>
        <v>Solid</v>
      </c>
      <c r="BA32" s="242" t="str">
        <f>IF(0 = 0, "ANSI", "IEC")</f>
        <v>ANSI</v>
      </c>
      <c r="BB32" s="242" t="str">
        <f>IF(0 = 1, "--",  CHOOSE((2 + 1), "Infrequent","Frequent","Both"))</f>
        <v>Both</v>
      </c>
      <c r="BC32" s="242" t="str">
        <f>IF(0 = 1, "--", IF(1=1, "Yes", "No"))</f>
        <v>Yes</v>
      </c>
      <c r="BD32" s="242">
        <f>IF(0 = 1, "--", ROUND(1, 2))</f>
        <v>1</v>
      </c>
      <c r="BE32" s="242" t="str">
        <f>CHOOSE((0+1), "Point", "Curve - Piecewise", "Curve - Equation")</f>
        <v>Point</v>
      </c>
      <c r="BF32" s="242">
        <f>ROUND(8, 1)</f>
        <v>8</v>
      </c>
      <c r="BG32" s="242">
        <f>IF(0=2,ROUND(60, 1),ROUND(6, 1))</f>
        <v>6</v>
      </c>
      <c r="BH32" s="242">
        <v>0</v>
      </c>
      <c r="BI32" s="260" t="s">
        <v>6327</v>
      </c>
      <c r="BJ32" s="260">
        <f>ROUND(1,2)</f>
        <v>1</v>
      </c>
      <c r="BK32" s="260"/>
      <c r="BL32" s="260"/>
      <c r="BM32" s="260"/>
      <c r="BN32" s="260"/>
      <c r="BO32" s="260"/>
      <c r="BP32" s="53" t="s">
        <v>6370</v>
      </c>
    </row>
    <row r="33" spans="1:68">
      <c r="A33" s="105" t="s">
        <v>6371</v>
      </c>
      <c r="B33" s="105" t="str">
        <f>IF(TRUE = TRUE, "Yes", "No")</f>
        <v>Yes</v>
      </c>
      <c r="C33" s="105" t="s">
        <v>5202</v>
      </c>
      <c r="D33" s="105"/>
      <c r="E33" s="105" t="str">
        <f>IF(TRIM( "BUS_平花苑#3变高压母线_238") = "", "BUS_平花苑#3变高压母线_238", "BUS_平花苑#3变高压母线_238")</f>
        <v>BUS_平花苑#3变高压母线_238</v>
      </c>
      <c r="F33" s="105" t="str">
        <f>IF(TRIM( "BUS_苑3主变2变_827_1489") = "","BUS_苑3主变2变_827_1489","BUS_苑3主变2变_827_1489")</f>
        <v>BUS_苑3主变2变_827_1489</v>
      </c>
      <c r="G33" s="105" t="str">
        <f>IF(0 = 0, "3", "1")</f>
        <v>3</v>
      </c>
      <c r="H33" s="105" t="str">
        <f>IF(0 = 0, "N", "Y")</f>
        <v>N</v>
      </c>
      <c r="I33" s="105" t="str">
        <f>IF(0 = 0, CHOOSE((0+1), "Shell", "3 Limb","4 Limb","5 Limb","3 1-Phase"), IF(0 = 1,CHOOSE((0+1), "Shell", "Core"),"--"))</f>
        <v>Shell</v>
      </c>
      <c r="J33" s="242">
        <f xml:space="preserve"> IF(65 = 65, 65, CONCATENATE(65, "/", 65))</f>
        <v>65</v>
      </c>
      <c r="K33" s="275">
        <f>CHOOSE((0 + 1), 50 / 1000,50, 50 * 1000)</f>
        <v>0.05</v>
      </c>
      <c r="L33" s="276" t="str">
        <f>CHOOSE((0 + 1), "MVA", "kVA", "VA")</f>
        <v>MVA</v>
      </c>
      <c r="M33" s="277">
        <f xml:space="preserve"> 50</f>
        <v>50</v>
      </c>
      <c r="N33" s="277" t="str">
        <f>IF(0 = 4,CHOOSE((0 + 1), 0 / 1000,0, 0 * 1000),"--")</f>
        <v>--</v>
      </c>
      <c r="O33" s="277" t="str">
        <f>IF(0 = 4,CHOOSE((0 + 1), 0 / 1000,0, 0 * 1000),"--")</f>
        <v>--</v>
      </c>
      <c r="P33" s="277" t="str">
        <f>IF(0 = 4,CHOOSE((0 + 1), 0 / 1000,0, 0 * 1000),"--")</f>
        <v>--</v>
      </c>
      <c r="Q33" s="278">
        <f>ROUND(10, 3)</f>
        <v>10</v>
      </c>
      <c r="R33" s="268" t="s">
        <v>847</v>
      </c>
      <c r="S33" s="242">
        <f>IF(10 &gt; 0, IF(0=1, ROUND((50/10), 1),ROUND((50/(SQRT(3)*10)), 1)), "")</f>
        <v>2.9</v>
      </c>
      <c r="T33" s="278">
        <f>ROUND(0.400000006, 3)</f>
        <v>0.4</v>
      </c>
      <c r="U33" s="276" t="s">
        <v>847</v>
      </c>
      <c r="V33" s="242">
        <f>IF(0.400000006 &gt; 0, IF(0=1, ROUND((50/0.400000006), 1),ROUND((50/(SQRT(3)*0.400000006)), 1)), "")</f>
        <v>72.2</v>
      </c>
      <c r="W33" s="278">
        <f>ROUND(10, 1)</f>
        <v>10</v>
      </c>
      <c r="X33" s="276" t="s">
        <v>850</v>
      </c>
      <c r="Y33" s="260">
        <f>ROUND(20, 1)</f>
        <v>20</v>
      </c>
      <c r="Z33" s="278">
        <f>ROUND(10, 1)</f>
        <v>10</v>
      </c>
      <c r="AA33" s="268" t="s">
        <v>850</v>
      </c>
      <c r="AB33" s="260">
        <f>ROUND(20, 1)</f>
        <v>20</v>
      </c>
      <c r="AC33" s="260">
        <f>ROUND(0, 3)</f>
        <v>0</v>
      </c>
      <c r="AD33" s="260">
        <f>ROUND(0, 3)</f>
        <v>0</v>
      </c>
      <c r="AE33" s="260">
        <f>ROUND(0, 3)</f>
        <v>0</v>
      </c>
      <c r="AF33" s="260">
        <f>ROUND(0, 3)</f>
        <v>0</v>
      </c>
      <c r="AG33" s="260">
        <f>ROUND(0, 3)</f>
        <v>0</v>
      </c>
      <c r="AH33" s="260">
        <f>ROUND(0, 3)</f>
        <v>0</v>
      </c>
      <c r="AI33" s="260" t="str">
        <f>FIXED(0,1)</f>
        <v>0.0</v>
      </c>
      <c r="AJ33" s="260" t="str">
        <f>FIXED(0,1)</f>
        <v>0.0</v>
      </c>
      <c r="AK33" s="260" t="str">
        <f>IF(0=1, "Yes", "No")</f>
        <v>No</v>
      </c>
      <c r="AL33" s="242" t="str">
        <f>IF(0=1, ROUND(-10, 1), "--")</f>
        <v>--</v>
      </c>
      <c r="AM33" s="260" t="str">
        <f>IF(0=1, ROUND(10, 1), "--")</f>
        <v>--</v>
      </c>
      <c r="AN33" s="260" t="str">
        <f>IF(0=1, ROUND(0.625, 3), "--")</f>
        <v>--</v>
      </c>
      <c r="AO33" s="260" t="str">
        <f>IF(0=1, "3522", "--")</f>
        <v>--</v>
      </c>
      <c r="AP33" s="260" t="str">
        <f>IF(0=1, ROUND(100, 1), "--")</f>
        <v>--</v>
      </c>
      <c r="AQ33" s="260" t="str">
        <f>IF(0=1, "Yes", "No")</f>
        <v>No</v>
      </c>
      <c r="AR33" s="260" t="str">
        <f>IF(0=1, ROUND(-10, 1), "--")</f>
        <v>--</v>
      </c>
      <c r="AS33" s="260" t="str">
        <f>IF(0=1, ROUND(10, 1), "--")</f>
        <v>--</v>
      </c>
      <c r="AT33" s="260" t="str">
        <f>IF(0=1, ROUND(0.625, 1), "--")</f>
        <v>--</v>
      </c>
      <c r="AU33" s="260" t="str">
        <f>IF(0=1, "3522", "--")</f>
        <v>--</v>
      </c>
      <c r="AV33" s="260" t="str">
        <f>IF(0=1, ROUND(100, 1), "--")</f>
        <v>--</v>
      </c>
      <c r="AW33" s="242" t="str">
        <f>IF(0 = 0, IF(1=0, "Y", "Δ"),"--")</f>
        <v>Δ</v>
      </c>
      <c r="AX33" s="242" t="str">
        <f>IF(1=1, "--", CHOOSE((1 + 1), "Open", "Solid", "Resistor", "Reactor", "Xfmr-Resistor", "Xfmr-Reactor"))</f>
        <v>--</v>
      </c>
      <c r="AY33" s="242" t="str">
        <f>IF(0 = 0, IF(0=0,  "Y", "Δ"),IF(1=0,  "Ungrounded", "Grounded"))</f>
        <v>Y</v>
      </c>
      <c r="AZ33" s="242" t="str">
        <f>IF(0 = 0,IF(0=1, "--", CHOOSE((1 + 1), "Open", "Solid", "Resistor", "Reactor", "Xfmr-Resistor", "Xfmr-Reactor"))," ")</f>
        <v>Solid</v>
      </c>
      <c r="BA33" s="242" t="str">
        <f>IF(0 = 0, "ANSI", "IEC")</f>
        <v>ANSI</v>
      </c>
      <c r="BB33" s="242" t="str">
        <f>IF(0 = 1, "--",  CHOOSE((2 + 1), "Infrequent","Frequent","Both"))</f>
        <v>Both</v>
      </c>
      <c r="BC33" s="242" t="str">
        <f>IF(0 = 1, "--", IF(1=1, "Yes", "No"))</f>
        <v>Yes</v>
      </c>
      <c r="BD33" s="242">
        <f>IF(0 = 1, "--", ROUND(1, 2))</f>
        <v>1</v>
      </c>
      <c r="BE33" s="242" t="str">
        <f>CHOOSE((0+1), "Point", "Curve - Piecewise", "Curve - Equation")</f>
        <v>Point</v>
      </c>
      <c r="BF33" s="242">
        <f>ROUND(8, 1)</f>
        <v>8</v>
      </c>
      <c r="BG33" s="242">
        <f>IF(0=2,ROUND(60, 1),ROUND(6, 1))</f>
        <v>6</v>
      </c>
      <c r="BH33" s="242">
        <v>0</v>
      </c>
      <c r="BI33" s="260" t="s">
        <v>6327</v>
      </c>
      <c r="BJ33" s="260">
        <f>ROUND(1,2)</f>
        <v>1</v>
      </c>
      <c r="BK33" s="260"/>
      <c r="BL33" s="260"/>
      <c r="BM33" s="260"/>
      <c r="BN33" s="260"/>
      <c r="BO33" s="260"/>
      <c r="BP33" s="53" t="s">
        <v>6372</v>
      </c>
    </row>
    <row r="34" spans="1:68">
      <c r="A34" s="105" t="s">
        <v>6373</v>
      </c>
      <c r="B34" s="105" t="str">
        <f>IF(TRUE = TRUE, "Yes", "No")</f>
        <v>Yes</v>
      </c>
      <c r="C34" s="105" t="s">
        <v>5202</v>
      </c>
      <c r="D34" s="105"/>
      <c r="E34" s="105" t="str">
        <f>IF(TRIM( "BUS_CNODE_JCT__1459") = "", "BUS_CNODE_JCT__1459", "BUS_CNODE_JCT__1459")</f>
        <v>BUS_CNODE_JCT__1459</v>
      </c>
      <c r="F34" s="105" t="str">
        <f>IF(TRIM( "BUS_苑4主变1变_828_1543") = "","BUS_苑4主变1变_828_1543","BUS_苑4主变1变_828_1543")</f>
        <v>BUS_苑4主变1变_828_1543</v>
      </c>
      <c r="G34" s="105" t="str">
        <f>IF(0 = 0, "3", "1")</f>
        <v>3</v>
      </c>
      <c r="H34" s="105" t="str">
        <f>IF(0 = 0, "N", "Y")</f>
        <v>N</v>
      </c>
      <c r="I34" s="105" t="str">
        <f>IF(0 = 0, CHOOSE((0+1), "Shell", "3 Limb","4 Limb","5 Limb","3 1-Phase"), IF(0 = 1,CHOOSE((0+1), "Shell", "Core"),"--"))</f>
        <v>Shell</v>
      </c>
      <c r="J34" s="242">
        <f xml:space="preserve"> IF(65 = 65, 65, CONCATENATE(65, "/", 65))</f>
        <v>65</v>
      </c>
      <c r="K34" s="275">
        <f>CHOOSE((0 + 1), 50 / 1000,50, 50 * 1000)</f>
        <v>0.05</v>
      </c>
      <c r="L34" s="276" t="str">
        <f>CHOOSE((0 + 1), "MVA", "kVA", "VA")</f>
        <v>MVA</v>
      </c>
      <c r="M34" s="277">
        <f xml:space="preserve"> 50</f>
        <v>50</v>
      </c>
      <c r="N34" s="277" t="str">
        <f>IF(0 = 4,CHOOSE((0 + 1), 0 / 1000,0, 0 * 1000),"--")</f>
        <v>--</v>
      </c>
      <c r="O34" s="277" t="str">
        <f>IF(0 = 4,CHOOSE((0 + 1), 0 / 1000,0, 0 * 1000),"--")</f>
        <v>--</v>
      </c>
      <c r="P34" s="277" t="str">
        <f>IF(0 = 4,CHOOSE((0 + 1), 0 / 1000,0, 0 * 1000),"--")</f>
        <v>--</v>
      </c>
      <c r="Q34" s="278">
        <f>ROUND(10, 3)</f>
        <v>10</v>
      </c>
      <c r="R34" s="268" t="s">
        <v>847</v>
      </c>
      <c r="S34" s="242">
        <f>IF(10 &gt; 0, IF(0=1, ROUND((50/10), 1),ROUND((50/(SQRT(3)*10)), 1)), "")</f>
        <v>2.9</v>
      </c>
      <c r="T34" s="278">
        <f>ROUND(0.400000006, 3)</f>
        <v>0.4</v>
      </c>
      <c r="U34" s="276" t="s">
        <v>847</v>
      </c>
      <c r="V34" s="242">
        <f>IF(0.400000006 &gt; 0, IF(0=1, ROUND((50/0.400000006), 1),ROUND((50/(SQRT(3)*0.400000006)), 1)), "")</f>
        <v>72.2</v>
      </c>
      <c r="W34" s="278">
        <f>ROUND(10, 1)</f>
        <v>10</v>
      </c>
      <c r="X34" s="276" t="s">
        <v>850</v>
      </c>
      <c r="Y34" s="260">
        <f>ROUND(20, 1)</f>
        <v>20</v>
      </c>
      <c r="Z34" s="278">
        <f>ROUND(10, 1)</f>
        <v>10</v>
      </c>
      <c r="AA34" s="268" t="s">
        <v>850</v>
      </c>
      <c r="AB34" s="260">
        <f>ROUND(20, 1)</f>
        <v>20</v>
      </c>
      <c r="AC34" s="260">
        <f>ROUND(0, 3)</f>
        <v>0</v>
      </c>
      <c r="AD34" s="260">
        <f>ROUND(0, 3)</f>
        <v>0</v>
      </c>
      <c r="AE34" s="260">
        <f>ROUND(0, 3)</f>
        <v>0</v>
      </c>
      <c r="AF34" s="260">
        <f>ROUND(0, 3)</f>
        <v>0</v>
      </c>
      <c r="AG34" s="260">
        <f>ROUND(0, 3)</f>
        <v>0</v>
      </c>
      <c r="AH34" s="260">
        <f>ROUND(0, 3)</f>
        <v>0</v>
      </c>
      <c r="AI34" s="260" t="str">
        <f>FIXED(0,1)</f>
        <v>0.0</v>
      </c>
      <c r="AJ34" s="260" t="str">
        <f>FIXED(0,1)</f>
        <v>0.0</v>
      </c>
      <c r="AK34" s="260" t="str">
        <f>IF(0=1, "Yes", "No")</f>
        <v>No</v>
      </c>
      <c r="AL34" s="242" t="str">
        <f>IF(0=1, ROUND(-10, 1), "--")</f>
        <v>--</v>
      </c>
      <c r="AM34" s="260" t="str">
        <f>IF(0=1, ROUND(10, 1), "--")</f>
        <v>--</v>
      </c>
      <c r="AN34" s="260" t="str">
        <f>IF(0=1, ROUND(0.625, 3), "--")</f>
        <v>--</v>
      </c>
      <c r="AO34" s="260" t="str">
        <f>IF(0=1, "3639", "--")</f>
        <v>--</v>
      </c>
      <c r="AP34" s="260" t="str">
        <f>IF(0=1, ROUND(100, 1), "--")</f>
        <v>--</v>
      </c>
      <c r="AQ34" s="260" t="str">
        <f>IF(0=1, "Yes", "No")</f>
        <v>No</v>
      </c>
      <c r="AR34" s="260" t="str">
        <f>IF(0=1, ROUND(-10, 1), "--")</f>
        <v>--</v>
      </c>
      <c r="AS34" s="260" t="str">
        <f>IF(0=1, ROUND(10, 1), "--")</f>
        <v>--</v>
      </c>
      <c r="AT34" s="260" t="str">
        <f>IF(0=1, ROUND(0.625, 1), "--")</f>
        <v>--</v>
      </c>
      <c r="AU34" s="260" t="str">
        <f>IF(0=1, "3639", "--")</f>
        <v>--</v>
      </c>
      <c r="AV34" s="260" t="str">
        <f>IF(0=1, ROUND(100, 1), "--")</f>
        <v>--</v>
      </c>
      <c r="AW34" s="242" t="str">
        <f>IF(0 = 0, IF(1=0, "Y", "Δ"),"--")</f>
        <v>Δ</v>
      </c>
      <c r="AX34" s="242" t="str">
        <f>IF(1=1, "--", CHOOSE((1 + 1), "Open", "Solid", "Resistor", "Reactor", "Xfmr-Resistor", "Xfmr-Reactor"))</f>
        <v>--</v>
      </c>
      <c r="AY34" s="242" t="str">
        <f>IF(0 = 0, IF(0=0,  "Y", "Δ"),IF(1=0,  "Ungrounded", "Grounded"))</f>
        <v>Y</v>
      </c>
      <c r="AZ34" s="242" t="str">
        <f>IF(0 = 0,IF(0=1, "--", CHOOSE((1 + 1), "Open", "Solid", "Resistor", "Reactor", "Xfmr-Resistor", "Xfmr-Reactor"))," ")</f>
        <v>Solid</v>
      </c>
      <c r="BA34" s="242" t="str">
        <f>IF(0 = 0, "ANSI", "IEC")</f>
        <v>ANSI</v>
      </c>
      <c r="BB34" s="242" t="str">
        <f>IF(0 = 1, "--",  CHOOSE((2 + 1), "Infrequent","Frequent","Both"))</f>
        <v>Both</v>
      </c>
      <c r="BC34" s="242" t="str">
        <f>IF(0 = 1, "--", IF(1=1, "Yes", "No"))</f>
        <v>Yes</v>
      </c>
      <c r="BD34" s="242">
        <f>IF(0 = 1, "--", ROUND(1, 2))</f>
        <v>1</v>
      </c>
      <c r="BE34" s="242" t="str">
        <f>CHOOSE((0+1), "Point", "Curve - Piecewise", "Curve - Equation")</f>
        <v>Point</v>
      </c>
      <c r="BF34" s="242">
        <f>ROUND(8, 1)</f>
        <v>8</v>
      </c>
      <c r="BG34" s="242">
        <f>IF(0=2,ROUND(60, 1),ROUND(6, 1))</f>
        <v>6</v>
      </c>
      <c r="BH34" s="242">
        <v>0</v>
      </c>
      <c r="BI34" s="260" t="s">
        <v>6327</v>
      </c>
      <c r="BJ34" s="260">
        <f>ROUND(1,2)</f>
        <v>1</v>
      </c>
      <c r="BK34" s="260"/>
      <c r="BL34" s="260"/>
      <c r="BM34" s="260"/>
      <c r="BN34" s="260"/>
      <c r="BO34" s="260"/>
      <c r="BP34" s="53" t="s">
        <v>6374</v>
      </c>
    </row>
    <row r="35" spans="1:68">
      <c r="A35" s="105" t="s">
        <v>6375</v>
      </c>
      <c r="B35" s="105" t="str">
        <f>IF(TRUE = TRUE, "Yes", "No")</f>
        <v>Yes</v>
      </c>
      <c r="C35" s="105" t="s">
        <v>5202</v>
      </c>
      <c r="D35" s="105"/>
      <c r="E35" s="105" t="str">
        <f>IF(TRIM( "BUS_平花苑#4变高压母线_239") = "", "BUS_平花苑#4变高压母线_239", "BUS_平花苑#4变高压母线_239")</f>
        <v>BUS_平花苑#4变高压母线_239</v>
      </c>
      <c r="F35" s="105" t="str">
        <f>IF(TRIM( "BUS_苑4主变2变_829_1483") = "","BUS_苑4主变2变_829_1483","BUS_苑4主变2变_829_1483")</f>
        <v>BUS_苑4主变2变_829_1483</v>
      </c>
      <c r="G35" s="105" t="str">
        <f>IF(0 = 0, "3", "1")</f>
        <v>3</v>
      </c>
      <c r="H35" s="105" t="str">
        <f>IF(0 = 0, "N", "Y")</f>
        <v>N</v>
      </c>
      <c r="I35" s="105" t="str">
        <f>IF(0 = 0, CHOOSE((0+1), "Shell", "3 Limb","4 Limb","5 Limb","3 1-Phase"), IF(0 = 1,CHOOSE((0+1), "Shell", "Core"),"--"))</f>
        <v>Shell</v>
      </c>
      <c r="J35" s="242">
        <f xml:space="preserve"> IF(65 = 65, 65, CONCATENATE(65, "/", 65))</f>
        <v>65</v>
      </c>
      <c r="K35" s="275">
        <f>CHOOSE((0 + 1), 50 / 1000,50, 50 * 1000)</f>
        <v>0.05</v>
      </c>
      <c r="L35" s="276" t="str">
        <f>CHOOSE((0 + 1), "MVA", "kVA", "VA")</f>
        <v>MVA</v>
      </c>
      <c r="M35" s="277">
        <f xml:space="preserve"> 50</f>
        <v>50</v>
      </c>
      <c r="N35" s="277" t="str">
        <f>IF(0 = 4,CHOOSE((0 + 1), 0 / 1000,0, 0 * 1000),"--")</f>
        <v>--</v>
      </c>
      <c r="O35" s="277" t="str">
        <f>IF(0 = 4,CHOOSE((0 + 1), 0 / 1000,0, 0 * 1000),"--")</f>
        <v>--</v>
      </c>
      <c r="P35" s="277" t="str">
        <f>IF(0 = 4,CHOOSE((0 + 1), 0 / 1000,0, 0 * 1000),"--")</f>
        <v>--</v>
      </c>
      <c r="Q35" s="278">
        <f>ROUND(10, 3)</f>
        <v>10</v>
      </c>
      <c r="R35" s="268" t="s">
        <v>847</v>
      </c>
      <c r="S35" s="242">
        <f>IF(10 &gt; 0, IF(0=1, ROUND((50/10), 1),ROUND((50/(SQRT(3)*10)), 1)), "")</f>
        <v>2.9</v>
      </c>
      <c r="T35" s="278">
        <f>ROUND(0.400000006, 3)</f>
        <v>0.4</v>
      </c>
      <c r="U35" s="276" t="s">
        <v>847</v>
      </c>
      <c r="V35" s="242">
        <f>IF(0.400000006 &gt; 0, IF(0=1, ROUND((50/0.400000006), 1),ROUND((50/(SQRT(3)*0.400000006)), 1)), "")</f>
        <v>72.2</v>
      </c>
      <c r="W35" s="278">
        <f>ROUND(10, 1)</f>
        <v>10</v>
      </c>
      <c r="X35" s="276" t="s">
        <v>850</v>
      </c>
      <c r="Y35" s="260">
        <f>ROUND(20, 1)</f>
        <v>20</v>
      </c>
      <c r="Z35" s="278">
        <f>ROUND(10, 1)</f>
        <v>10</v>
      </c>
      <c r="AA35" s="268" t="s">
        <v>850</v>
      </c>
      <c r="AB35" s="260">
        <f>ROUND(20, 1)</f>
        <v>20</v>
      </c>
      <c r="AC35" s="260">
        <f>ROUND(0, 3)</f>
        <v>0</v>
      </c>
      <c r="AD35" s="260">
        <f>ROUND(0, 3)</f>
        <v>0</v>
      </c>
      <c r="AE35" s="260">
        <f>ROUND(0, 3)</f>
        <v>0</v>
      </c>
      <c r="AF35" s="260">
        <f>ROUND(0, 3)</f>
        <v>0</v>
      </c>
      <c r="AG35" s="260">
        <f>ROUND(0, 3)</f>
        <v>0</v>
      </c>
      <c r="AH35" s="260">
        <f>ROUND(0, 3)</f>
        <v>0</v>
      </c>
      <c r="AI35" s="260" t="str">
        <f>FIXED(0,1)</f>
        <v>0.0</v>
      </c>
      <c r="AJ35" s="260" t="str">
        <f>FIXED(0,1)</f>
        <v>0.0</v>
      </c>
      <c r="AK35" s="260" t="str">
        <f>IF(0=1, "Yes", "No")</f>
        <v>No</v>
      </c>
      <c r="AL35" s="242" t="str">
        <f>IF(0=1, ROUND(-10, 1), "--")</f>
        <v>--</v>
      </c>
      <c r="AM35" s="260" t="str">
        <f>IF(0=1, ROUND(10, 1), "--")</f>
        <v>--</v>
      </c>
      <c r="AN35" s="260" t="str">
        <f>IF(0=1, ROUND(0.625, 3), "--")</f>
        <v>--</v>
      </c>
      <c r="AO35" s="260" t="str">
        <f>IF(0=1, "3507", "--")</f>
        <v>--</v>
      </c>
      <c r="AP35" s="260" t="str">
        <f>IF(0=1, ROUND(100, 1), "--")</f>
        <v>--</v>
      </c>
      <c r="AQ35" s="260" t="str">
        <f>IF(0=1, "Yes", "No")</f>
        <v>No</v>
      </c>
      <c r="AR35" s="260" t="str">
        <f>IF(0=1, ROUND(-10, 1), "--")</f>
        <v>--</v>
      </c>
      <c r="AS35" s="260" t="str">
        <f>IF(0=1, ROUND(10, 1), "--")</f>
        <v>--</v>
      </c>
      <c r="AT35" s="260" t="str">
        <f>IF(0=1, ROUND(0.625, 1), "--")</f>
        <v>--</v>
      </c>
      <c r="AU35" s="260" t="str">
        <f>IF(0=1, "3507", "--")</f>
        <v>--</v>
      </c>
      <c r="AV35" s="260" t="str">
        <f>IF(0=1, ROUND(100, 1), "--")</f>
        <v>--</v>
      </c>
      <c r="AW35" s="242" t="str">
        <f>IF(0 = 0, IF(1=0, "Y", "Δ"),"--")</f>
        <v>Δ</v>
      </c>
      <c r="AX35" s="242" t="str">
        <f>IF(1=1, "--", CHOOSE((1 + 1), "Open", "Solid", "Resistor", "Reactor", "Xfmr-Resistor", "Xfmr-Reactor"))</f>
        <v>--</v>
      </c>
      <c r="AY35" s="242" t="str">
        <f>IF(0 = 0, IF(0=0,  "Y", "Δ"),IF(1=0,  "Ungrounded", "Grounded"))</f>
        <v>Y</v>
      </c>
      <c r="AZ35" s="242" t="str">
        <f>IF(0 = 0,IF(0=1, "--", CHOOSE((1 + 1), "Open", "Solid", "Resistor", "Reactor", "Xfmr-Resistor", "Xfmr-Reactor"))," ")</f>
        <v>Solid</v>
      </c>
      <c r="BA35" s="242" t="str">
        <f>IF(0 = 0, "ANSI", "IEC")</f>
        <v>ANSI</v>
      </c>
      <c r="BB35" s="242" t="str">
        <f>IF(0 = 1, "--",  CHOOSE((2 + 1), "Infrequent","Frequent","Both"))</f>
        <v>Both</v>
      </c>
      <c r="BC35" s="242" t="str">
        <f>IF(0 = 1, "--", IF(1=1, "Yes", "No"))</f>
        <v>Yes</v>
      </c>
      <c r="BD35" s="242">
        <f>IF(0 = 1, "--", ROUND(1, 2))</f>
        <v>1</v>
      </c>
      <c r="BE35" s="242" t="str">
        <f>CHOOSE((0+1), "Point", "Curve - Piecewise", "Curve - Equation")</f>
        <v>Point</v>
      </c>
      <c r="BF35" s="242">
        <f>ROUND(8, 1)</f>
        <v>8</v>
      </c>
      <c r="BG35" s="242">
        <f>IF(0=2,ROUND(60, 1),ROUND(6, 1))</f>
        <v>6</v>
      </c>
      <c r="BH35" s="242">
        <v>0</v>
      </c>
      <c r="BI35" s="260" t="s">
        <v>6327</v>
      </c>
      <c r="BJ35" s="260">
        <f>ROUND(1,2)</f>
        <v>1</v>
      </c>
      <c r="BK35" s="260"/>
      <c r="BL35" s="260"/>
      <c r="BM35" s="260"/>
      <c r="BN35" s="260"/>
      <c r="BO35" s="260"/>
      <c r="BP35" s="53" t="s">
        <v>6376</v>
      </c>
    </row>
    <row r="36" spans="1:68">
      <c r="A36" s="105" t="s">
        <v>6377</v>
      </c>
      <c r="B36" s="105" t="str">
        <f>IF(TRUE = TRUE, "Yes", "No")</f>
        <v>Yes</v>
      </c>
      <c r="C36" s="105" t="s">
        <v>5202</v>
      </c>
      <c r="D36" s="105"/>
      <c r="E36" s="105" t="str">
        <f>IF(TRIM( "BUS_CNODE_JCT__1455") = "", "BUS_CNODE_JCT__1455", "BUS_CNODE_JCT__1455")</f>
        <v>BUS_CNODE_JCT__1455</v>
      </c>
      <c r="F36" s="105" t="str">
        <f>IF(TRIM( "BUS_苑6主变_823_1535") = "","BUS_苑6主变_823_1535","BUS_苑6主变_823_1535")</f>
        <v>BUS_苑6主变_823_1535</v>
      </c>
      <c r="G36" s="105" t="str">
        <f>IF(0 = 0, "3", "1")</f>
        <v>3</v>
      </c>
      <c r="H36" s="105" t="str">
        <f>IF(0 = 0, "N", "Y")</f>
        <v>N</v>
      </c>
      <c r="I36" s="105" t="str">
        <f>IF(0 = 0, CHOOSE((0+1), "Shell", "3 Limb","4 Limb","5 Limb","3 1-Phase"), IF(0 = 1,CHOOSE((0+1), "Shell", "Core"),"--"))</f>
        <v>Shell</v>
      </c>
      <c r="J36" s="242">
        <f xml:space="preserve"> IF(65 = 65, 65, CONCATENATE(65, "/", 65))</f>
        <v>65</v>
      </c>
      <c r="K36" s="275">
        <f>CHOOSE((0 + 1), 50 / 1000,50, 50 * 1000)</f>
        <v>0.05</v>
      </c>
      <c r="L36" s="276" t="str">
        <f>CHOOSE((0 + 1), "MVA", "kVA", "VA")</f>
        <v>MVA</v>
      </c>
      <c r="M36" s="277">
        <f xml:space="preserve"> 50</f>
        <v>50</v>
      </c>
      <c r="N36" s="277" t="str">
        <f>IF(0 = 4,CHOOSE((0 + 1), 0 / 1000,0, 0 * 1000),"--")</f>
        <v>--</v>
      </c>
      <c r="O36" s="277" t="str">
        <f>IF(0 = 4,CHOOSE((0 + 1), 0 / 1000,0, 0 * 1000),"--")</f>
        <v>--</v>
      </c>
      <c r="P36" s="277" t="str">
        <f>IF(0 = 4,CHOOSE((0 + 1), 0 / 1000,0, 0 * 1000),"--")</f>
        <v>--</v>
      </c>
      <c r="Q36" s="278">
        <f>ROUND(10, 3)</f>
        <v>10</v>
      </c>
      <c r="R36" s="268" t="s">
        <v>847</v>
      </c>
      <c r="S36" s="242">
        <f>IF(10 &gt; 0, IF(0=1, ROUND((50/10), 1),ROUND((50/(SQRT(3)*10)), 1)), "")</f>
        <v>2.9</v>
      </c>
      <c r="T36" s="278">
        <f>ROUND(0.400000006, 3)</f>
        <v>0.4</v>
      </c>
      <c r="U36" s="276" t="s">
        <v>847</v>
      </c>
      <c r="V36" s="242">
        <f>IF(0.400000006 &gt; 0, IF(0=1, ROUND((50/0.400000006), 1),ROUND((50/(SQRT(3)*0.400000006)), 1)), "")</f>
        <v>72.2</v>
      </c>
      <c r="W36" s="278">
        <f>ROUND(10, 1)</f>
        <v>10</v>
      </c>
      <c r="X36" s="276" t="s">
        <v>850</v>
      </c>
      <c r="Y36" s="260">
        <f>ROUND(20, 1)</f>
        <v>20</v>
      </c>
      <c r="Z36" s="278">
        <f>ROUND(10, 1)</f>
        <v>10</v>
      </c>
      <c r="AA36" s="268" t="s">
        <v>850</v>
      </c>
      <c r="AB36" s="260">
        <f>ROUND(20, 1)</f>
        <v>20</v>
      </c>
      <c r="AC36" s="260">
        <f>ROUND(0, 3)</f>
        <v>0</v>
      </c>
      <c r="AD36" s="260">
        <f>ROUND(0, 3)</f>
        <v>0</v>
      </c>
      <c r="AE36" s="260">
        <f>ROUND(0, 3)</f>
        <v>0</v>
      </c>
      <c r="AF36" s="260">
        <f>ROUND(0, 3)</f>
        <v>0</v>
      </c>
      <c r="AG36" s="260">
        <f>ROUND(0, 3)</f>
        <v>0</v>
      </c>
      <c r="AH36" s="260">
        <f>ROUND(0, 3)</f>
        <v>0</v>
      </c>
      <c r="AI36" s="260" t="str">
        <f>FIXED(0,1)</f>
        <v>0.0</v>
      </c>
      <c r="AJ36" s="260" t="str">
        <f>FIXED(0,1)</f>
        <v>0.0</v>
      </c>
      <c r="AK36" s="260" t="str">
        <f>IF(0=1, "Yes", "No")</f>
        <v>No</v>
      </c>
      <c r="AL36" s="242" t="str">
        <f>IF(0=1, ROUND(-10, 1), "--")</f>
        <v>--</v>
      </c>
      <c r="AM36" s="260" t="str">
        <f>IF(0=1, ROUND(10, 1), "--")</f>
        <v>--</v>
      </c>
      <c r="AN36" s="260" t="str">
        <f>IF(0=1, ROUND(0.625, 3), "--")</f>
        <v>--</v>
      </c>
      <c r="AO36" s="260" t="str">
        <f>IF(0=1, "3622", "--")</f>
        <v>--</v>
      </c>
      <c r="AP36" s="260" t="str">
        <f>IF(0=1, ROUND(100, 1), "--")</f>
        <v>--</v>
      </c>
      <c r="AQ36" s="260" t="str">
        <f>IF(0=1, "Yes", "No")</f>
        <v>No</v>
      </c>
      <c r="AR36" s="260" t="str">
        <f>IF(0=1, ROUND(-10, 1), "--")</f>
        <v>--</v>
      </c>
      <c r="AS36" s="260" t="str">
        <f>IF(0=1, ROUND(10, 1), "--")</f>
        <v>--</v>
      </c>
      <c r="AT36" s="260" t="str">
        <f>IF(0=1, ROUND(0.625, 1), "--")</f>
        <v>--</v>
      </c>
      <c r="AU36" s="260" t="str">
        <f>IF(0=1, "3622", "--")</f>
        <v>--</v>
      </c>
      <c r="AV36" s="260" t="str">
        <f>IF(0=1, ROUND(100, 1), "--")</f>
        <v>--</v>
      </c>
      <c r="AW36" s="242" t="str">
        <f>IF(0 = 0, IF(1=0, "Y", "Δ"),"--")</f>
        <v>Δ</v>
      </c>
      <c r="AX36" s="242" t="str">
        <f>IF(1=1, "--", CHOOSE((1 + 1), "Open", "Solid", "Resistor", "Reactor", "Xfmr-Resistor", "Xfmr-Reactor"))</f>
        <v>--</v>
      </c>
      <c r="AY36" s="242" t="str">
        <f>IF(0 = 0, IF(0=0,  "Y", "Δ"),IF(1=0,  "Ungrounded", "Grounded"))</f>
        <v>Y</v>
      </c>
      <c r="AZ36" s="242" t="str">
        <f>IF(0 = 0,IF(0=1, "--", CHOOSE((1 + 1), "Open", "Solid", "Resistor", "Reactor", "Xfmr-Resistor", "Xfmr-Reactor"))," ")</f>
        <v>Solid</v>
      </c>
      <c r="BA36" s="242" t="str">
        <f>IF(0 = 0, "ANSI", "IEC")</f>
        <v>ANSI</v>
      </c>
      <c r="BB36" s="242" t="str">
        <f>IF(0 = 1, "--",  CHOOSE((2 + 1), "Infrequent","Frequent","Both"))</f>
        <v>Both</v>
      </c>
      <c r="BC36" s="242" t="str">
        <f>IF(0 = 1, "--", IF(1=1, "Yes", "No"))</f>
        <v>Yes</v>
      </c>
      <c r="BD36" s="242">
        <f>IF(0 = 1, "--", ROUND(1, 2))</f>
        <v>1</v>
      </c>
      <c r="BE36" s="242" t="str">
        <f>CHOOSE((0+1), "Point", "Curve - Piecewise", "Curve - Equation")</f>
        <v>Point</v>
      </c>
      <c r="BF36" s="242">
        <f>ROUND(8, 1)</f>
        <v>8</v>
      </c>
      <c r="BG36" s="242">
        <f>IF(0=2,ROUND(60, 1),ROUND(6, 1))</f>
        <v>6</v>
      </c>
      <c r="BH36" s="242">
        <v>0</v>
      </c>
      <c r="BI36" s="260" t="s">
        <v>6327</v>
      </c>
      <c r="BJ36" s="260">
        <f>ROUND(1,2)</f>
        <v>1</v>
      </c>
      <c r="BK36" s="260"/>
      <c r="BL36" s="260"/>
      <c r="BM36" s="260"/>
      <c r="BN36" s="260"/>
      <c r="BO36" s="260"/>
      <c r="BP36" s="53" t="s">
        <v>6378</v>
      </c>
    </row>
    <row r="37" spans="1:68">
      <c r="A37" s="105" t="s">
        <v>6379</v>
      </c>
      <c r="B37" s="105" t="str">
        <f>IF(TRUE = TRUE, "Yes", "No")</f>
        <v>Yes</v>
      </c>
      <c r="C37" s="105" t="s">
        <v>5202</v>
      </c>
      <c r="D37" s="105"/>
      <c r="E37" s="105" t="str">
        <f>IF(TRIM( "BUS_CNODE_JCT__1454") = "", "BUS_CNODE_JCT__1454", "BUS_CNODE_JCT__1454")</f>
        <v>BUS_CNODE_JCT__1454</v>
      </c>
      <c r="F37" s="105" t="str">
        <f>IF(TRIM( "BUS_苑7主变_822_1533") = "","BUS_苑7主变_822_1533","BUS_苑7主变_822_1533")</f>
        <v>BUS_苑7主变_822_1533</v>
      </c>
      <c r="G37" s="105" t="str">
        <f>IF(0 = 0, "3", "1")</f>
        <v>3</v>
      </c>
      <c r="H37" s="105" t="str">
        <f>IF(0 = 0, "N", "Y")</f>
        <v>N</v>
      </c>
      <c r="I37" s="105" t="str">
        <f>IF(0 = 0, CHOOSE((0+1), "Shell", "3 Limb","4 Limb","5 Limb","3 1-Phase"), IF(0 = 1,CHOOSE((0+1), "Shell", "Core"),"--"))</f>
        <v>Shell</v>
      </c>
      <c r="J37" s="242">
        <f xml:space="preserve"> IF(65 = 65, 65, CONCATENATE(65, "/", 65))</f>
        <v>65</v>
      </c>
      <c r="K37" s="275">
        <f>CHOOSE((0 + 1), 50 / 1000,50, 50 * 1000)</f>
        <v>0.05</v>
      </c>
      <c r="L37" s="276" t="str">
        <f>CHOOSE((0 + 1), "MVA", "kVA", "VA")</f>
        <v>MVA</v>
      </c>
      <c r="M37" s="277">
        <f xml:space="preserve"> 50</f>
        <v>50</v>
      </c>
      <c r="N37" s="277" t="str">
        <f>IF(0 = 4,CHOOSE((0 + 1), 0 / 1000,0, 0 * 1000),"--")</f>
        <v>--</v>
      </c>
      <c r="O37" s="277" t="str">
        <f>IF(0 = 4,CHOOSE((0 + 1), 0 / 1000,0, 0 * 1000),"--")</f>
        <v>--</v>
      </c>
      <c r="P37" s="277" t="str">
        <f>IF(0 = 4,CHOOSE((0 + 1), 0 / 1000,0, 0 * 1000),"--")</f>
        <v>--</v>
      </c>
      <c r="Q37" s="278">
        <f>ROUND(10, 3)</f>
        <v>10</v>
      </c>
      <c r="R37" s="268" t="s">
        <v>847</v>
      </c>
      <c r="S37" s="242">
        <f>IF(10 &gt; 0, IF(0=1, ROUND((50/10), 1),ROUND((50/(SQRT(3)*10)), 1)), "")</f>
        <v>2.9</v>
      </c>
      <c r="T37" s="278">
        <f>ROUND(0.400000006, 3)</f>
        <v>0.4</v>
      </c>
      <c r="U37" s="276" t="s">
        <v>847</v>
      </c>
      <c r="V37" s="242">
        <f>IF(0.400000006 &gt; 0, IF(0=1, ROUND((50/0.400000006), 1),ROUND((50/(SQRT(3)*0.400000006)), 1)), "")</f>
        <v>72.2</v>
      </c>
      <c r="W37" s="278">
        <f>ROUND(10, 1)</f>
        <v>10</v>
      </c>
      <c r="X37" s="276" t="s">
        <v>850</v>
      </c>
      <c r="Y37" s="260">
        <f>ROUND(20, 1)</f>
        <v>20</v>
      </c>
      <c r="Z37" s="278">
        <f>ROUND(10, 1)</f>
        <v>10</v>
      </c>
      <c r="AA37" s="268" t="s">
        <v>850</v>
      </c>
      <c r="AB37" s="260">
        <f>ROUND(20, 1)</f>
        <v>20</v>
      </c>
      <c r="AC37" s="260">
        <f>ROUND(0, 3)</f>
        <v>0</v>
      </c>
      <c r="AD37" s="260">
        <f>ROUND(0, 3)</f>
        <v>0</v>
      </c>
      <c r="AE37" s="260">
        <f>ROUND(0, 3)</f>
        <v>0</v>
      </c>
      <c r="AF37" s="260">
        <f>ROUND(0, 3)</f>
        <v>0</v>
      </c>
      <c r="AG37" s="260">
        <f>ROUND(0, 3)</f>
        <v>0</v>
      </c>
      <c r="AH37" s="260">
        <f>ROUND(0, 3)</f>
        <v>0</v>
      </c>
      <c r="AI37" s="260" t="str">
        <f>FIXED(0,1)</f>
        <v>0.0</v>
      </c>
      <c r="AJ37" s="260" t="str">
        <f>FIXED(0,1)</f>
        <v>0.0</v>
      </c>
      <c r="AK37" s="260" t="str">
        <f>IF(0=1, "Yes", "No")</f>
        <v>No</v>
      </c>
      <c r="AL37" s="242" t="str">
        <f>IF(0=1, ROUND(-10, 1), "--")</f>
        <v>--</v>
      </c>
      <c r="AM37" s="260" t="str">
        <f>IF(0=1, ROUND(10, 1), "--")</f>
        <v>--</v>
      </c>
      <c r="AN37" s="260" t="str">
        <f>IF(0=1, ROUND(0.625, 3), "--")</f>
        <v>--</v>
      </c>
      <c r="AO37" s="260" t="str">
        <f>IF(0=1, "3620", "--")</f>
        <v>--</v>
      </c>
      <c r="AP37" s="260" t="str">
        <f>IF(0=1, ROUND(100, 1), "--")</f>
        <v>--</v>
      </c>
      <c r="AQ37" s="260" t="str">
        <f>IF(0=1, "Yes", "No")</f>
        <v>No</v>
      </c>
      <c r="AR37" s="260" t="str">
        <f>IF(0=1, ROUND(-10, 1), "--")</f>
        <v>--</v>
      </c>
      <c r="AS37" s="260" t="str">
        <f>IF(0=1, ROUND(10, 1), "--")</f>
        <v>--</v>
      </c>
      <c r="AT37" s="260" t="str">
        <f>IF(0=1, ROUND(0.625, 1), "--")</f>
        <v>--</v>
      </c>
      <c r="AU37" s="260" t="str">
        <f>IF(0=1, "3620", "--")</f>
        <v>--</v>
      </c>
      <c r="AV37" s="260" t="str">
        <f>IF(0=1, ROUND(100, 1), "--")</f>
        <v>--</v>
      </c>
      <c r="AW37" s="242" t="str">
        <f>IF(0 = 0, IF(1=0, "Y", "Δ"),"--")</f>
        <v>Δ</v>
      </c>
      <c r="AX37" s="242" t="str">
        <f>IF(1=1, "--", CHOOSE((1 + 1), "Open", "Solid", "Resistor", "Reactor", "Xfmr-Resistor", "Xfmr-Reactor"))</f>
        <v>--</v>
      </c>
      <c r="AY37" s="242" t="str">
        <f>IF(0 = 0, IF(0=0,  "Y", "Δ"),IF(1=0,  "Ungrounded", "Grounded"))</f>
        <v>Y</v>
      </c>
      <c r="AZ37" s="242" t="str">
        <f>IF(0 = 0,IF(0=1, "--", CHOOSE((1 + 1), "Open", "Solid", "Resistor", "Reactor", "Xfmr-Resistor", "Xfmr-Reactor"))," ")</f>
        <v>Solid</v>
      </c>
      <c r="BA37" s="242" t="str">
        <f>IF(0 = 0, "ANSI", "IEC")</f>
        <v>ANSI</v>
      </c>
      <c r="BB37" s="242" t="str">
        <f>IF(0 = 1, "--",  CHOOSE((2 + 1), "Infrequent","Frequent","Both"))</f>
        <v>Both</v>
      </c>
      <c r="BC37" s="242" t="str">
        <f>IF(0 = 1, "--", IF(1=1, "Yes", "No"))</f>
        <v>Yes</v>
      </c>
      <c r="BD37" s="242">
        <f>IF(0 = 1, "--", ROUND(1, 2))</f>
        <v>1</v>
      </c>
      <c r="BE37" s="242" t="str">
        <f>CHOOSE((0+1), "Point", "Curve - Piecewise", "Curve - Equation")</f>
        <v>Point</v>
      </c>
      <c r="BF37" s="242">
        <f>ROUND(8, 1)</f>
        <v>8</v>
      </c>
      <c r="BG37" s="242">
        <f>IF(0=2,ROUND(60, 1),ROUND(6, 1))</f>
        <v>6</v>
      </c>
      <c r="BH37" s="242">
        <v>0</v>
      </c>
      <c r="BI37" s="260" t="s">
        <v>6327</v>
      </c>
      <c r="BJ37" s="260">
        <f>ROUND(1,2)</f>
        <v>1</v>
      </c>
      <c r="BK37" s="260"/>
      <c r="BL37" s="260"/>
      <c r="BM37" s="260"/>
      <c r="BN37" s="260"/>
      <c r="BO37" s="260"/>
      <c r="BP37" s="53" t="s">
        <v>6380</v>
      </c>
    </row>
    <row r="38" spans="1:68">
      <c r="A38" s="105" t="s">
        <v>6381</v>
      </c>
      <c r="B38" s="105" t="str">
        <f>IF(TRUE = TRUE, "Yes", "No")</f>
        <v>Yes</v>
      </c>
      <c r="C38" s="105" t="s">
        <v>5202</v>
      </c>
      <c r="D38" s="105"/>
      <c r="E38" s="105" t="str">
        <f>IF(TRIM( "BUS_CNODE_JCT__1452") = "", "BUS_CNODE_JCT__1452", "BUS_CNODE_JCT__1452")</f>
        <v>BUS_CNODE_JCT__1452</v>
      </c>
      <c r="F38" s="105" t="str">
        <f>IF(TRIM( "BUS_苑8主变1变_820_1529") = "","BUS_苑8主变1变_820_1529","BUS_苑8主变1变_820_1529")</f>
        <v>BUS_苑8主变1变_820_1529</v>
      </c>
      <c r="G38" s="105" t="str">
        <f>IF(0 = 0, "3", "1")</f>
        <v>3</v>
      </c>
      <c r="H38" s="105" t="str">
        <f>IF(0 = 0, "N", "Y")</f>
        <v>N</v>
      </c>
      <c r="I38" s="105" t="str">
        <f>IF(0 = 0, CHOOSE((0+1), "Shell", "3 Limb","4 Limb","5 Limb","3 1-Phase"), IF(0 = 1,CHOOSE((0+1), "Shell", "Core"),"--"))</f>
        <v>Shell</v>
      </c>
      <c r="J38" s="242">
        <f xml:space="preserve"> IF(65 = 65, 65, CONCATENATE(65, "/", 65))</f>
        <v>65</v>
      </c>
      <c r="K38" s="275">
        <f>CHOOSE((0 + 1), 50 / 1000,50, 50 * 1000)</f>
        <v>0.05</v>
      </c>
      <c r="L38" s="276" t="str">
        <f>CHOOSE((0 + 1), "MVA", "kVA", "VA")</f>
        <v>MVA</v>
      </c>
      <c r="M38" s="277">
        <f xml:space="preserve"> 50</f>
        <v>50</v>
      </c>
      <c r="N38" s="277" t="str">
        <f>IF(0 = 4,CHOOSE((0 + 1), 0 / 1000,0, 0 * 1000),"--")</f>
        <v>--</v>
      </c>
      <c r="O38" s="277" t="str">
        <f>IF(0 = 4,CHOOSE((0 + 1), 0 / 1000,0, 0 * 1000),"--")</f>
        <v>--</v>
      </c>
      <c r="P38" s="277" t="str">
        <f>IF(0 = 4,CHOOSE((0 + 1), 0 / 1000,0, 0 * 1000),"--")</f>
        <v>--</v>
      </c>
      <c r="Q38" s="278">
        <f>ROUND(10, 3)</f>
        <v>10</v>
      </c>
      <c r="R38" s="268" t="s">
        <v>847</v>
      </c>
      <c r="S38" s="242">
        <f>IF(10 &gt; 0, IF(0=1, ROUND((50/10), 1),ROUND((50/(SQRT(3)*10)), 1)), "")</f>
        <v>2.9</v>
      </c>
      <c r="T38" s="278">
        <f>ROUND(0.400000006, 3)</f>
        <v>0.4</v>
      </c>
      <c r="U38" s="276" t="s">
        <v>847</v>
      </c>
      <c r="V38" s="242">
        <f>IF(0.400000006 &gt; 0, IF(0=1, ROUND((50/0.400000006), 1),ROUND((50/(SQRT(3)*0.400000006)), 1)), "")</f>
        <v>72.2</v>
      </c>
      <c r="W38" s="278">
        <f>ROUND(10, 1)</f>
        <v>10</v>
      </c>
      <c r="X38" s="276" t="s">
        <v>850</v>
      </c>
      <c r="Y38" s="260">
        <f>ROUND(20, 1)</f>
        <v>20</v>
      </c>
      <c r="Z38" s="278">
        <f>ROUND(10, 1)</f>
        <v>10</v>
      </c>
      <c r="AA38" s="268" t="s">
        <v>850</v>
      </c>
      <c r="AB38" s="260">
        <f>ROUND(20, 1)</f>
        <v>20</v>
      </c>
      <c r="AC38" s="260">
        <f>ROUND(0, 3)</f>
        <v>0</v>
      </c>
      <c r="AD38" s="260">
        <f>ROUND(0, 3)</f>
        <v>0</v>
      </c>
      <c r="AE38" s="260">
        <f>ROUND(0, 3)</f>
        <v>0</v>
      </c>
      <c r="AF38" s="260">
        <f>ROUND(0, 3)</f>
        <v>0</v>
      </c>
      <c r="AG38" s="260">
        <f>ROUND(0, 3)</f>
        <v>0</v>
      </c>
      <c r="AH38" s="260">
        <f>ROUND(0, 3)</f>
        <v>0</v>
      </c>
      <c r="AI38" s="260" t="str">
        <f>FIXED(0,1)</f>
        <v>0.0</v>
      </c>
      <c r="AJ38" s="260" t="str">
        <f>FIXED(0,1)</f>
        <v>0.0</v>
      </c>
      <c r="AK38" s="260" t="str">
        <f>IF(0=1, "Yes", "No")</f>
        <v>No</v>
      </c>
      <c r="AL38" s="242" t="str">
        <f>IF(0=1, ROUND(-10, 1), "--")</f>
        <v>--</v>
      </c>
      <c r="AM38" s="260" t="str">
        <f>IF(0=1, ROUND(10, 1), "--")</f>
        <v>--</v>
      </c>
      <c r="AN38" s="260" t="str">
        <f>IF(0=1, ROUND(0.625, 3), "--")</f>
        <v>--</v>
      </c>
      <c r="AO38" s="260" t="str">
        <f>IF(0=1, "3607", "--")</f>
        <v>--</v>
      </c>
      <c r="AP38" s="260" t="str">
        <f>IF(0=1, ROUND(100, 1), "--")</f>
        <v>--</v>
      </c>
      <c r="AQ38" s="260" t="str">
        <f>IF(0=1, "Yes", "No")</f>
        <v>No</v>
      </c>
      <c r="AR38" s="260" t="str">
        <f>IF(0=1, ROUND(-10, 1), "--")</f>
        <v>--</v>
      </c>
      <c r="AS38" s="260" t="str">
        <f>IF(0=1, ROUND(10, 1), "--")</f>
        <v>--</v>
      </c>
      <c r="AT38" s="260" t="str">
        <f>IF(0=1, ROUND(0.625, 1), "--")</f>
        <v>--</v>
      </c>
      <c r="AU38" s="260" t="str">
        <f>IF(0=1, "3607", "--")</f>
        <v>--</v>
      </c>
      <c r="AV38" s="260" t="str">
        <f>IF(0=1, ROUND(100, 1), "--")</f>
        <v>--</v>
      </c>
      <c r="AW38" s="242" t="str">
        <f>IF(0 = 0, IF(1=0, "Y", "Δ"),"--")</f>
        <v>Δ</v>
      </c>
      <c r="AX38" s="242" t="str">
        <f>IF(1=1, "--", CHOOSE((1 + 1), "Open", "Solid", "Resistor", "Reactor", "Xfmr-Resistor", "Xfmr-Reactor"))</f>
        <v>--</v>
      </c>
      <c r="AY38" s="242" t="str">
        <f>IF(0 = 0, IF(0=0,  "Y", "Δ"),IF(1=0,  "Ungrounded", "Grounded"))</f>
        <v>Y</v>
      </c>
      <c r="AZ38" s="242" t="str">
        <f>IF(0 = 0,IF(0=1, "--", CHOOSE((1 + 1), "Open", "Solid", "Resistor", "Reactor", "Xfmr-Resistor", "Xfmr-Reactor"))," ")</f>
        <v>Solid</v>
      </c>
      <c r="BA38" s="242" t="str">
        <f>IF(0 = 0, "ANSI", "IEC")</f>
        <v>ANSI</v>
      </c>
      <c r="BB38" s="242" t="str">
        <f>IF(0 = 1, "--",  CHOOSE((2 + 1), "Infrequent","Frequent","Both"))</f>
        <v>Both</v>
      </c>
      <c r="BC38" s="242" t="str">
        <f>IF(0 = 1, "--", IF(1=1, "Yes", "No"))</f>
        <v>Yes</v>
      </c>
      <c r="BD38" s="242">
        <f>IF(0 = 1, "--", ROUND(1, 2))</f>
        <v>1</v>
      </c>
      <c r="BE38" s="242" t="str">
        <f>CHOOSE((0+1), "Point", "Curve - Piecewise", "Curve - Equation")</f>
        <v>Point</v>
      </c>
      <c r="BF38" s="242">
        <f>ROUND(8, 1)</f>
        <v>8</v>
      </c>
      <c r="BG38" s="242">
        <f>IF(0=2,ROUND(60, 1),ROUND(6, 1))</f>
        <v>6</v>
      </c>
      <c r="BH38" s="242">
        <v>0</v>
      </c>
      <c r="BI38" s="260" t="s">
        <v>6327</v>
      </c>
      <c r="BJ38" s="260">
        <f>ROUND(1,2)</f>
        <v>1</v>
      </c>
      <c r="BK38" s="260"/>
      <c r="BL38" s="260"/>
      <c r="BM38" s="260"/>
      <c r="BN38" s="260"/>
      <c r="BO38" s="260"/>
      <c r="BP38" s="53" t="s">
        <v>6382</v>
      </c>
    </row>
    <row r="39" spans="1:68">
      <c r="A39" s="105" t="s">
        <v>6383</v>
      </c>
      <c r="B39" s="105" t="str">
        <f>IF(TRUE = TRUE, "Yes", "No")</f>
        <v>Yes</v>
      </c>
      <c r="C39" s="105" t="s">
        <v>5202</v>
      </c>
      <c r="D39" s="105"/>
      <c r="E39" s="105" t="str">
        <f>IF(TRIM( "BUS_CNODE_JCT__1453") = "", "BUS_CNODE_JCT__1453", "BUS_CNODE_JCT__1453")</f>
        <v>BUS_CNODE_JCT__1453</v>
      </c>
      <c r="F39" s="105" t="str">
        <f>IF(TRIM( "BUS_苑8主变2变_821_1531") = "","BUS_苑8主变2变_821_1531","BUS_苑8主变2变_821_1531")</f>
        <v>BUS_苑8主变2变_821_1531</v>
      </c>
      <c r="G39" s="105" t="str">
        <f>IF(0 = 0, "3", "1")</f>
        <v>3</v>
      </c>
      <c r="H39" s="105" t="str">
        <f>IF(0 = 0, "N", "Y")</f>
        <v>N</v>
      </c>
      <c r="I39" s="105" t="str">
        <f>IF(0 = 0, CHOOSE((0+1), "Shell", "3 Limb","4 Limb","5 Limb","3 1-Phase"), IF(0 = 1,CHOOSE((0+1), "Shell", "Core"),"--"))</f>
        <v>Shell</v>
      </c>
      <c r="J39" s="242">
        <f xml:space="preserve"> IF(65 = 65, 65, CONCATENATE(65, "/", 65))</f>
        <v>65</v>
      </c>
      <c r="K39" s="275">
        <f>CHOOSE((0 + 1), 50 / 1000,50, 50 * 1000)</f>
        <v>0.05</v>
      </c>
      <c r="L39" s="276" t="str">
        <f>CHOOSE((0 + 1), "MVA", "kVA", "VA")</f>
        <v>MVA</v>
      </c>
      <c r="M39" s="277">
        <f xml:space="preserve"> 50</f>
        <v>50</v>
      </c>
      <c r="N39" s="277" t="str">
        <f>IF(0 = 4,CHOOSE((0 + 1), 0 / 1000,0, 0 * 1000),"--")</f>
        <v>--</v>
      </c>
      <c r="O39" s="277" t="str">
        <f>IF(0 = 4,CHOOSE((0 + 1), 0 / 1000,0, 0 * 1000),"--")</f>
        <v>--</v>
      </c>
      <c r="P39" s="277" t="str">
        <f>IF(0 = 4,CHOOSE((0 + 1), 0 / 1000,0, 0 * 1000),"--")</f>
        <v>--</v>
      </c>
      <c r="Q39" s="278">
        <f>ROUND(10, 3)</f>
        <v>10</v>
      </c>
      <c r="R39" s="268" t="s">
        <v>847</v>
      </c>
      <c r="S39" s="242">
        <f>IF(10 &gt; 0, IF(0=1, ROUND((50/10), 1),ROUND((50/(SQRT(3)*10)), 1)), "")</f>
        <v>2.9</v>
      </c>
      <c r="T39" s="278">
        <f>ROUND(0.400000006, 3)</f>
        <v>0.4</v>
      </c>
      <c r="U39" s="276" t="s">
        <v>847</v>
      </c>
      <c r="V39" s="242">
        <f>IF(0.400000006 &gt; 0, IF(0=1, ROUND((50/0.400000006), 1),ROUND((50/(SQRT(3)*0.400000006)), 1)), "")</f>
        <v>72.2</v>
      </c>
      <c r="W39" s="278">
        <f>ROUND(10, 1)</f>
        <v>10</v>
      </c>
      <c r="X39" s="276" t="s">
        <v>850</v>
      </c>
      <c r="Y39" s="260">
        <f>ROUND(20, 1)</f>
        <v>20</v>
      </c>
      <c r="Z39" s="278">
        <f>ROUND(10, 1)</f>
        <v>10</v>
      </c>
      <c r="AA39" s="268" t="s">
        <v>850</v>
      </c>
      <c r="AB39" s="260">
        <f>ROUND(20, 1)</f>
        <v>20</v>
      </c>
      <c r="AC39" s="260">
        <f>ROUND(0, 3)</f>
        <v>0</v>
      </c>
      <c r="AD39" s="260">
        <f>ROUND(0, 3)</f>
        <v>0</v>
      </c>
      <c r="AE39" s="260">
        <f>ROUND(0, 3)</f>
        <v>0</v>
      </c>
      <c r="AF39" s="260">
        <f>ROUND(0, 3)</f>
        <v>0</v>
      </c>
      <c r="AG39" s="260">
        <f>ROUND(0, 3)</f>
        <v>0</v>
      </c>
      <c r="AH39" s="260">
        <f>ROUND(0, 3)</f>
        <v>0</v>
      </c>
      <c r="AI39" s="260" t="str">
        <f>FIXED(0,1)</f>
        <v>0.0</v>
      </c>
      <c r="AJ39" s="260" t="str">
        <f>FIXED(0,1)</f>
        <v>0.0</v>
      </c>
      <c r="AK39" s="260" t="str">
        <f>IF(0=1, "Yes", "No")</f>
        <v>No</v>
      </c>
      <c r="AL39" s="242" t="str">
        <f>IF(0=1, ROUND(-10, 1), "--")</f>
        <v>--</v>
      </c>
      <c r="AM39" s="260" t="str">
        <f>IF(0=1, ROUND(10, 1), "--")</f>
        <v>--</v>
      </c>
      <c r="AN39" s="260" t="str">
        <f>IF(0=1, ROUND(0.625, 3), "--")</f>
        <v>--</v>
      </c>
      <c r="AO39" s="260" t="str">
        <f>IF(0=1, "3618", "--")</f>
        <v>--</v>
      </c>
      <c r="AP39" s="260" t="str">
        <f>IF(0=1, ROUND(100, 1), "--")</f>
        <v>--</v>
      </c>
      <c r="AQ39" s="260" t="str">
        <f>IF(0=1, "Yes", "No")</f>
        <v>No</v>
      </c>
      <c r="AR39" s="260" t="str">
        <f>IF(0=1, ROUND(-10, 1), "--")</f>
        <v>--</v>
      </c>
      <c r="AS39" s="260" t="str">
        <f>IF(0=1, ROUND(10, 1), "--")</f>
        <v>--</v>
      </c>
      <c r="AT39" s="260" t="str">
        <f>IF(0=1, ROUND(0.625, 1), "--")</f>
        <v>--</v>
      </c>
      <c r="AU39" s="260" t="str">
        <f>IF(0=1, "3618", "--")</f>
        <v>--</v>
      </c>
      <c r="AV39" s="260" t="str">
        <f>IF(0=1, ROUND(100, 1), "--")</f>
        <v>--</v>
      </c>
      <c r="AW39" s="242" t="str">
        <f>IF(0 = 0, IF(1=0, "Y", "Δ"),"--")</f>
        <v>Δ</v>
      </c>
      <c r="AX39" s="242" t="str">
        <f>IF(1=1, "--", CHOOSE((1 + 1), "Open", "Solid", "Resistor", "Reactor", "Xfmr-Resistor", "Xfmr-Reactor"))</f>
        <v>--</v>
      </c>
      <c r="AY39" s="242" t="str">
        <f>IF(0 = 0, IF(0=0,  "Y", "Δ"),IF(1=0,  "Ungrounded", "Grounded"))</f>
        <v>Y</v>
      </c>
      <c r="AZ39" s="242" t="str">
        <f>IF(0 = 0,IF(0=1, "--", CHOOSE((1 + 1), "Open", "Solid", "Resistor", "Reactor", "Xfmr-Resistor", "Xfmr-Reactor"))," ")</f>
        <v>Solid</v>
      </c>
      <c r="BA39" s="242" t="str">
        <f>IF(0 = 0, "ANSI", "IEC")</f>
        <v>ANSI</v>
      </c>
      <c r="BB39" s="242" t="str">
        <f>IF(0 = 1, "--",  CHOOSE((2 + 1), "Infrequent","Frequent","Both"))</f>
        <v>Both</v>
      </c>
      <c r="BC39" s="242" t="str">
        <f>IF(0 = 1, "--", IF(1=1, "Yes", "No"))</f>
        <v>Yes</v>
      </c>
      <c r="BD39" s="242">
        <f>IF(0 = 1, "--", ROUND(1, 2))</f>
        <v>1</v>
      </c>
      <c r="BE39" s="242" t="str">
        <f>CHOOSE((0+1), "Point", "Curve - Piecewise", "Curve - Equation")</f>
        <v>Point</v>
      </c>
      <c r="BF39" s="242">
        <f>ROUND(8, 1)</f>
        <v>8</v>
      </c>
      <c r="BG39" s="242">
        <f>IF(0=2,ROUND(60, 1),ROUND(6, 1))</f>
        <v>6</v>
      </c>
      <c r="BH39" s="242">
        <v>0</v>
      </c>
      <c r="BI39" s="260" t="s">
        <v>6327</v>
      </c>
      <c r="BJ39" s="260">
        <f>ROUND(1,2)</f>
        <v>1</v>
      </c>
      <c r="BK39" s="260"/>
      <c r="BL39" s="260"/>
      <c r="BM39" s="260"/>
      <c r="BN39" s="260"/>
      <c r="BO39" s="260"/>
      <c r="BP39" s="53" t="s">
        <v>6384</v>
      </c>
    </row>
    <row r="40" spans="1:68">
      <c r="A40" s="105" t="s">
        <v>6385</v>
      </c>
      <c r="B40" s="105" t="str">
        <f>IF(TRUE = TRUE, "Yes", "No")</f>
        <v>Yes</v>
      </c>
      <c r="C40" s="105" t="s">
        <v>5202</v>
      </c>
      <c r="D40" s="105"/>
      <c r="E40" s="105" t="str">
        <f>IF(TRIM( "BUS_CNODE_JCT__1460") = "", "BUS_CNODE_JCT__1460", "BUS_CNODE_JCT__1460")</f>
        <v>BUS_CNODE_JCT__1460</v>
      </c>
      <c r="F40" s="105" t="str">
        <f>IF(TRIM( "BUS_苑9主变1变_830_1545") = "","BUS_苑9主变1变_830_1545","BUS_苑9主变1变_830_1545")</f>
        <v>BUS_苑9主变1变_830_1545</v>
      </c>
      <c r="G40" s="105" t="str">
        <f>IF(0 = 0, "3", "1")</f>
        <v>3</v>
      </c>
      <c r="H40" s="105" t="str">
        <f>IF(0 = 0, "N", "Y")</f>
        <v>N</v>
      </c>
      <c r="I40" s="105" t="str">
        <f>IF(0 = 0, CHOOSE((0+1), "Shell", "3 Limb","4 Limb","5 Limb","3 1-Phase"), IF(0 = 1,CHOOSE((0+1), "Shell", "Core"),"--"))</f>
        <v>Shell</v>
      </c>
      <c r="J40" s="242">
        <f xml:space="preserve"> IF(65 = 65, 65, CONCATENATE(65, "/", 65))</f>
        <v>65</v>
      </c>
      <c r="K40" s="275">
        <f>CHOOSE((0 + 1), 50 / 1000,50, 50 * 1000)</f>
        <v>0.05</v>
      </c>
      <c r="L40" s="276" t="str">
        <f>CHOOSE((0 + 1), "MVA", "kVA", "VA")</f>
        <v>MVA</v>
      </c>
      <c r="M40" s="277">
        <f xml:space="preserve"> 50</f>
        <v>50</v>
      </c>
      <c r="N40" s="277" t="str">
        <f>IF(0 = 4,CHOOSE((0 + 1), 0 / 1000,0, 0 * 1000),"--")</f>
        <v>--</v>
      </c>
      <c r="O40" s="277" t="str">
        <f>IF(0 = 4,CHOOSE((0 + 1), 0 / 1000,0, 0 * 1000),"--")</f>
        <v>--</v>
      </c>
      <c r="P40" s="277" t="str">
        <f>IF(0 = 4,CHOOSE((0 + 1), 0 / 1000,0, 0 * 1000),"--")</f>
        <v>--</v>
      </c>
      <c r="Q40" s="278">
        <f>ROUND(10, 3)</f>
        <v>10</v>
      </c>
      <c r="R40" s="268" t="s">
        <v>847</v>
      </c>
      <c r="S40" s="242">
        <f>IF(10 &gt; 0, IF(0=1, ROUND((50/10), 1),ROUND((50/(SQRT(3)*10)), 1)), "")</f>
        <v>2.9</v>
      </c>
      <c r="T40" s="278">
        <f>ROUND(0.400000006, 3)</f>
        <v>0.4</v>
      </c>
      <c r="U40" s="276" t="s">
        <v>847</v>
      </c>
      <c r="V40" s="242">
        <f>IF(0.400000006 &gt; 0, IF(0=1, ROUND((50/0.400000006), 1),ROUND((50/(SQRT(3)*0.400000006)), 1)), "")</f>
        <v>72.2</v>
      </c>
      <c r="W40" s="278">
        <f>ROUND(10, 1)</f>
        <v>10</v>
      </c>
      <c r="X40" s="276" t="s">
        <v>850</v>
      </c>
      <c r="Y40" s="260">
        <f>ROUND(20, 1)</f>
        <v>20</v>
      </c>
      <c r="Z40" s="278">
        <f>ROUND(10, 1)</f>
        <v>10</v>
      </c>
      <c r="AA40" s="268" t="s">
        <v>850</v>
      </c>
      <c r="AB40" s="260">
        <f>ROUND(20, 1)</f>
        <v>20</v>
      </c>
      <c r="AC40" s="260">
        <f>ROUND(0, 3)</f>
        <v>0</v>
      </c>
      <c r="AD40" s="260">
        <f>ROUND(0, 3)</f>
        <v>0</v>
      </c>
      <c r="AE40" s="260">
        <f>ROUND(0, 3)</f>
        <v>0</v>
      </c>
      <c r="AF40" s="260">
        <f>ROUND(0, 3)</f>
        <v>0</v>
      </c>
      <c r="AG40" s="260">
        <f>ROUND(0, 3)</f>
        <v>0</v>
      </c>
      <c r="AH40" s="260">
        <f>ROUND(0, 3)</f>
        <v>0</v>
      </c>
      <c r="AI40" s="260" t="str">
        <f>FIXED(0,1)</f>
        <v>0.0</v>
      </c>
      <c r="AJ40" s="260" t="str">
        <f>FIXED(0,1)</f>
        <v>0.0</v>
      </c>
      <c r="AK40" s="260" t="str">
        <f>IF(0=1, "Yes", "No")</f>
        <v>No</v>
      </c>
      <c r="AL40" s="242" t="str">
        <f>IF(0=1, ROUND(-10, 1), "--")</f>
        <v>--</v>
      </c>
      <c r="AM40" s="260" t="str">
        <f>IF(0=1, ROUND(10, 1), "--")</f>
        <v>--</v>
      </c>
      <c r="AN40" s="260" t="str">
        <f>IF(0=1, ROUND(0.625, 3), "--")</f>
        <v>--</v>
      </c>
      <c r="AO40" s="260" t="str">
        <f>IF(0=1, "3650", "--")</f>
        <v>--</v>
      </c>
      <c r="AP40" s="260" t="str">
        <f>IF(0=1, ROUND(100, 1), "--")</f>
        <v>--</v>
      </c>
      <c r="AQ40" s="260" t="str">
        <f>IF(0=1, "Yes", "No")</f>
        <v>No</v>
      </c>
      <c r="AR40" s="260" t="str">
        <f>IF(0=1, ROUND(-10, 1), "--")</f>
        <v>--</v>
      </c>
      <c r="AS40" s="260" t="str">
        <f>IF(0=1, ROUND(10, 1), "--")</f>
        <v>--</v>
      </c>
      <c r="AT40" s="260" t="str">
        <f>IF(0=1, ROUND(0.625, 1), "--")</f>
        <v>--</v>
      </c>
      <c r="AU40" s="260" t="str">
        <f>IF(0=1, "3650", "--")</f>
        <v>--</v>
      </c>
      <c r="AV40" s="260" t="str">
        <f>IF(0=1, ROUND(100, 1), "--")</f>
        <v>--</v>
      </c>
      <c r="AW40" s="242" t="str">
        <f>IF(0 = 0, IF(1=0, "Y", "Δ"),"--")</f>
        <v>Δ</v>
      </c>
      <c r="AX40" s="242" t="str">
        <f>IF(1=1, "--", CHOOSE((1 + 1), "Open", "Solid", "Resistor", "Reactor", "Xfmr-Resistor", "Xfmr-Reactor"))</f>
        <v>--</v>
      </c>
      <c r="AY40" s="242" t="str">
        <f>IF(0 = 0, IF(0=0,  "Y", "Δ"),IF(1=0,  "Ungrounded", "Grounded"))</f>
        <v>Y</v>
      </c>
      <c r="AZ40" s="242" t="str">
        <f>IF(0 = 0,IF(0=1, "--", CHOOSE((1 + 1), "Open", "Solid", "Resistor", "Reactor", "Xfmr-Resistor", "Xfmr-Reactor"))," ")</f>
        <v>Solid</v>
      </c>
      <c r="BA40" s="242" t="str">
        <f>IF(0 = 0, "ANSI", "IEC")</f>
        <v>ANSI</v>
      </c>
      <c r="BB40" s="242" t="str">
        <f>IF(0 = 1, "--",  CHOOSE((2 + 1), "Infrequent","Frequent","Both"))</f>
        <v>Both</v>
      </c>
      <c r="BC40" s="242" t="str">
        <f>IF(0 = 1, "--", IF(1=1, "Yes", "No"))</f>
        <v>Yes</v>
      </c>
      <c r="BD40" s="242">
        <f>IF(0 = 1, "--", ROUND(1, 2))</f>
        <v>1</v>
      </c>
      <c r="BE40" s="242" t="str">
        <f>CHOOSE((0+1), "Point", "Curve - Piecewise", "Curve - Equation")</f>
        <v>Point</v>
      </c>
      <c r="BF40" s="242">
        <f>ROUND(8, 1)</f>
        <v>8</v>
      </c>
      <c r="BG40" s="242">
        <f>IF(0=2,ROUND(60, 1),ROUND(6, 1))</f>
        <v>6</v>
      </c>
      <c r="BH40" s="242">
        <v>0</v>
      </c>
      <c r="BI40" s="260" t="s">
        <v>6327</v>
      </c>
      <c r="BJ40" s="260">
        <f>ROUND(1,2)</f>
        <v>1</v>
      </c>
      <c r="BK40" s="260"/>
      <c r="BL40" s="260"/>
      <c r="BM40" s="260"/>
      <c r="BN40" s="260"/>
      <c r="BO40" s="260"/>
      <c r="BP40" s="53" t="s">
        <v>6386</v>
      </c>
    </row>
    <row r="41" spans="1:68">
      <c r="A41" s="105" t="s">
        <v>6387</v>
      </c>
      <c r="B41" s="105" t="str">
        <f>IF(TRUE = TRUE, "Yes", "No")</f>
        <v>Yes</v>
      </c>
      <c r="C41" s="105" t="s">
        <v>5202</v>
      </c>
      <c r="D41" s="105"/>
      <c r="E41" s="105" t="str">
        <f>IF(TRIM( "BUS_CNODE_JCT__1461") = "", "BUS_CNODE_JCT__1461", "BUS_CNODE_JCT__1461")</f>
        <v>BUS_CNODE_JCT__1461</v>
      </c>
      <c r="F41" s="105" t="str">
        <f>IF(TRIM( "BUS_苑9主变2变_831_1547") = "","BUS_苑9主变2变_831_1547","BUS_苑9主变2变_831_1547")</f>
        <v>BUS_苑9主变2变_831_1547</v>
      </c>
      <c r="G41" s="105" t="str">
        <f>IF(0 = 0, "3", "1")</f>
        <v>3</v>
      </c>
      <c r="H41" s="105" t="str">
        <f>IF(0 = 0, "N", "Y")</f>
        <v>N</v>
      </c>
      <c r="I41" s="105" t="str">
        <f>IF(0 = 0, CHOOSE((0+1), "Shell", "3 Limb","4 Limb","5 Limb","3 1-Phase"), IF(0 = 1,CHOOSE((0+1), "Shell", "Core"),"--"))</f>
        <v>Shell</v>
      </c>
      <c r="J41" s="242">
        <f xml:space="preserve"> IF(65 = 65, 65, CONCATENATE(65, "/", 65))</f>
        <v>65</v>
      </c>
      <c r="K41" s="275">
        <f>CHOOSE((0 + 1), 50 / 1000,50, 50 * 1000)</f>
        <v>0.05</v>
      </c>
      <c r="L41" s="276" t="str">
        <f>CHOOSE((0 + 1), "MVA", "kVA", "VA")</f>
        <v>MVA</v>
      </c>
      <c r="M41" s="277">
        <f xml:space="preserve"> 50</f>
        <v>50</v>
      </c>
      <c r="N41" s="277" t="str">
        <f>IF(0 = 4,CHOOSE((0 + 1), 0 / 1000,0, 0 * 1000),"--")</f>
        <v>--</v>
      </c>
      <c r="O41" s="277" t="str">
        <f>IF(0 = 4,CHOOSE((0 + 1), 0 / 1000,0, 0 * 1000),"--")</f>
        <v>--</v>
      </c>
      <c r="P41" s="277" t="str">
        <f>IF(0 = 4,CHOOSE((0 + 1), 0 / 1000,0, 0 * 1000),"--")</f>
        <v>--</v>
      </c>
      <c r="Q41" s="278">
        <f>ROUND(10, 3)</f>
        <v>10</v>
      </c>
      <c r="R41" s="268" t="s">
        <v>847</v>
      </c>
      <c r="S41" s="242">
        <f>IF(10 &gt; 0, IF(0=1, ROUND((50/10), 1),ROUND((50/(SQRT(3)*10)), 1)), "")</f>
        <v>2.9</v>
      </c>
      <c r="T41" s="278">
        <f>ROUND(0.400000006, 3)</f>
        <v>0.4</v>
      </c>
      <c r="U41" s="276" t="s">
        <v>847</v>
      </c>
      <c r="V41" s="242">
        <f>IF(0.400000006 &gt; 0, IF(0=1, ROUND((50/0.400000006), 1),ROUND((50/(SQRT(3)*0.400000006)), 1)), "")</f>
        <v>72.2</v>
      </c>
      <c r="W41" s="278">
        <f>ROUND(10, 1)</f>
        <v>10</v>
      </c>
      <c r="X41" s="276" t="s">
        <v>850</v>
      </c>
      <c r="Y41" s="260">
        <f>ROUND(20, 1)</f>
        <v>20</v>
      </c>
      <c r="Z41" s="278">
        <f>ROUND(10, 1)</f>
        <v>10</v>
      </c>
      <c r="AA41" s="268" t="s">
        <v>850</v>
      </c>
      <c r="AB41" s="260">
        <f>ROUND(20, 1)</f>
        <v>20</v>
      </c>
      <c r="AC41" s="260">
        <f>ROUND(0, 3)</f>
        <v>0</v>
      </c>
      <c r="AD41" s="260">
        <f>ROUND(0, 3)</f>
        <v>0</v>
      </c>
      <c r="AE41" s="260">
        <f>ROUND(0, 3)</f>
        <v>0</v>
      </c>
      <c r="AF41" s="260">
        <f>ROUND(0, 3)</f>
        <v>0</v>
      </c>
      <c r="AG41" s="260">
        <f>ROUND(0, 3)</f>
        <v>0</v>
      </c>
      <c r="AH41" s="260">
        <f>ROUND(0, 3)</f>
        <v>0</v>
      </c>
      <c r="AI41" s="260" t="str">
        <f>FIXED(0,1)</f>
        <v>0.0</v>
      </c>
      <c r="AJ41" s="260" t="str">
        <f>FIXED(0,1)</f>
        <v>0.0</v>
      </c>
      <c r="AK41" s="260" t="str">
        <f>IF(0=1, "Yes", "No")</f>
        <v>No</v>
      </c>
      <c r="AL41" s="242" t="str">
        <f>IF(0=1, ROUND(-10, 1), "--")</f>
        <v>--</v>
      </c>
      <c r="AM41" s="260" t="str">
        <f>IF(0=1, ROUND(10, 1), "--")</f>
        <v>--</v>
      </c>
      <c r="AN41" s="260" t="str">
        <f>IF(0=1, ROUND(0.625, 3), "--")</f>
        <v>--</v>
      </c>
      <c r="AO41" s="260" t="str">
        <f>IF(0=1, "3652", "--")</f>
        <v>--</v>
      </c>
      <c r="AP41" s="260" t="str">
        <f>IF(0=1, ROUND(100, 1), "--")</f>
        <v>--</v>
      </c>
      <c r="AQ41" s="260" t="str">
        <f>IF(0=1, "Yes", "No")</f>
        <v>No</v>
      </c>
      <c r="AR41" s="260" t="str">
        <f>IF(0=1, ROUND(-10, 1), "--")</f>
        <v>--</v>
      </c>
      <c r="AS41" s="260" t="str">
        <f>IF(0=1, ROUND(10, 1), "--")</f>
        <v>--</v>
      </c>
      <c r="AT41" s="260" t="str">
        <f>IF(0=1, ROUND(0.625, 1), "--")</f>
        <v>--</v>
      </c>
      <c r="AU41" s="260" t="str">
        <f>IF(0=1, "3652", "--")</f>
        <v>--</v>
      </c>
      <c r="AV41" s="260" t="str">
        <f>IF(0=1, ROUND(100, 1), "--")</f>
        <v>--</v>
      </c>
      <c r="AW41" s="242" t="str">
        <f>IF(0 = 0, IF(1=0, "Y", "Δ"),"--")</f>
        <v>Δ</v>
      </c>
      <c r="AX41" s="242" t="str">
        <f>IF(1=1, "--", CHOOSE((1 + 1), "Open", "Solid", "Resistor", "Reactor", "Xfmr-Resistor", "Xfmr-Reactor"))</f>
        <v>--</v>
      </c>
      <c r="AY41" s="242" t="str">
        <f>IF(0 = 0, IF(0=0,  "Y", "Δ"),IF(1=0,  "Ungrounded", "Grounded"))</f>
        <v>Y</v>
      </c>
      <c r="AZ41" s="242" t="str">
        <f>IF(0 = 0,IF(0=1, "--", CHOOSE((1 + 1), "Open", "Solid", "Resistor", "Reactor", "Xfmr-Resistor", "Xfmr-Reactor"))," ")</f>
        <v>Solid</v>
      </c>
      <c r="BA41" s="242" t="str">
        <f>IF(0 = 0, "ANSI", "IEC")</f>
        <v>ANSI</v>
      </c>
      <c r="BB41" s="242" t="str">
        <f>IF(0 = 1, "--",  CHOOSE((2 + 1), "Infrequent","Frequent","Both"))</f>
        <v>Both</v>
      </c>
      <c r="BC41" s="242" t="str">
        <f>IF(0 = 1, "--", IF(1=1, "Yes", "No"))</f>
        <v>Yes</v>
      </c>
      <c r="BD41" s="242">
        <f>IF(0 = 1, "--", ROUND(1, 2))</f>
        <v>1</v>
      </c>
      <c r="BE41" s="242" t="str">
        <f>CHOOSE((0+1), "Point", "Curve - Piecewise", "Curve - Equation")</f>
        <v>Point</v>
      </c>
      <c r="BF41" s="242">
        <f>ROUND(8, 1)</f>
        <v>8</v>
      </c>
      <c r="BG41" s="242">
        <f>IF(0=2,ROUND(60, 1),ROUND(6, 1))</f>
        <v>6</v>
      </c>
      <c r="BH41" s="242">
        <v>0</v>
      </c>
      <c r="BI41" s="260" t="s">
        <v>6327</v>
      </c>
      <c r="BJ41" s="260">
        <f>ROUND(1,2)</f>
        <v>1</v>
      </c>
      <c r="BK41" s="260"/>
      <c r="BL41" s="260"/>
      <c r="BM41" s="260"/>
      <c r="BN41" s="260"/>
      <c r="BO41" s="260"/>
      <c r="BP41" s="53" t="s">
        <v>6388</v>
      </c>
    </row>
    <row r="42" spans="1:68">
      <c r="A42" s="105" t="s">
        <v>6389</v>
      </c>
      <c r="B42" s="105" t="str">
        <f>IF(TRUE = TRUE, "Yes", "No")</f>
        <v>Yes</v>
      </c>
      <c r="C42" s="105" t="s">
        <v>5202</v>
      </c>
      <c r="D42" s="105"/>
      <c r="E42" s="105" t="str">
        <f>IF(TRIM( "BUS_line47_218") = "", "BUS_line47_218", "BUS_line47_218")</f>
        <v>BUS_line47_218</v>
      </c>
      <c r="F42" s="105" t="str">
        <f>IF(TRIM( "BUS_苑菜场配电所_804_1481") = "","BUS_苑菜场配电所_804_1481","BUS_苑菜场配电所_804_1481")</f>
        <v>BUS_苑菜场配电所_804_1481</v>
      </c>
      <c r="G42" s="105" t="str">
        <f>IF(0 = 0, "3", "1")</f>
        <v>3</v>
      </c>
      <c r="H42" s="105" t="str">
        <f>IF(0 = 0, "N", "Y")</f>
        <v>N</v>
      </c>
      <c r="I42" s="105" t="str">
        <f>IF(0 = 0, CHOOSE((0+1), "Shell", "3 Limb","4 Limb","5 Limb","3 1-Phase"), IF(0 = 1,CHOOSE((0+1), "Shell", "Core"),"--"))</f>
        <v>Shell</v>
      </c>
      <c r="J42" s="242">
        <f xml:space="preserve"> IF(65 = 65, 65, CONCATENATE(65, "/", 65))</f>
        <v>65</v>
      </c>
      <c r="K42" s="275">
        <f>CHOOSE((0 + 1), 50 / 1000,50, 50 * 1000)</f>
        <v>0.05</v>
      </c>
      <c r="L42" s="276" t="str">
        <f>CHOOSE((0 + 1), "MVA", "kVA", "VA")</f>
        <v>MVA</v>
      </c>
      <c r="M42" s="277">
        <f xml:space="preserve"> 50</f>
        <v>50</v>
      </c>
      <c r="N42" s="277" t="str">
        <f>IF(0 = 4,CHOOSE((0 + 1), 0 / 1000,0, 0 * 1000),"--")</f>
        <v>--</v>
      </c>
      <c r="O42" s="277" t="str">
        <f>IF(0 = 4,CHOOSE((0 + 1), 0 / 1000,0, 0 * 1000),"--")</f>
        <v>--</v>
      </c>
      <c r="P42" s="277" t="str">
        <f>IF(0 = 4,CHOOSE((0 + 1), 0 / 1000,0, 0 * 1000),"--")</f>
        <v>--</v>
      </c>
      <c r="Q42" s="278">
        <f>ROUND(10, 3)</f>
        <v>10</v>
      </c>
      <c r="R42" s="268" t="s">
        <v>847</v>
      </c>
      <c r="S42" s="242">
        <f>IF(10 &gt; 0, IF(0=1, ROUND((50/10), 1),ROUND((50/(SQRT(3)*10)), 1)), "")</f>
        <v>2.9</v>
      </c>
      <c r="T42" s="278">
        <f>ROUND(0.400000006, 3)</f>
        <v>0.4</v>
      </c>
      <c r="U42" s="276" t="s">
        <v>847</v>
      </c>
      <c r="V42" s="242">
        <f>IF(0.400000006 &gt; 0, IF(0=1, ROUND((50/0.400000006), 1),ROUND((50/(SQRT(3)*0.400000006)), 1)), "")</f>
        <v>72.2</v>
      </c>
      <c r="W42" s="278">
        <f>ROUND(10, 1)</f>
        <v>10</v>
      </c>
      <c r="X42" s="276" t="s">
        <v>850</v>
      </c>
      <c r="Y42" s="260">
        <f>ROUND(20, 1)</f>
        <v>20</v>
      </c>
      <c r="Z42" s="278">
        <f>ROUND(10, 1)</f>
        <v>10</v>
      </c>
      <c r="AA42" s="268" t="s">
        <v>850</v>
      </c>
      <c r="AB42" s="260">
        <f>ROUND(20, 1)</f>
        <v>20</v>
      </c>
      <c r="AC42" s="260">
        <f>ROUND(0, 3)</f>
        <v>0</v>
      </c>
      <c r="AD42" s="260">
        <f>ROUND(0, 3)</f>
        <v>0</v>
      </c>
      <c r="AE42" s="260">
        <f>ROUND(0, 3)</f>
        <v>0</v>
      </c>
      <c r="AF42" s="260">
        <f>ROUND(0, 3)</f>
        <v>0</v>
      </c>
      <c r="AG42" s="260">
        <f>ROUND(0, 3)</f>
        <v>0</v>
      </c>
      <c r="AH42" s="260">
        <f>ROUND(0, 3)</f>
        <v>0</v>
      </c>
      <c r="AI42" s="260" t="str">
        <f>FIXED(0,1)</f>
        <v>0.0</v>
      </c>
      <c r="AJ42" s="260" t="str">
        <f>FIXED(0,1)</f>
        <v>0.0</v>
      </c>
      <c r="AK42" s="260" t="str">
        <f>IF(0=1, "Yes", "No")</f>
        <v>No</v>
      </c>
      <c r="AL42" s="242" t="str">
        <f>IF(0=1, ROUND(-10, 1), "--")</f>
        <v>--</v>
      </c>
      <c r="AM42" s="260" t="str">
        <f>IF(0=1, ROUND(10, 1), "--")</f>
        <v>--</v>
      </c>
      <c r="AN42" s="260" t="str">
        <f>IF(0=1, ROUND(0.625, 3), "--")</f>
        <v>--</v>
      </c>
      <c r="AO42" s="260" t="str">
        <f>IF(0=1, "3505", "--")</f>
        <v>--</v>
      </c>
      <c r="AP42" s="260" t="str">
        <f>IF(0=1, ROUND(100, 1), "--")</f>
        <v>--</v>
      </c>
      <c r="AQ42" s="260" t="str">
        <f>IF(0=1, "Yes", "No")</f>
        <v>No</v>
      </c>
      <c r="AR42" s="260" t="str">
        <f>IF(0=1, ROUND(-10, 1), "--")</f>
        <v>--</v>
      </c>
      <c r="AS42" s="260" t="str">
        <f>IF(0=1, ROUND(10, 1), "--")</f>
        <v>--</v>
      </c>
      <c r="AT42" s="260" t="str">
        <f>IF(0=1, ROUND(0.625, 1), "--")</f>
        <v>--</v>
      </c>
      <c r="AU42" s="260" t="str">
        <f>IF(0=1, "3505", "--")</f>
        <v>--</v>
      </c>
      <c r="AV42" s="260" t="str">
        <f>IF(0=1, ROUND(100, 1), "--")</f>
        <v>--</v>
      </c>
      <c r="AW42" s="242" t="str">
        <f>IF(0 = 0, IF(1=0, "Y", "Δ"),"--")</f>
        <v>Δ</v>
      </c>
      <c r="AX42" s="242" t="str">
        <f>IF(1=1, "--", CHOOSE((1 + 1), "Open", "Solid", "Resistor", "Reactor", "Xfmr-Resistor", "Xfmr-Reactor"))</f>
        <v>--</v>
      </c>
      <c r="AY42" s="242" t="str">
        <f>IF(0 = 0, IF(0=0,  "Y", "Δ"),IF(1=0,  "Ungrounded", "Grounded"))</f>
        <v>Y</v>
      </c>
      <c r="AZ42" s="242" t="str">
        <f>IF(0 = 0,IF(0=1, "--", CHOOSE((1 + 1), "Open", "Solid", "Resistor", "Reactor", "Xfmr-Resistor", "Xfmr-Reactor"))," ")</f>
        <v>Solid</v>
      </c>
      <c r="BA42" s="242" t="str">
        <f>IF(0 = 0, "ANSI", "IEC")</f>
        <v>ANSI</v>
      </c>
      <c r="BB42" s="242" t="str">
        <f>IF(0 = 1, "--",  CHOOSE((2 + 1), "Infrequent","Frequent","Both"))</f>
        <v>Both</v>
      </c>
      <c r="BC42" s="242" t="str">
        <f>IF(0 = 1, "--", IF(1=1, "Yes", "No"))</f>
        <v>Yes</v>
      </c>
      <c r="BD42" s="242">
        <f>IF(0 = 1, "--", ROUND(1, 2))</f>
        <v>1</v>
      </c>
      <c r="BE42" s="242" t="str">
        <f>CHOOSE((0+1), "Point", "Curve - Piecewise", "Curve - Equation")</f>
        <v>Point</v>
      </c>
      <c r="BF42" s="242">
        <f>ROUND(8, 1)</f>
        <v>8</v>
      </c>
      <c r="BG42" s="242">
        <f>IF(0=2,ROUND(60, 1),ROUND(6, 1))</f>
        <v>6</v>
      </c>
      <c r="BH42" s="242">
        <v>0</v>
      </c>
      <c r="BI42" s="260" t="s">
        <v>6327</v>
      </c>
      <c r="BJ42" s="260">
        <f>ROUND(1,2)</f>
        <v>1</v>
      </c>
      <c r="BK42" s="260"/>
      <c r="BL42" s="260"/>
      <c r="BM42" s="260"/>
      <c r="BN42" s="260"/>
      <c r="BO42" s="260"/>
      <c r="BP42" s="53" t="s">
        <v>6390</v>
      </c>
    </row>
    <row r="43" spans="1:68">
      <c r="A43" s="105" t="s">
        <v>6391</v>
      </c>
      <c r="B43" s="105" t="str">
        <f>IF(TRUE = TRUE, "Yes", "No")</f>
        <v>Yes</v>
      </c>
      <c r="C43" s="105" t="s">
        <v>5202</v>
      </c>
      <c r="D43" s="105"/>
      <c r="E43" s="105" t="str">
        <f>IF(TRIM( "BUS_CNODE_JCT__1445") = "", "BUS_CNODE_JCT__1445", "BUS_CNODE_JCT__1445")</f>
        <v>BUS_CNODE_JCT__1445</v>
      </c>
      <c r="F43" s="105" t="str">
        <f>IF(TRIM( "BUS_小区#1箱变_813_1515") = "","BUS_小区#1箱变_813_1515","BUS_小区#1箱变_813_1515")</f>
        <v>BUS_小区#1箱变_813_1515</v>
      </c>
      <c r="G43" s="105" t="str">
        <f>IF(0 = 0, "3", "1")</f>
        <v>3</v>
      </c>
      <c r="H43" s="105" t="str">
        <f>IF(0 = 0, "N", "Y")</f>
        <v>N</v>
      </c>
      <c r="I43" s="105" t="str">
        <f>IF(0 = 0, CHOOSE((0+1), "Shell", "3 Limb","4 Limb","5 Limb","3 1-Phase"), IF(0 = 1,CHOOSE((0+1), "Shell", "Core"),"--"))</f>
        <v>Shell</v>
      </c>
      <c r="J43" s="242">
        <f xml:space="preserve"> IF(65 = 65, 65, CONCATENATE(65, "/", 65))</f>
        <v>65</v>
      </c>
      <c r="K43" s="275">
        <f>CHOOSE((0 + 1), 50 / 1000,50, 50 * 1000)</f>
        <v>0.05</v>
      </c>
      <c r="L43" s="276" t="str">
        <f>CHOOSE((0 + 1), "MVA", "kVA", "VA")</f>
        <v>MVA</v>
      </c>
      <c r="M43" s="277">
        <f xml:space="preserve"> 50</f>
        <v>50</v>
      </c>
      <c r="N43" s="277" t="str">
        <f>IF(0 = 4,CHOOSE((0 + 1), 0 / 1000,0, 0 * 1000),"--")</f>
        <v>--</v>
      </c>
      <c r="O43" s="277" t="str">
        <f>IF(0 = 4,CHOOSE((0 + 1), 0 / 1000,0, 0 * 1000),"--")</f>
        <v>--</v>
      </c>
      <c r="P43" s="277" t="str">
        <f>IF(0 = 4,CHOOSE((0 + 1), 0 / 1000,0, 0 * 1000),"--")</f>
        <v>--</v>
      </c>
      <c r="Q43" s="278">
        <f>ROUND(10, 3)</f>
        <v>10</v>
      </c>
      <c r="R43" s="268" t="s">
        <v>847</v>
      </c>
      <c r="S43" s="242">
        <f>IF(10 &gt; 0, IF(0=1, ROUND((50/10), 1),ROUND((50/(SQRT(3)*10)), 1)), "")</f>
        <v>2.9</v>
      </c>
      <c r="T43" s="278">
        <f>ROUND(0.400000006, 3)</f>
        <v>0.4</v>
      </c>
      <c r="U43" s="276" t="s">
        <v>847</v>
      </c>
      <c r="V43" s="242">
        <f>IF(0.400000006 &gt; 0, IF(0=1, ROUND((50/0.400000006), 1),ROUND((50/(SQRT(3)*0.400000006)), 1)), "")</f>
        <v>72.2</v>
      </c>
      <c r="W43" s="278">
        <f>ROUND(10, 1)</f>
        <v>10</v>
      </c>
      <c r="X43" s="276" t="s">
        <v>850</v>
      </c>
      <c r="Y43" s="260">
        <f>ROUND(20, 1)</f>
        <v>20</v>
      </c>
      <c r="Z43" s="278">
        <f>ROUND(10, 1)</f>
        <v>10</v>
      </c>
      <c r="AA43" s="268" t="s">
        <v>850</v>
      </c>
      <c r="AB43" s="260">
        <f>ROUND(20, 1)</f>
        <v>20</v>
      </c>
      <c r="AC43" s="260">
        <f>ROUND(0, 3)</f>
        <v>0</v>
      </c>
      <c r="AD43" s="260">
        <f>ROUND(0, 3)</f>
        <v>0</v>
      </c>
      <c r="AE43" s="260">
        <f>ROUND(0, 3)</f>
        <v>0</v>
      </c>
      <c r="AF43" s="260">
        <f>ROUND(0, 3)</f>
        <v>0</v>
      </c>
      <c r="AG43" s="260">
        <f>ROUND(0, 3)</f>
        <v>0</v>
      </c>
      <c r="AH43" s="260">
        <f>ROUND(0, 3)</f>
        <v>0</v>
      </c>
      <c r="AI43" s="260" t="str">
        <f>FIXED(0,1)</f>
        <v>0.0</v>
      </c>
      <c r="AJ43" s="260" t="str">
        <f>FIXED(0,1)</f>
        <v>0.0</v>
      </c>
      <c r="AK43" s="260" t="str">
        <f>IF(0=1, "Yes", "No")</f>
        <v>No</v>
      </c>
      <c r="AL43" s="242" t="str">
        <f>IF(0=1, ROUND(-10, 1), "--")</f>
        <v>--</v>
      </c>
      <c r="AM43" s="260" t="str">
        <f>IF(0=1, ROUND(10, 1), "--")</f>
        <v>--</v>
      </c>
      <c r="AN43" s="260" t="str">
        <f>IF(0=1, ROUND(0.625, 3), "--")</f>
        <v>--</v>
      </c>
      <c r="AO43" s="260" t="str">
        <f>IF(0=1, "3575", "--")</f>
        <v>--</v>
      </c>
      <c r="AP43" s="260" t="str">
        <f>IF(0=1, ROUND(100, 1), "--")</f>
        <v>--</v>
      </c>
      <c r="AQ43" s="260" t="str">
        <f>IF(0=1, "Yes", "No")</f>
        <v>No</v>
      </c>
      <c r="AR43" s="260" t="str">
        <f>IF(0=1, ROUND(-10, 1), "--")</f>
        <v>--</v>
      </c>
      <c r="AS43" s="260" t="str">
        <f>IF(0=1, ROUND(10, 1), "--")</f>
        <v>--</v>
      </c>
      <c r="AT43" s="260" t="str">
        <f>IF(0=1, ROUND(0.625, 1), "--")</f>
        <v>--</v>
      </c>
      <c r="AU43" s="260" t="str">
        <f>IF(0=1, "3575", "--")</f>
        <v>--</v>
      </c>
      <c r="AV43" s="260" t="str">
        <f>IF(0=1, ROUND(100, 1), "--")</f>
        <v>--</v>
      </c>
      <c r="AW43" s="242" t="str">
        <f>IF(0 = 0, IF(1=0, "Y", "Δ"),"--")</f>
        <v>Δ</v>
      </c>
      <c r="AX43" s="242" t="str">
        <f>IF(1=1, "--", CHOOSE((1 + 1), "Open", "Solid", "Resistor", "Reactor", "Xfmr-Resistor", "Xfmr-Reactor"))</f>
        <v>--</v>
      </c>
      <c r="AY43" s="242" t="str">
        <f>IF(0 = 0, IF(0=0,  "Y", "Δ"),IF(1=0,  "Ungrounded", "Grounded"))</f>
        <v>Y</v>
      </c>
      <c r="AZ43" s="242" t="str">
        <f>IF(0 = 0,IF(0=1, "--", CHOOSE((1 + 1), "Open", "Solid", "Resistor", "Reactor", "Xfmr-Resistor", "Xfmr-Reactor"))," ")</f>
        <v>Solid</v>
      </c>
      <c r="BA43" s="242" t="str">
        <f>IF(0 = 0, "ANSI", "IEC")</f>
        <v>ANSI</v>
      </c>
      <c r="BB43" s="242" t="str">
        <f>IF(0 = 1, "--",  CHOOSE((2 + 1), "Infrequent","Frequent","Both"))</f>
        <v>Both</v>
      </c>
      <c r="BC43" s="242" t="str">
        <f>IF(0 = 1, "--", IF(1=1, "Yes", "No"))</f>
        <v>Yes</v>
      </c>
      <c r="BD43" s="242">
        <f>IF(0 = 1, "--", ROUND(1, 2))</f>
        <v>1</v>
      </c>
      <c r="BE43" s="242" t="str">
        <f>CHOOSE((0+1), "Point", "Curve - Piecewise", "Curve - Equation")</f>
        <v>Point</v>
      </c>
      <c r="BF43" s="242">
        <f>ROUND(8, 1)</f>
        <v>8</v>
      </c>
      <c r="BG43" s="242">
        <f>IF(0=2,ROUND(60, 1),ROUND(6, 1))</f>
        <v>6</v>
      </c>
      <c r="BH43" s="242">
        <v>0</v>
      </c>
      <c r="BI43" s="260" t="s">
        <v>6327</v>
      </c>
      <c r="BJ43" s="260">
        <f>ROUND(1,2)</f>
        <v>1</v>
      </c>
      <c r="BK43" s="260"/>
      <c r="BL43" s="260"/>
      <c r="BM43" s="260"/>
      <c r="BN43" s="260"/>
      <c r="BO43" s="260"/>
      <c r="BP43" s="53" t="s">
        <v>6392</v>
      </c>
    </row>
    <row r="44" spans="1:68">
      <c r="A44" s="105" t="s">
        <v>6393</v>
      </c>
      <c r="B44" s="105" t="str">
        <f>IF(TRUE = TRUE, "Yes", "No")</f>
        <v>Yes</v>
      </c>
      <c r="C44" s="105" t="s">
        <v>5202</v>
      </c>
      <c r="D44" s="105"/>
      <c r="E44" s="105" t="str">
        <f>IF(TRIM( "BUS_CNODE_JCT__1444") = "", "BUS_CNODE_JCT__1444", "BUS_CNODE_JCT__1444")</f>
        <v>BUS_CNODE_JCT__1444</v>
      </c>
      <c r="F44" s="105" t="str">
        <f>IF(TRIM( "BUS_小区#2箱变_812_1513") = "","BUS_小区#2箱变_812_1513","BUS_小区#2箱变_812_1513")</f>
        <v>BUS_小区#2箱变_812_1513</v>
      </c>
      <c r="G44" s="105" t="str">
        <f>IF(0 = 0, "3", "1")</f>
        <v>3</v>
      </c>
      <c r="H44" s="105" t="str">
        <f>IF(0 = 0, "N", "Y")</f>
        <v>N</v>
      </c>
      <c r="I44" s="105" t="str">
        <f>IF(0 = 0, CHOOSE((0+1), "Shell", "3 Limb","4 Limb","5 Limb","3 1-Phase"), IF(0 = 1,CHOOSE((0+1), "Shell", "Core"),"--"))</f>
        <v>Shell</v>
      </c>
      <c r="J44" s="242">
        <f xml:space="preserve"> IF(65 = 65, 65, CONCATENATE(65, "/", 65))</f>
        <v>65</v>
      </c>
      <c r="K44" s="275">
        <f>CHOOSE((0 + 1), 50 / 1000,50, 50 * 1000)</f>
        <v>0.05</v>
      </c>
      <c r="L44" s="276" t="str">
        <f>CHOOSE((0 + 1), "MVA", "kVA", "VA")</f>
        <v>MVA</v>
      </c>
      <c r="M44" s="277">
        <f xml:space="preserve"> 50</f>
        <v>50</v>
      </c>
      <c r="N44" s="277" t="str">
        <f>IF(0 = 4,CHOOSE((0 + 1), 0 / 1000,0, 0 * 1000),"--")</f>
        <v>--</v>
      </c>
      <c r="O44" s="277" t="str">
        <f>IF(0 = 4,CHOOSE((0 + 1), 0 / 1000,0, 0 * 1000),"--")</f>
        <v>--</v>
      </c>
      <c r="P44" s="277" t="str">
        <f>IF(0 = 4,CHOOSE((0 + 1), 0 / 1000,0, 0 * 1000),"--")</f>
        <v>--</v>
      </c>
      <c r="Q44" s="278">
        <f>ROUND(10, 3)</f>
        <v>10</v>
      </c>
      <c r="R44" s="268" t="s">
        <v>847</v>
      </c>
      <c r="S44" s="242">
        <f>IF(10 &gt; 0, IF(0=1, ROUND((50/10), 1),ROUND((50/(SQRT(3)*10)), 1)), "")</f>
        <v>2.9</v>
      </c>
      <c r="T44" s="278">
        <f>ROUND(0.400000006, 3)</f>
        <v>0.4</v>
      </c>
      <c r="U44" s="276" t="s">
        <v>847</v>
      </c>
      <c r="V44" s="242">
        <f>IF(0.400000006 &gt; 0, IF(0=1, ROUND((50/0.400000006), 1),ROUND((50/(SQRT(3)*0.400000006)), 1)), "")</f>
        <v>72.2</v>
      </c>
      <c r="W44" s="278">
        <f>ROUND(10, 1)</f>
        <v>10</v>
      </c>
      <c r="X44" s="276" t="s">
        <v>850</v>
      </c>
      <c r="Y44" s="260">
        <f>ROUND(20, 1)</f>
        <v>20</v>
      </c>
      <c r="Z44" s="278">
        <f>ROUND(10, 1)</f>
        <v>10</v>
      </c>
      <c r="AA44" s="268" t="s">
        <v>850</v>
      </c>
      <c r="AB44" s="260">
        <f>ROUND(20, 1)</f>
        <v>20</v>
      </c>
      <c r="AC44" s="260">
        <f>ROUND(0, 3)</f>
        <v>0</v>
      </c>
      <c r="AD44" s="260">
        <f>ROUND(0, 3)</f>
        <v>0</v>
      </c>
      <c r="AE44" s="260">
        <f>ROUND(0, 3)</f>
        <v>0</v>
      </c>
      <c r="AF44" s="260">
        <f>ROUND(0, 3)</f>
        <v>0</v>
      </c>
      <c r="AG44" s="260">
        <f>ROUND(0, 3)</f>
        <v>0</v>
      </c>
      <c r="AH44" s="260">
        <f>ROUND(0, 3)</f>
        <v>0</v>
      </c>
      <c r="AI44" s="260" t="str">
        <f>FIXED(0,1)</f>
        <v>0.0</v>
      </c>
      <c r="AJ44" s="260" t="str">
        <f>FIXED(0,1)</f>
        <v>0.0</v>
      </c>
      <c r="AK44" s="260" t="str">
        <f>IF(0=1, "Yes", "No")</f>
        <v>No</v>
      </c>
      <c r="AL44" s="242" t="str">
        <f>IF(0=1, ROUND(-10, 1), "--")</f>
        <v>--</v>
      </c>
      <c r="AM44" s="260" t="str">
        <f>IF(0=1, ROUND(10, 1), "--")</f>
        <v>--</v>
      </c>
      <c r="AN44" s="260" t="str">
        <f>IF(0=1, ROUND(0.625, 3), "--")</f>
        <v>--</v>
      </c>
      <c r="AO44" s="260" t="str">
        <f>IF(0=1, "3573", "--")</f>
        <v>--</v>
      </c>
      <c r="AP44" s="260" t="str">
        <f>IF(0=1, ROUND(100, 1), "--")</f>
        <v>--</v>
      </c>
      <c r="AQ44" s="260" t="str">
        <f>IF(0=1, "Yes", "No")</f>
        <v>No</v>
      </c>
      <c r="AR44" s="260" t="str">
        <f>IF(0=1, ROUND(-10, 1), "--")</f>
        <v>--</v>
      </c>
      <c r="AS44" s="260" t="str">
        <f>IF(0=1, ROUND(10, 1), "--")</f>
        <v>--</v>
      </c>
      <c r="AT44" s="260" t="str">
        <f>IF(0=1, ROUND(0.625, 1), "--")</f>
        <v>--</v>
      </c>
      <c r="AU44" s="260" t="str">
        <f>IF(0=1, "3573", "--")</f>
        <v>--</v>
      </c>
      <c r="AV44" s="260" t="str">
        <f>IF(0=1, ROUND(100, 1), "--")</f>
        <v>--</v>
      </c>
      <c r="AW44" s="242" t="str">
        <f>IF(0 = 0, IF(1=0, "Y", "Δ"),"--")</f>
        <v>Δ</v>
      </c>
      <c r="AX44" s="242" t="str">
        <f>IF(1=1, "--", CHOOSE((1 + 1), "Open", "Solid", "Resistor", "Reactor", "Xfmr-Resistor", "Xfmr-Reactor"))</f>
        <v>--</v>
      </c>
      <c r="AY44" s="242" t="str">
        <f>IF(0 = 0, IF(0=0,  "Y", "Δ"),IF(1=0,  "Ungrounded", "Grounded"))</f>
        <v>Y</v>
      </c>
      <c r="AZ44" s="242" t="str">
        <f>IF(0 = 0,IF(0=1, "--", CHOOSE((1 + 1), "Open", "Solid", "Resistor", "Reactor", "Xfmr-Resistor", "Xfmr-Reactor"))," ")</f>
        <v>Solid</v>
      </c>
      <c r="BA44" s="242" t="str">
        <f>IF(0 = 0, "ANSI", "IEC")</f>
        <v>ANSI</v>
      </c>
      <c r="BB44" s="242" t="str">
        <f>IF(0 = 1, "--",  CHOOSE((2 + 1), "Infrequent","Frequent","Both"))</f>
        <v>Both</v>
      </c>
      <c r="BC44" s="242" t="str">
        <f>IF(0 = 1, "--", IF(1=1, "Yes", "No"))</f>
        <v>Yes</v>
      </c>
      <c r="BD44" s="242">
        <f>IF(0 = 1, "--", ROUND(1, 2))</f>
        <v>1</v>
      </c>
      <c r="BE44" s="242" t="str">
        <f>CHOOSE((0+1), "Point", "Curve - Piecewise", "Curve - Equation")</f>
        <v>Point</v>
      </c>
      <c r="BF44" s="242">
        <f>ROUND(8, 1)</f>
        <v>8</v>
      </c>
      <c r="BG44" s="242">
        <f>IF(0=2,ROUND(60, 1),ROUND(6, 1))</f>
        <v>6</v>
      </c>
      <c r="BH44" s="242">
        <v>0</v>
      </c>
      <c r="BI44" s="260" t="s">
        <v>6327</v>
      </c>
      <c r="BJ44" s="260">
        <f>ROUND(1,2)</f>
        <v>1</v>
      </c>
      <c r="BK44" s="260"/>
      <c r="BL44" s="260"/>
      <c r="BM44" s="260"/>
      <c r="BN44" s="260"/>
      <c r="BO44" s="260"/>
      <c r="BP44" s="53" t="s">
        <v>6394</v>
      </c>
    </row>
    <row r="45" spans="1:68">
      <c r="A45" s="105" t="s">
        <v>6395</v>
      </c>
      <c r="B45" s="105" t="str">
        <f>IF(TRUE = TRUE, "Yes", "No")</f>
        <v>Yes</v>
      </c>
      <c r="C45" s="105" t="s">
        <v>5202</v>
      </c>
      <c r="D45" s="105"/>
      <c r="E45" s="105" t="str">
        <f>IF(TRIM( "BUS_CNODE_JCT__1450") = "", "BUS_CNODE_JCT__1450", "BUS_CNODE_JCT__1450")</f>
        <v>BUS_CNODE_JCT__1450</v>
      </c>
      <c r="F45" s="105" t="str">
        <f>IF(TRIM( "BUS_#1变_818_1525") = "","BUS_#1变_818_1525","BUS_#1变_818_1525")</f>
        <v>BUS_#1变_818_1525</v>
      </c>
      <c r="G45" s="105" t="str">
        <f>IF(0 = 0, "3", "1")</f>
        <v>3</v>
      </c>
      <c r="H45" s="105" t="str">
        <f>IF(0 = 0, "N", "Y")</f>
        <v>N</v>
      </c>
      <c r="I45" s="105" t="str">
        <f>IF(0 = 0, CHOOSE((0+1), "Shell", "3 Limb","4 Limb","5 Limb","3 1-Phase"), IF(0 = 1,CHOOSE((0+1), "Shell", "Core"),"--"))</f>
        <v>Shell</v>
      </c>
      <c r="J45" s="242">
        <f xml:space="preserve"> IF(65 = 65, 65, CONCATENATE(65, "/", 65))</f>
        <v>65</v>
      </c>
      <c r="K45" s="275">
        <f>CHOOSE((0 + 1), 50 / 1000,50, 50 * 1000)</f>
        <v>0.05</v>
      </c>
      <c r="L45" s="276" t="str">
        <f>CHOOSE((0 + 1), "MVA", "kVA", "VA")</f>
        <v>MVA</v>
      </c>
      <c r="M45" s="277">
        <f xml:space="preserve"> 50</f>
        <v>50</v>
      </c>
      <c r="N45" s="277" t="str">
        <f>IF(0 = 4,CHOOSE((0 + 1), 0 / 1000,0, 0 * 1000),"--")</f>
        <v>--</v>
      </c>
      <c r="O45" s="277" t="str">
        <f>IF(0 = 4,CHOOSE((0 + 1), 0 / 1000,0, 0 * 1000),"--")</f>
        <v>--</v>
      </c>
      <c r="P45" s="277" t="str">
        <f>IF(0 = 4,CHOOSE((0 + 1), 0 / 1000,0, 0 * 1000),"--")</f>
        <v>--</v>
      </c>
      <c r="Q45" s="278">
        <f>ROUND(10, 3)</f>
        <v>10</v>
      </c>
      <c r="R45" s="268" t="s">
        <v>847</v>
      </c>
      <c r="S45" s="242">
        <f>IF(10 &gt; 0, IF(0=1, ROUND((50/10), 1),ROUND((50/(SQRT(3)*10)), 1)), "")</f>
        <v>2.9</v>
      </c>
      <c r="T45" s="278">
        <f>ROUND(0.400000006, 3)</f>
        <v>0.4</v>
      </c>
      <c r="U45" s="276" t="s">
        <v>847</v>
      </c>
      <c r="V45" s="242">
        <f>IF(0.400000006 &gt; 0, IF(0=1, ROUND((50/0.400000006), 1),ROUND((50/(SQRT(3)*0.400000006)), 1)), "")</f>
        <v>72.2</v>
      </c>
      <c r="W45" s="278">
        <f>ROUND(10, 1)</f>
        <v>10</v>
      </c>
      <c r="X45" s="276" t="s">
        <v>850</v>
      </c>
      <c r="Y45" s="260">
        <f>ROUND(20, 1)</f>
        <v>20</v>
      </c>
      <c r="Z45" s="278">
        <f>ROUND(10, 1)</f>
        <v>10</v>
      </c>
      <c r="AA45" s="268" t="s">
        <v>850</v>
      </c>
      <c r="AB45" s="260">
        <f>ROUND(20, 1)</f>
        <v>20</v>
      </c>
      <c r="AC45" s="260">
        <f>ROUND(0, 3)</f>
        <v>0</v>
      </c>
      <c r="AD45" s="260">
        <f>ROUND(0, 3)</f>
        <v>0</v>
      </c>
      <c r="AE45" s="260">
        <f>ROUND(0, 3)</f>
        <v>0</v>
      </c>
      <c r="AF45" s="260">
        <f>ROUND(0, 3)</f>
        <v>0</v>
      </c>
      <c r="AG45" s="260">
        <f>ROUND(0, 3)</f>
        <v>0</v>
      </c>
      <c r="AH45" s="260">
        <f>ROUND(0, 3)</f>
        <v>0</v>
      </c>
      <c r="AI45" s="260" t="str">
        <f>FIXED(0,1)</f>
        <v>0.0</v>
      </c>
      <c r="AJ45" s="260" t="str">
        <f>FIXED(0,1)</f>
        <v>0.0</v>
      </c>
      <c r="AK45" s="260" t="str">
        <f>IF(0=1, "Yes", "No")</f>
        <v>No</v>
      </c>
      <c r="AL45" s="242" t="str">
        <f>IF(0=1, ROUND(-10, 1), "--")</f>
        <v>--</v>
      </c>
      <c r="AM45" s="260" t="str">
        <f>IF(0=1, ROUND(10, 1), "--")</f>
        <v>--</v>
      </c>
      <c r="AN45" s="260" t="str">
        <f>IF(0=1, ROUND(0.625, 3), "--")</f>
        <v>--</v>
      </c>
      <c r="AO45" s="260" t="str">
        <f>IF(0=1, "3603", "--")</f>
        <v>--</v>
      </c>
      <c r="AP45" s="260" t="str">
        <f>IF(0=1, ROUND(100, 1), "--")</f>
        <v>--</v>
      </c>
      <c r="AQ45" s="260" t="str">
        <f>IF(0=1, "Yes", "No")</f>
        <v>No</v>
      </c>
      <c r="AR45" s="260" t="str">
        <f>IF(0=1, ROUND(-10, 1), "--")</f>
        <v>--</v>
      </c>
      <c r="AS45" s="260" t="str">
        <f>IF(0=1, ROUND(10, 1), "--")</f>
        <v>--</v>
      </c>
      <c r="AT45" s="260" t="str">
        <f>IF(0=1, ROUND(0.625, 1), "--")</f>
        <v>--</v>
      </c>
      <c r="AU45" s="260" t="str">
        <f>IF(0=1, "3603", "--")</f>
        <v>--</v>
      </c>
      <c r="AV45" s="260" t="str">
        <f>IF(0=1, ROUND(100, 1), "--")</f>
        <v>--</v>
      </c>
      <c r="AW45" s="242" t="str">
        <f>IF(0 = 0, IF(1=0, "Y", "Δ"),"--")</f>
        <v>Δ</v>
      </c>
      <c r="AX45" s="242" t="str">
        <f>IF(1=1, "--", CHOOSE((1 + 1), "Open", "Solid", "Resistor", "Reactor", "Xfmr-Resistor", "Xfmr-Reactor"))</f>
        <v>--</v>
      </c>
      <c r="AY45" s="242" t="str">
        <f>IF(0 = 0, IF(0=0,  "Y", "Δ"),IF(1=0,  "Ungrounded", "Grounded"))</f>
        <v>Y</v>
      </c>
      <c r="AZ45" s="242" t="str">
        <f>IF(0 = 0,IF(0=1, "--", CHOOSE((1 + 1), "Open", "Solid", "Resistor", "Reactor", "Xfmr-Resistor", "Xfmr-Reactor"))," ")</f>
        <v>Solid</v>
      </c>
      <c r="BA45" s="242" t="str">
        <f>IF(0 = 0, "ANSI", "IEC")</f>
        <v>ANSI</v>
      </c>
      <c r="BB45" s="242" t="str">
        <f>IF(0 = 1, "--",  CHOOSE((2 + 1), "Infrequent","Frequent","Both"))</f>
        <v>Both</v>
      </c>
      <c r="BC45" s="242" t="str">
        <f>IF(0 = 1, "--", IF(1=1, "Yes", "No"))</f>
        <v>Yes</v>
      </c>
      <c r="BD45" s="242">
        <f>IF(0 = 1, "--", ROUND(1, 2))</f>
        <v>1</v>
      </c>
      <c r="BE45" s="242" t="str">
        <f>CHOOSE((0+1), "Point", "Curve - Piecewise", "Curve - Equation")</f>
        <v>Point</v>
      </c>
      <c r="BF45" s="242">
        <f>ROUND(8, 1)</f>
        <v>8</v>
      </c>
      <c r="BG45" s="242">
        <f>IF(0=2,ROUND(60, 1),ROUND(6, 1))</f>
        <v>6</v>
      </c>
      <c r="BH45" s="242">
        <v>0</v>
      </c>
      <c r="BI45" s="260" t="s">
        <v>6327</v>
      </c>
      <c r="BJ45" s="260">
        <f>ROUND(1,2)</f>
        <v>1</v>
      </c>
      <c r="BK45" s="260"/>
      <c r="BL45" s="260"/>
      <c r="BM45" s="260"/>
      <c r="BN45" s="260"/>
      <c r="BO45" s="260"/>
      <c r="BP45" s="53" t="s">
        <v>6396</v>
      </c>
    </row>
    <row r="46" spans="1:68">
      <c r="A46" s="105" t="s">
        <v>6397</v>
      </c>
      <c r="B46" s="105" t="str">
        <f>IF(TRUE = TRUE, "Yes", "No")</f>
        <v>Yes</v>
      </c>
      <c r="C46" s="105" t="s">
        <v>5202</v>
      </c>
      <c r="D46" s="105"/>
      <c r="E46" s="105" t="str">
        <f>IF(TRIM( "BUS_CNODE_JCT__1451") = "", "BUS_CNODE_JCT__1451", "BUS_CNODE_JCT__1451")</f>
        <v>BUS_CNODE_JCT__1451</v>
      </c>
      <c r="F46" s="105" t="str">
        <f>IF(TRIM( "BUS_#2变_819_1527") = "","BUS_#2变_819_1527","BUS_#2变_819_1527")</f>
        <v>BUS_#2变_819_1527</v>
      </c>
      <c r="G46" s="105" t="str">
        <f>IF(0 = 0, "3", "1")</f>
        <v>3</v>
      </c>
      <c r="H46" s="105" t="str">
        <f>IF(0 = 0, "N", "Y")</f>
        <v>N</v>
      </c>
      <c r="I46" s="105" t="str">
        <f>IF(0 = 0, CHOOSE((0+1), "Shell", "3 Limb","4 Limb","5 Limb","3 1-Phase"), IF(0 = 1,CHOOSE((0+1), "Shell", "Core"),"--"))</f>
        <v>Shell</v>
      </c>
      <c r="J46" s="242">
        <f xml:space="preserve"> IF(65 = 65, 65, CONCATENATE(65, "/", 65))</f>
        <v>65</v>
      </c>
      <c r="K46" s="275">
        <f>CHOOSE((0 + 1), 50 / 1000,50, 50 * 1000)</f>
        <v>0.05</v>
      </c>
      <c r="L46" s="276" t="str">
        <f>CHOOSE((0 + 1), "MVA", "kVA", "VA")</f>
        <v>MVA</v>
      </c>
      <c r="M46" s="277">
        <f xml:space="preserve"> 50</f>
        <v>50</v>
      </c>
      <c r="N46" s="277" t="str">
        <f>IF(0 = 4,CHOOSE((0 + 1), 0 / 1000,0, 0 * 1000),"--")</f>
        <v>--</v>
      </c>
      <c r="O46" s="277" t="str">
        <f>IF(0 = 4,CHOOSE((0 + 1), 0 / 1000,0, 0 * 1000),"--")</f>
        <v>--</v>
      </c>
      <c r="P46" s="277" t="str">
        <f>IF(0 = 4,CHOOSE((0 + 1), 0 / 1000,0, 0 * 1000),"--")</f>
        <v>--</v>
      </c>
      <c r="Q46" s="278">
        <f>ROUND(10, 3)</f>
        <v>10</v>
      </c>
      <c r="R46" s="268" t="s">
        <v>847</v>
      </c>
      <c r="S46" s="242">
        <f>IF(10 &gt; 0, IF(0=1, ROUND((50/10), 1),ROUND((50/(SQRT(3)*10)), 1)), "")</f>
        <v>2.9</v>
      </c>
      <c r="T46" s="278">
        <f>ROUND(0.400000006, 3)</f>
        <v>0.4</v>
      </c>
      <c r="U46" s="276" t="s">
        <v>847</v>
      </c>
      <c r="V46" s="242">
        <f>IF(0.400000006 &gt; 0, IF(0=1, ROUND((50/0.400000006), 1),ROUND((50/(SQRT(3)*0.400000006)), 1)), "")</f>
        <v>72.2</v>
      </c>
      <c r="W46" s="278">
        <f>ROUND(10, 1)</f>
        <v>10</v>
      </c>
      <c r="X46" s="276" t="s">
        <v>850</v>
      </c>
      <c r="Y46" s="260">
        <f>ROUND(20, 1)</f>
        <v>20</v>
      </c>
      <c r="Z46" s="278">
        <f>ROUND(10, 1)</f>
        <v>10</v>
      </c>
      <c r="AA46" s="268" t="s">
        <v>850</v>
      </c>
      <c r="AB46" s="260">
        <f>ROUND(20, 1)</f>
        <v>20</v>
      </c>
      <c r="AC46" s="260">
        <f>ROUND(0, 3)</f>
        <v>0</v>
      </c>
      <c r="AD46" s="260">
        <f>ROUND(0, 3)</f>
        <v>0</v>
      </c>
      <c r="AE46" s="260">
        <f>ROUND(0, 3)</f>
        <v>0</v>
      </c>
      <c r="AF46" s="260">
        <f>ROUND(0, 3)</f>
        <v>0</v>
      </c>
      <c r="AG46" s="260">
        <f>ROUND(0, 3)</f>
        <v>0</v>
      </c>
      <c r="AH46" s="260">
        <f>ROUND(0, 3)</f>
        <v>0</v>
      </c>
      <c r="AI46" s="260" t="str">
        <f>FIXED(0,1)</f>
        <v>0.0</v>
      </c>
      <c r="AJ46" s="260" t="str">
        <f>FIXED(0,1)</f>
        <v>0.0</v>
      </c>
      <c r="AK46" s="260" t="str">
        <f>IF(0=1, "Yes", "No")</f>
        <v>No</v>
      </c>
      <c r="AL46" s="242" t="str">
        <f>IF(0=1, ROUND(-10, 1), "--")</f>
        <v>--</v>
      </c>
      <c r="AM46" s="260" t="str">
        <f>IF(0=1, ROUND(10, 1), "--")</f>
        <v>--</v>
      </c>
      <c r="AN46" s="260" t="str">
        <f>IF(0=1, ROUND(0.625, 3), "--")</f>
        <v>--</v>
      </c>
      <c r="AO46" s="260" t="str">
        <f>IF(0=1, "3605", "--")</f>
        <v>--</v>
      </c>
      <c r="AP46" s="260" t="str">
        <f>IF(0=1, ROUND(100, 1), "--")</f>
        <v>--</v>
      </c>
      <c r="AQ46" s="260" t="str">
        <f>IF(0=1, "Yes", "No")</f>
        <v>No</v>
      </c>
      <c r="AR46" s="260" t="str">
        <f>IF(0=1, ROUND(-10, 1), "--")</f>
        <v>--</v>
      </c>
      <c r="AS46" s="260" t="str">
        <f>IF(0=1, ROUND(10, 1), "--")</f>
        <v>--</v>
      </c>
      <c r="AT46" s="260" t="str">
        <f>IF(0=1, ROUND(0.625, 1), "--")</f>
        <v>--</v>
      </c>
      <c r="AU46" s="260" t="str">
        <f>IF(0=1, "3605", "--")</f>
        <v>--</v>
      </c>
      <c r="AV46" s="260" t="str">
        <f>IF(0=1, ROUND(100, 1), "--")</f>
        <v>--</v>
      </c>
      <c r="AW46" s="242" t="str">
        <f>IF(0 = 0, IF(1=0, "Y", "Δ"),"--")</f>
        <v>Δ</v>
      </c>
      <c r="AX46" s="242" t="str">
        <f>IF(1=1, "--", CHOOSE((1 + 1), "Open", "Solid", "Resistor", "Reactor", "Xfmr-Resistor", "Xfmr-Reactor"))</f>
        <v>--</v>
      </c>
      <c r="AY46" s="242" t="str">
        <f>IF(0 = 0, IF(0=0,  "Y", "Δ"),IF(1=0,  "Ungrounded", "Grounded"))</f>
        <v>Y</v>
      </c>
      <c r="AZ46" s="242" t="str">
        <f>IF(0 = 0,IF(0=1, "--", CHOOSE((1 + 1), "Open", "Solid", "Resistor", "Reactor", "Xfmr-Resistor", "Xfmr-Reactor"))," ")</f>
        <v>Solid</v>
      </c>
      <c r="BA46" s="242" t="str">
        <f>IF(0 = 0, "ANSI", "IEC")</f>
        <v>ANSI</v>
      </c>
      <c r="BB46" s="242" t="str">
        <f>IF(0 = 1, "--",  CHOOSE((2 + 1), "Infrequent","Frequent","Both"))</f>
        <v>Both</v>
      </c>
      <c r="BC46" s="242" t="str">
        <f>IF(0 = 1, "--", IF(1=1, "Yes", "No"))</f>
        <v>Yes</v>
      </c>
      <c r="BD46" s="242">
        <f>IF(0 = 1, "--", ROUND(1, 2))</f>
        <v>1</v>
      </c>
      <c r="BE46" s="242" t="str">
        <f>CHOOSE((0+1), "Point", "Curve - Piecewise", "Curve - Equation")</f>
        <v>Point</v>
      </c>
      <c r="BF46" s="242">
        <f>ROUND(8, 1)</f>
        <v>8</v>
      </c>
      <c r="BG46" s="242">
        <f>IF(0=2,ROUND(60, 1),ROUND(6, 1))</f>
        <v>6</v>
      </c>
      <c r="BH46" s="242">
        <v>0</v>
      </c>
      <c r="BI46" s="260" t="s">
        <v>6327</v>
      </c>
      <c r="BJ46" s="260">
        <f>ROUND(1,2)</f>
        <v>1</v>
      </c>
      <c r="BK46" s="260"/>
      <c r="BL46" s="260"/>
      <c r="BM46" s="260"/>
      <c r="BN46" s="260"/>
      <c r="BO46" s="260"/>
      <c r="BP46" s="53" t="s">
        <v>6398</v>
      </c>
    </row>
    <row r="47" spans="1:68">
      <c r="A47" s="247"/>
      <c r="BP47" s="249"/>
    </row>
    <row r="48" spans="1:68">
      <c r="A48" s="247"/>
      <c r="BP48" s="249"/>
    </row>
    <row r="49" spans="1:68">
      <c r="A49" s="247"/>
      <c r="BP49" s="249"/>
    </row>
    <row r="50" spans="1:68">
      <c r="A50" s="247"/>
      <c r="BP50" s="249"/>
    </row>
    <row r="51" spans="1:68">
      <c r="A51" s="247"/>
      <c r="BP51" s="249"/>
    </row>
    <row r="52" spans="1:68">
      <c r="A52" s="247"/>
      <c r="BP52" s="249"/>
    </row>
    <row r="53" spans="1:68">
      <c r="A53" s="247"/>
      <c r="BP53" s="249"/>
    </row>
    <row r="54" spans="1:68">
      <c r="A54" s="247"/>
      <c r="BP54" s="249"/>
    </row>
    <row r="55" spans="1:68">
      <c r="A55" s="247"/>
      <c r="BP55" s="249"/>
    </row>
    <row r="56" spans="1:68">
      <c r="A56" s="247"/>
      <c r="BP56" s="249"/>
    </row>
    <row r="57" spans="1:68">
      <c r="A57" s="247"/>
      <c r="BP57" s="249"/>
    </row>
    <row r="58" spans="1:68">
      <c r="A58" s="247"/>
      <c r="BP58" s="249"/>
    </row>
    <row r="59" spans="1:68">
      <c r="A59" s="247"/>
      <c r="BP59" s="249"/>
    </row>
    <row r="60" spans="1:68">
      <c r="A60" s="247"/>
      <c r="BP60" s="249"/>
    </row>
    <row r="61" spans="1:68">
      <c r="A61" s="247"/>
      <c r="BP61" s="249"/>
    </row>
    <row r="62" spans="1:68">
      <c r="A62" s="247"/>
      <c r="BP62" s="249"/>
    </row>
    <row r="63" spans="1:68">
      <c r="A63" s="247"/>
      <c r="BP63" s="249"/>
    </row>
    <row r="64" spans="1:68">
      <c r="A64" s="247"/>
      <c r="BP64" s="249"/>
    </row>
    <row r="65" spans="1:68">
      <c r="A65" s="247"/>
      <c r="BP65" s="249"/>
    </row>
    <row r="66" spans="1:68">
      <c r="A66" s="247"/>
      <c r="BP66" s="249"/>
    </row>
    <row r="67" spans="1:68">
      <c r="A67" s="247"/>
      <c r="BP67" s="249"/>
    </row>
    <row r="68" spans="1:68">
      <c r="A68" s="247"/>
      <c r="BP68" s="249"/>
    </row>
    <row r="69" spans="1:68">
      <c r="A69" s="247"/>
      <c r="BP69" s="249"/>
    </row>
    <row r="70" spans="1:68">
      <c r="A70" s="247"/>
      <c r="BP70" s="249"/>
    </row>
    <row r="71" spans="1:68">
      <c r="A71" s="247"/>
      <c r="BP71" s="249"/>
    </row>
    <row r="72" spans="1:68">
      <c r="A72" s="247"/>
      <c r="BP72" s="249"/>
    </row>
    <row r="73" spans="1:68">
      <c r="A73" s="247"/>
      <c r="BP73" s="249"/>
    </row>
    <row r="74" spans="1:68">
      <c r="A74" s="247"/>
      <c r="BP74" s="249"/>
    </row>
    <row r="75" spans="1:68">
      <c r="A75" s="247"/>
      <c r="BP75" s="249"/>
    </row>
    <row r="76" spans="1:68">
      <c r="A76" s="247"/>
      <c r="BP76" s="249"/>
    </row>
    <row r="77" spans="1:68">
      <c r="A77" s="247"/>
      <c r="BP77" s="249"/>
    </row>
    <row r="78" spans="1:68">
      <c r="A78" s="247"/>
      <c r="BP78" s="249"/>
    </row>
    <row r="79" spans="1:68">
      <c r="A79" s="247"/>
      <c r="BP79" s="249"/>
    </row>
    <row r="80" spans="1:68">
      <c r="A80" s="247"/>
      <c r="BP80" s="249"/>
    </row>
    <row r="81" spans="1:68">
      <c r="A81" s="247"/>
      <c r="BP81" s="249"/>
    </row>
    <row r="82" spans="1:68">
      <c r="A82" s="247"/>
      <c r="BP82" s="249"/>
    </row>
    <row r="83" spans="1:68">
      <c r="A83" s="247"/>
      <c r="BP83" s="249"/>
    </row>
    <row r="84" spans="1:68">
      <c r="A84" s="247"/>
      <c r="BP84" s="249"/>
    </row>
    <row r="85" spans="1:68">
      <c r="A85" s="247"/>
      <c r="BP85" s="249"/>
    </row>
    <row r="86" spans="1:68">
      <c r="A86" s="247"/>
      <c r="BP86" s="249"/>
    </row>
    <row r="87" spans="1:68">
      <c r="A87" s="247"/>
      <c r="BP87" s="249"/>
    </row>
    <row r="88" spans="1:68">
      <c r="A88" s="247"/>
      <c r="BP88" s="249"/>
    </row>
    <row r="89" spans="1:68">
      <c r="A89" s="247"/>
      <c r="BP89" s="249"/>
    </row>
    <row r="90" spans="1:68">
      <c r="A90" s="247"/>
      <c r="BP90" s="249"/>
    </row>
    <row r="91" spans="1:68">
      <c r="A91" s="247"/>
      <c r="BP91" s="249"/>
    </row>
    <row r="92" spans="1:68">
      <c r="A92" s="247"/>
      <c r="BP92" s="249"/>
    </row>
    <row r="93" spans="1:68">
      <c r="A93" s="247"/>
      <c r="BP93" s="249"/>
    </row>
    <row r="94" spans="1:68">
      <c r="A94" s="247"/>
      <c r="BP94" s="249"/>
    </row>
    <row r="95" spans="1:68">
      <c r="A95" s="247"/>
      <c r="BP95" s="249"/>
    </row>
    <row r="96" spans="1:68">
      <c r="A96" s="247"/>
      <c r="BP96" s="249"/>
    </row>
    <row r="97" spans="1:68">
      <c r="A97" s="247"/>
      <c r="BP97" s="249"/>
    </row>
    <row r="98" spans="1:68">
      <c r="A98" s="247"/>
      <c r="BP98" s="249"/>
    </row>
    <row r="99" spans="1:68">
      <c r="A99" s="247"/>
      <c r="BP99" s="249"/>
    </row>
    <row r="100" spans="1:68">
      <c r="A100" s="247"/>
      <c r="BP100" s="249"/>
    </row>
    <row r="101" spans="1:68">
      <c r="A101" s="247"/>
      <c r="BP101" s="249"/>
    </row>
    <row r="102" spans="1:68">
      <c r="A102" s="247"/>
      <c r="BP102" s="249"/>
    </row>
    <row r="103" spans="1:68">
      <c r="A103" s="247"/>
      <c r="BP103" s="249"/>
    </row>
    <row r="104" spans="1:68">
      <c r="A104" s="247"/>
      <c r="BP104" s="249"/>
    </row>
    <row r="105" spans="1:68">
      <c r="A105" s="247"/>
      <c r="BP105" s="249"/>
    </row>
    <row r="106" spans="1:68">
      <c r="A106" s="247"/>
      <c r="BP106" s="249"/>
    </row>
    <row r="107" spans="1:68">
      <c r="A107" s="247"/>
      <c r="BP107" s="249"/>
    </row>
    <row r="108" spans="1:68">
      <c r="A108" s="247"/>
      <c r="BP108" s="249"/>
    </row>
    <row r="109" spans="1:68">
      <c r="A109" s="247"/>
      <c r="BP109" s="249"/>
    </row>
    <row r="110" spans="1:68">
      <c r="A110" s="247"/>
      <c r="BP110" s="249"/>
    </row>
    <row r="111" spans="1:68">
      <c r="A111" s="247"/>
      <c r="BP111" s="249"/>
    </row>
    <row r="112" spans="1:68">
      <c r="A112" s="247"/>
      <c r="BP112" s="249"/>
    </row>
    <row r="113" spans="1:68">
      <c r="A113" s="247"/>
      <c r="BP113" s="249"/>
    </row>
    <row r="114" spans="1:68">
      <c r="A114" s="247"/>
      <c r="BP114" s="249"/>
    </row>
    <row r="115" spans="1:68">
      <c r="A115" s="247"/>
      <c r="BP115" s="249"/>
    </row>
    <row r="116" spans="1:68">
      <c r="A116" s="247"/>
      <c r="BP116" s="249"/>
    </row>
    <row r="117" spans="1:68">
      <c r="A117" s="247"/>
      <c r="BP117" s="249"/>
    </row>
    <row r="118" spans="1:68">
      <c r="A118" s="247"/>
      <c r="BP118" s="249"/>
    </row>
    <row r="119" spans="1:68">
      <c r="A119" s="247"/>
      <c r="BP119" s="249"/>
    </row>
    <row r="120" spans="1:68">
      <c r="A120" s="247"/>
      <c r="BP120" s="249"/>
    </row>
    <row r="121" spans="1:68">
      <c r="A121" s="247"/>
      <c r="BP121" s="249"/>
    </row>
    <row r="122" spans="1:68">
      <c r="A122" s="247"/>
      <c r="BP122" s="249"/>
    </row>
    <row r="123" spans="1:68">
      <c r="A123" s="247"/>
      <c r="BP123" s="249"/>
    </row>
    <row r="124" spans="1:68">
      <c r="A124" s="247"/>
      <c r="BP124" s="249"/>
    </row>
    <row r="125" spans="1:68">
      <c r="A125" s="247"/>
      <c r="BP125" s="249"/>
    </row>
    <row r="126" spans="1:68">
      <c r="A126" s="247"/>
      <c r="BP126" s="249"/>
    </row>
    <row r="127" spans="1:68">
      <c r="A127" s="247"/>
      <c r="BP127" s="249"/>
    </row>
    <row r="128" spans="1:68">
      <c r="A128" s="247"/>
      <c r="BP128" s="249"/>
    </row>
    <row r="129" spans="1:68">
      <c r="A129" s="247"/>
      <c r="BP129" s="249"/>
    </row>
    <row r="130" spans="1:68">
      <c r="A130" s="247"/>
      <c r="BP130" s="249"/>
    </row>
    <row r="131" spans="1:68">
      <c r="A131" s="247"/>
      <c r="BP131" s="249"/>
    </row>
    <row r="132" spans="1:68">
      <c r="A132" s="247"/>
      <c r="BP132" s="249"/>
    </row>
    <row r="133" spans="1:68">
      <c r="A133" s="247"/>
      <c r="BP133" s="249"/>
    </row>
    <row r="134" spans="1:68">
      <c r="A134" s="247"/>
      <c r="BP134" s="249"/>
    </row>
    <row r="135" spans="1:68">
      <c r="A135" s="247"/>
      <c r="BP135" s="249"/>
    </row>
    <row r="136" spans="1:68">
      <c r="A136" s="247"/>
      <c r="BP136" s="249"/>
    </row>
    <row r="137" spans="1:68">
      <c r="A137" s="247"/>
      <c r="BP137" s="249"/>
    </row>
    <row r="138" spans="1:68">
      <c r="A138" s="247"/>
      <c r="BP138" s="249"/>
    </row>
    <row r="139" spans="1:68">
      <c r="A139" s="247"/>
      <c r="BP139" s="249"/>
    </row>
    <row r="140" spans="1:68">
      <c r="A140" s="247"/>
      <c r="BP140" s="249"/>
    </row>
    <row r="141" spans="1:68">
      <c r="A141" s="247"/>
      <c r="BP141" s="249"/>
    </row>
    <row r="142" spans="1:68">
      <c r="A142" s="247"/>
      <c r="BP142" s="249"/>
    </row>
    <row r="143" spans="1:68">
      <c r="A143" s="247"/>
      <c r="BP143" s="249"/>
    </row>
    <row r="144" spans="1:68">
      <c r="A144" s="247"/>
      <c r="BP144" s="249"/>
    </row>
    <row r="145" spans="1:68">
      <c r="A145" s="247"/>
      <c r="BP145" s="249"/>
    </row>
    <row r="146" spans="1:68">
      <c r="A146" s="247"/>
      <c r="BP146" s="249"/>
    </row>
    <row r="147" spans="1:68">
      <c r="A147" s="247"/>
      <c r="BP147" s="249"/>
    </row>
    <row r="148" spans="1:68">
      <c r="A148" s="247"/>
      <c r="BP148" s="249"/>
    </row>
    <row r="149" spans="1:68">
      <c r="A149" s="247"/>
      <c r="BP149" s="249"/>
    </row>
    <row r="150" spans="1:68">
      <c r="A150" s="247"/>
      <c r="BP150" s="249"/>
    </row>
    <row r="151" spans="1:68">
      <c r="A151" s="247"/>
      <c r="BP151" s="249"/>
    </row>
    <row r="152" spans="1:68">
      <c r="A152" s="247"/>
      <c r="BP152" s="249"/>
    </row>
    <row r="153" spans="1:68">
      <c r="A153" s="247"/>
      <c r="BP153" s="249"/>
    </row>
    <row r="154" spans="1:68">
      <c r="A154" s="247"/>
      <c r="BP154" s="249"/>
    </row>
    <row r="155" spans="1:68">
      <c r="A155" s="247"/>
      <c r="BP155" s="249"/>
    </row>
    <row r="156" spans="1:68">
      <c r="A156" s="247"/>
      <c r="BP156" s="249"/>
    </row>
    <row r="157" spans="1:68">
      <c r="A157" s="247"/>
      <c r="BP157" s="249"/>
    </row>
    <row r="158" spans="1:68">
      <c r="A158" s="247"/>
      <c r="BP158" s="249"/>
    </row>
    <row r="159" spans="1:68">
      <c r="A159" s="247"/>
      <c r="BP159" s="249"/>
    </row>
    <row r="160" spans="1:68">
      <c r="A160" s="247"/>
      <c r="BP160" s="249"/>
    </row>
    <row r="161" spans="1:68">
      <c r="A161" s="247"/>
      <c r="BP161" s="249"/>
    </row>
    <row r="162" spans="1:68">
      <c r="A162" s="247"/>
      <c r="BP162" s="249"/>
    </row>
    <row r="163" spans="1:68">
      <c r="A163" s="247"/>
      <c r="BP163" s="249"/>
    </row>
    <row r="164" spans="1:68">
      <c r="A164" s="247"/>
      <c r="BP164" s="249"/>
    </row>
    <row r="165" spans="1:68">
      <c r="A165" s="247"/>
      <c r="BP165" s="249"/>
    </row>
    <row r="166" spans="1:68">
      <c r="A166" s="247"/>
      <c r="BP166" s="249"/>
    </row>
    <row r="167" spans="1:68">
      <c r="A167" s="247"/>
      <c r="BP167" s="249"/>
    </row>
    <row r="168" spans="1:68">
      <c r="A168" s="247"/>
      <c r="BP168" s="249"/>
    </row>
    <row r="169" spans="1:68">
      <c r="A169" s="247"/>
      <c r="BP169" s="249"/>
    </row>
    <row r="170" spans="1:68">
      <c r="A170" s="247"/>
      <c r="BP170" s="249"/>
    </row>
    <row r="171" spans="1:68">
      <c r="A171" s="247"/>
      <c r="BP171" s="249"/>
    </row>
    <row r="172" spans="1:68">
      <c r="A172" s="247"/>
      <c r="BP172" s="249"/>
    </row>
    <row r="173" spans="1:68">
      <c r="A173" s="247"/>
      <c r="BP173" s="249"/>
    </row>
    <row r="174" spans="1:68">
      <c r="A174" s="247"/>
      <c r="BP174" s="249"/>
    </row>
    <row r="175" spans="1:68">
      <c r="A175" s="247"/>
      <c r="BP175" s="249"/>
    </row>
    <row r="176" spans="1:68">
      <c r="A176" s="247"/>
      <c r="BP176" s="249"/>
    </row>
    <row r="177" spans="1:68">
      <c r="A177" s="247"/>
      <c r="BP177" s="249"/>
    </row>
    <row r="178" spans="1:68">
      <c r="A178" s="247"/>
      <c r="BP178" s="249"/>
    </row>
    <row r="179" spans="1:68">
      <c r="A179" s="247"/>
      <c r="BP179" s="249"/>
    </row>
    <row r="180" spans="1:68">
      <c r="A180" s="247"/>
      <c r="BP180" s="249"/>
    </row>
    <row r="181" spans="1:68">
      <c r="A181" s="247"/>
      <c r="BP181" s="249"/>
    </row>
    <row r="182" spans="1:68">
      <c r="A182" s="247"/>
      <c r="BP182" s="249"/>
    </row>
    <row r="183" spans="1:68">
      <c r="A183" s="247"/>
      <c r="BP183" s="249"/>
    </row>
    <row r="184" spans="1:68">
      <c r="A184" s="247"/>
      <c r="BP184" s="249"/>
    </row>
    <row r="185" spans="1:68">
      <c r="A185" s="247"/>
      <c r="BP185" s="249"/>
    </row>
    <row r="186" spans="1:68">
      <c r="A186" s="247"/>
      <c r="BP186" s="249"/>
    </row>
    <row r="187" spans="1:68">
      <c r="A187" s="247"/>
      <c r="BP187" s="249"/>
    </row>
    <row r="188" spans="1:68">
      <c r="A188" s="247"/>
      <c r="BP188" s="249"/>
    </row>
    <row r="189" spans="1:68">
      <c r="A189" s="247"/>
      <c r="BP189" s="249"/>
    </row>
    <row r="190" spans="1:68">
      <c r="A190" s="247"/>
      <c r="BP190" s="249"/>
    </row>
    <row r="191" spans="1:68">
      <c r="A191" s="247"/>
      <c r="BP191" s="249"/>
    </row>
    <row r="192" spans="1:68">
      <c r="A192" s="247"/>
      <c r="BP192" s="249"/>
    </row>
    <row r="193" spans="1:68">
      <c r="A193" s="247"/>
      <c r="BP193" s="249"/>
    </row>
    <row r="194" spans="1:68">
      <c r="A194" s="247"/>
      <c r="BP194" s="249"/>
    </row>
    <row r="195" spans="1:68">
      <c r="A195" s="247"/>
      <c r="BP195" s="249"/>
    </row>
    <row r="196" spans="1:68">
      <c r="A196" s="247"/>
      <c r="BP196" s="249"/>
    </row>
    <row r="197" spans="1:68">
      <c r="A197" s="247"/>
      <c r="BP197" s="249"/>
    </row>
    <row r="198" spans="1:68">
      <c r="A198" s="247"/>
      <c r="BP198" s="249"/>
    </row>
    <row r="199" spans="1:68">
      <c r="A199" s="247"/>
      <c r="BP199" s="249"/>
    </row>
    <row r="200" spans="1:68">
      <c r="A200" s="247"/>
      <c r="BP200" s="249"/>
    </row>
    <row r="201" spans="1:68">
      <c r="A201" s="247"/>
      <c r="BP201" s="249"/>
    </row>
    <row r="202" spans="1:68">
      <c r="A202" s="247"/>
      <c r="BP202" s="249"/>
    </row>
    <row r="203" spans="1:68">
      <c r="A203" s="247"/>
      <c r="BP203" s="249"/>
    </row>
    <row r="204" spans="1:68">
      <c r="A204" s="247"/>
      <c r="BP204" s="249"/>
    </row>
    <row r="205" spans="1:68">
      <c r="A205" s="247"/>
      <c r="BP205" s="249"/>
    </row>
    <row r="206" spans="1:68">
      <c r="A206" s="247"/>
      <c r="BP206" s="249"/>
    </row>
    <row r="207" spans="1:68">
      <c r="A207" s="247"/>
      <c r="BP207" s="249"/>
    </row>
    <row r="208" spans="1:68">
      <c r="A208" s="247"/>
      <c r="BP208" s="249"/>
    </row>
    <row r="209" spans="1:68">
      <c r="A209" s="247"/>
      <c r="BP209" s="249"/>
    </row>
    <row r="210" spans="1:68">
      <c r="A210" s="247"/>
      <c r="BP210" s="249"/>
    </row>
    <row r="211" spans="1:68">
      <c r="A211" s="247"/>
      <c r="BP211" s="249"/>
    </row>
    <row r="212" spans="1:68">
      <c r="A212" s="247"/>
      <c r="BP212" s="249"/>
    </row>
    <row r="213" spans="1:68">
      <c r="A213" s="247"/>
      <c r="BP213" s="249"/>
    </row>
    <row r="214" spans="1:68">
      <c r="A214" s="247"/>
      <c r="BP214" s="249"/>
    </row>
    <row r="215" spans="1:68">
      <c r="A215" s="247"/>
      <c r="BP215" s="249"/>
    </row>
    <row r="216" spans="1:68">
      <c r="A216" s="247"/>
      <c r="BP216" s="249"/>
    </row>
    <row r="217" spans="1:68">
      <c r="A217" s="247"/>
      <c r="BP217" s="249"/>
    </row>
    <row r="218" spans="1:68">
      <c r="A218" s="247"/>
      <c r="BP218" s="249"/>
    </row>
    <row r="219" spans="1:68">
      <c r="A219" s="247"/>
      <c r="BP219" s="249"/>
    </row>
    <row r="220" spans="1:68">
      <c r="A220" s="247"/>
      <c r="BP220" s="249"/>
    </row>
    <row r="221" spans="1:68">
      <c r="A221" s="247"/>
      <c r="BP221" s="249"/>
    </row>
    <row r="222" spans="1:68">
      <c r="A222" s="247"/>
      <c r="BP222" s="249"/>
    </row>
    <row r="223" spans="1:68">
      <c r="A223" s="247"/>
      <c r="BP223" s="249"/>
    </row>
    <row r="224" spans="1:68">
      <c r="A224" s="247"/>
      <c r="BP224" s="249"/>
    </row>
    <row r="225" spans="1:68">
      <c r="A225" s="247"/>
      <c r="BP225" s="249"/>
    </row>
    <row r="226" spans="1:68">
      <c r="A226" s="247"/>
      <c r="BP226" s="249"/>
    </row>
    <row r="227" spans="1:68">
      <c r="A227" s="247"/>
      <c r="BP227" s="249"/>
    </row>
    <row r="228" spans="1:68">
      <c r="A228" s="247"/>
      <c r="BP228" s="249"/>
    </row>
    <row r="229" spans="1:68">
      <c r="A229" s="247"/>
      <c r="BP229" s="249"/>
    </row>
    <row r="230" spans="1:68">
      <c r="A230" s="247"/>
      <c r="BP230" s="249"/>
    </row>
    <row r="231" spans="1:68">
      <c r="A231" s="247"/>
      <c r="BP231" s="249"/>
    </row>
    <row r="232" spans="1:68">
      <c r="A232" s="247"/>
      <c r="BP232" s="249"/>
    </row>
    <row r="233" spans="1:68">
      <c r="A233" s="247"/>
      <c r="BP233" s="249"/>
    </row>
    <row r="234" spans="1:68">
      <c r="A234" s="247"/>
      <c r="BP234" s="249"/>
    </row>
    <row r="235" spans="1:68">
      <c r="A235" s="247"/>
      <c r="BP235" s="249"/>
    </row>
    <row r="236" spans="1:68">
      <c r="A236" s="247"/>
      <c r="BP236" s="249"/>
    </row>
    <row r="237" spans="1:68">
      <c r="A237" s="247"/>
      <c r="BP237" s="249"/>
    </row>
    <row r="238" spans="1:68">
      <c r="A238" s="247"/>
      <c r="BP238" s="249"/>
    </row>
    <row r="239" spans="1:68">
      <c r="A239" s="247"/>
      <c r="BP239" s="249"/>
    </row>
    <row r="240" spans="1:68">
      <c r="A240" s="247"/>
      <c r="BP240" s="249"/>
    </row>
    <row r="241" spans="1:68">
      <c r="A241" s="247"/>
      <c r="BP241" s="249"/>
    </row>
    <row r="242" spans="1:68">
      <c r="A242" s="247"/>
      <c r="BP242" s="249"/>
    </row>
    <row r="243" spans="1:68">
      <c r="A243" s="247"/>
      <c r="BP243" s="249"/>
    </row>
    <row r="244" spans="1:68">
      <c r="A244" s="247"/>
      <c r="BP244" s="249"/>
    </row>
    <row r="245" spans="1:68">
      <c r="A245" s="247"/>
      <c r="BP245" s="249"/>
    </row>
    <row r="246" spans="1:68">
      <c r="A246" s="247"/>
      <c r="BP246" s="249"/>
    </row>
    <row r="247" spans="1:68">
      <c r="A247" s="247"/>
      <c r="BP247" s="249"/>
    </row>
    <row r="248" spans="1:68">
      <c r="A248" s="247"/>
      <c r="BP248" s="249"/>
    </row>
    <row r="249" spans="1:68">
      <c r="A249" s="247"/>
      <c r="BP249" s="249"/>
    </row>
    <row r="250" spans="1:68">
      <c r="A250" s="247"/>
      <c r="BP250" s="249"/>
    </row>
    <row r="251" spans="1:68">
      <c r="A251" s="247"/>
      <c r="BP251" s="249"/>
    </row>
    <row r="252" spans="1:68">
      <c r="A252" s="247"/>
      <c r="BP252" s="249"/>
    </row>
    <row r="253" spans="1:68">
      <c r="A253" s="247"/>
      <c r="BP253" s="249"/>
    </row>
    <row r="254" spans="1:68">
      <c r="A254" s="247"/>
      <c r="BP254" s="249"/>
    </row>
    <row r="255" spans="1:68">
      <c r="A255" s="247"/>
      <c r="BP255" s="249"/>
    </row>
    <row r="256" spans="1:68">
      <c r="A256" s="247"/>
      <c r="BP256" s="249"/>
    </row>
    <row r="257" spans="1:68">
      <c r="A257" s="247"/>
      <c r="BP257" s="249"/>
    </row>
    <row r="258" spans="1:68">
      <c r="A258" s="247"/>
      <c r="BP258" s="249"/>
    </row>
    <row r="259" spans="1:68">
      <c r="A259" s="247"/>
      <c r="BP259" s="249"/>
    </row>
    <row r="260" spans="1:68">
      <c r="A260" s="247"/>
      <c r="BP260" s="249"/>
    </row>
    <row r="261" spans="1:68">
      <c r="A261" s="247"/>
      <c r="BP261" s="249"/>
    </row>
    <row r="262" spans="1:68">
      <c r="A262" s="247"/>
      <c r="BP262" s="249"/>
    </row>
    <row r="263" spans="1:68">
      <c r="A263" s="247"/>
      <c r="BP263" s="249"/>
    </row>
    <row r="264" spans="1:68">
      <c r="A264" s="247"/>
      <c r="BP264" s="249"/>
    </row>
    <row r="265" spans="1:68">
      <c r="A265" s="247"/>
      <c r="BP265" s="249"/>
    </row>
    <row r="266" spans="1:68">
      <c r="A266" s="247"/>
      <c r="BP266" s="249"/>
    </row>
    <row r="267" spans="1:68">
      <c r="A267" s="247"/>
      <c r="BP267" s="249"/>
    </row>
    <row r="268" spans="1:68">
      <c r="A268" s="247"/>
      <c r="BP268" s="249"/>
    </row>
    <row r="269" spans="1:68">
      <c r="A269" s="247"/>
      <c r="BP269" s="249"/>
    </row>
    <row r="270" spans="1:68">
      <c r="A270" s="247"/>
      <c r="BP270" s="249"/>
    </row>
    <row r="271" spans="1:68">
      <c r="A271" s="247"/>
      <c r="BP271" s="249"/>
    </row>
    <row r="272" spans="1:68">
      <c r="A272" s="247"/>
      <c r="BP272" s="249"/>
    </row>
    <row r="273" spans="1:68">
      <c r="A273" s="247"/>
      <c r="BP273" s="249"/>
    </row>
    <row r="274" spans="1:68">
      <c r="A274" s="247"/>
      <c r="BP274" s="249"/>
    </row>
    <row r="275" spans="1:68">
      <c r="A275" s="247"/>
      <c r="BP275" s="249"/>
    </row>
    <row r="276" spans="1:68">
      <c r="A276" s="247"/>
      <c r="BP276" s="249"/>
    </row>
    <row r="277" spans="1:68">
      <c r="A277" s="247"/>
      <c r="BP277" s="249"/>
    </row>
    <row r="278" spans="1:68">
      <c r="A278" s="247"/>
      <c r="BP278" s="249"/>
    </row>
    <row r="279" spans="1:68">
      <c r="A279" s="247"/>
      <c r="BP279" s="249"/>
    </row>
    <row r="280" spans="1:68">
      <c r="A280" s="247"/>
      <c r="BP280" s="249"/>
    </row>
    <row r="281" spans="1:68">
      <c r="A281" s="247"/>
      <c r="BP281" s="249"/>
    </row>
    <row r="282" spans="1:68">
      <c r="A282" s="247"/>
      <c r="BP282" s="249"/>
    </row>
    <row r="283" spans="1:68">
      <c r="A283" s="247"/>
      <c r="BP283" s="249"/>
    </row>
    <row r="284" spans="1:68">
      <c r="A284" s="247"/>
      <c r="BP284" s="249"/>
    </row>
    <row r="285" spans="1:68">
      <c r="A285" s="247"/>
      <c r="BP285" s="249"/>
    </row>
    <row r="286" spans="1:68">
      <c r="A286" s="247"/>
      <c r="BP286" s="249"/>
    </row>
    <row r="287" spans="1:68">
      <c r="A287" s="247"/>
      <c r="BP287" s="249"/>
    </row>
    <row r="288" spans="1:68">
      <c r="A288" s="247"/>
      <c r="BP288" s="249"/>
    </row>
    <row r="289" spans="1:68">
      <c r="A289" s="247"/>
      <c r="BP289" s="249"/>
    </row>
    <row r="290" spans="1:68">
      <c r="A290" s="247"/>
      <c r="BP290" s="249"/>
    </row>
    <row r="291" spans="1:68">
      <c r="A291" s="247"/>
      <c r="BP291" s="249"/>
    </row>
    <row r="292" spans="1:68">
      <c r="A292" s="247"/>
      <c r="BP292" s="249"/>
    </row>
    <row r="293" spans="1:68">
      <c r="A293" s="247"/>
      <c r="BP293" s="249"/>
    </row>
    <row r="294" spans="1:68">
      <c r="A294" s="247"/>
      <c r="BP294" s="249"/>
    </row>
    <row r="295" spans="1:68">
      <c r="A295" s="247"/>
      <c r="BP295" s="249"/>
    </row>
    <row r="296" spans="1:68">
      <c r="A296" s="247"/>
      <c r="BP296" s="249"/>
    </row>
    <row r="297" spans="1:68">
      <c r="A297" s="247"/>
      <c r="BP297" s="249"/>
    </row>
    <row r="298" spans="1:68">
      <c r="A298" s="247"/>
      <c r="BP298" s="249"/>
    </row>
    <row r="299" spans="1:68">
      <c r="A299" s="247"/>
      <c r="BP299" s="249"/>
    </row>
    <row r="300" spans="1:68">
      <c r="A300" s="247"/>
      <c r="BP300" s="249"/>
    </row>
    <row r="301" spans="1:68">
      <c r="A301" s="247"/>
      <c r="BP301" s="249"/>
    </row>
    <row r="302" spans="1:68">
      <c r="A302" s="247"/>
      <c r="BP302" s="249"/>
    </row>
    <row r="303" spans="1:68">
      <c r="A303" s="247"/>
      <c r="BP303" s="249"/>
    </row>
    <row r="304" spans="1:68">
      <c r="A304" s="247"/>
      <c r="BP304" s="249"/>
    </row>
    <row r="305" spans="1:68">
      <c r="A305" s="247"/>
      <c r="BP305" s="249"/>
    </row>
    <row r="306" spans="1:68">
      <c r="A306" s="247"/>
      <c r="BP306" s="249"/>
    </row>
    <row r="307" spans="1:68">
      <c r="A307" s="247"/>
      <c r="BP307" s="249"/>
    </row>
    <row r="308" spans="1:68">
      <c r="A308" s="247"/>
      <c r="BP308" s="249"/>
    </row>
    <row r="309" spans="1:68">
      <c r="A309" s="247"/>
      <c r="BP309" s="249"/>
    </row>
    <row r="310" spans="1:68">
      <c r="A310" s="247"/>
      <c r="BP310" s="249"/>
    </row>
    <row r="311" spans="1:68">
      <c r="A311" s="247"/>
      <c r="BP311" s="249"/>
    </row>
    <row r="312" spans="1:68">
      <c r="A312" s="247"/>
      <c r="BP312" s="249"/>
    </row>
    <row r="313" spans="1:68">
      <c r="A313" s="247"/>
      <c r="BP313" s="249"/>
    </row>
    <row r="314" spans="1:68">
      <c r="A314" s="247"/>
      <c r="BP314" s="249"/>
    </row>
    <row r="315" spans="1:68">
      <c r="A315" s="247"/>
      <c r="BP315" s="249"/>
    </row>
    <row r="316" spans="1:68">
      <c r="A316" s="247"/>
      <c r="BP316" s="249"/>
    </row>
    <row r="317" spans="1:68">
      <c r="A317" s="247"/>
      <c r="BP317" s="249"/>
    </row>
    <row r="318" spans="1:68">
      <c r="A318" s="247"/>
      <c r="BP318" s="249"/>
    </row>
    <row r="319" spans="1:68">
      <c r="A319" s="247"/>
      <c r="BP319" s="249"/>
    </row>
    <row r="320" spans="1:68">
      <c r="A320" s="248"/>
      <c r="BP320" s="249"/>
    </row>
    <row r="321" spans="1:68">
      <c r="A321" s="248"/>
      <c r="BP321" s="249"/>
    </row>
    <row r="322" spans="1:68">
      <c r="A322" s="248"/>
      <c r="BP322" s="249"/>
    </row>
    <row r="323" spans="1:68">
      <c r="A323" s="248"/>
      <c r="BP323" s="249"/>
    </row>
    <row r="324" spans="1:68">
      <c r="A324" s="248"/>
      <c r="BP324" s="249"/>
    </row>
    <row r="325" spans="1:68">
      <c r="A325" s="248"/>
      <c r="BP325" s="249"/>
    </row>
  </sheetData>
  <sheetProtection sheet="1" objects="1" scenarios="1"/>
  <protectedRanges>
    <protectedRange sqref="BP10" name="Range1_1"/>
    <protectedRange sqref="BP7:BP9" name="Range1_1_1"/>
  </protectedRanges>
  <mergeCells count="68">
    <mergeCell ref="BK7:BN7"/>
    <mergeCell ref="BK8:BK9"/>
    <mergeCell ref="BL8:BL9"/>
    <mergeCell ref="BM8:BN8"/>
    <mergeCell ref="AG8:AG9"/>
    <mergeCell ref="AH8:AH9"/>
    <mergeCell ref="W7:AH7"/>
    <mergeCell ref="BJ7:BJ9"/>
    <mergeCell ref="AK7:AV7"/>
    <mergeCell ref="BI7:BI9"/>
    <mergeCell ref="T7:V7"/>
    <mergeCell ref="AC8:AC9"/>
    <mergeCell ref="AD8:AD9"/>
    <mergeCell ref="AE8:AE9"/>
    <mergeCell ref="AF8:AF9"/>
    <mergeCell ref="N7:N9"/>
    <mergeCell ref="O7:O9"/>
    <mergeCell ref="P7:P9"/>
    <mergeCell ref="Q7:S7"/>
    <mergeCell ref="Q8:Q9"/>
    <mergeCell ref="BP7:BP9"/>
    <mergeCell ref="BH7:BH9"/>
    <mergeCell ref="M7:M9"/>
    <mergeCell ref="A7:A9"/>
    <mergeCell ref="F7:F9"/>
    <mergeCell ref="L7:L9"/>
    <mergeCell ref="R8:R9"/>
    <mergeCell ref="AQ8:AV8"/>
    <mergeCell ref="AK8:AP8"/>
    <mergeCell ref="BA7:BG7"/>
    <mergeCell ref="B7:B9"/>
    <mergeCell ref="D7:D9"/>
    <mergeCell ref="E7:E9"/>
    <mergeCell ref="J7:J9"/>
    <mergeCell ref="K7:K9"/>
    <mergeCell ref="C7:C9"/>
    <mergeCell ref="I8:I9"/>
    <mergeCell ref="G8:G9"/>
    <mergeCell ref="G7:I7"/>
    <mergeCell ref="H8:H9"/>
    <mergeCell ref="A5:R5"/>
    <mergeCell ref="C3:G3"/>
    <mergeCell ref="C4:G4"/>
    <mergeCell ref="M1:Q4"/>
    <mergeCell ref="I3:L3"/>
    <mergeCell ref="I4:L4"/>
    <mergeCell ref="C1:L1"/>
    <mergeCell ref="C2:L2"/>
    <mergeCell ref="T8:T9"/>
    <mergeCell ref="AI7:AJ7"/>
    <mergeCell ref="BG8:BG9"/>
    <mergeCell ref="BF8:BF9"/>
    <mergeCell ref="U8:U9"/>
    <mergeCell ref="BB8:BB9"/>
    <mergeCell ref="BC8:BC9"/>
    <mergeCell ref="AW8:AX8"/>
    <mergeCell ref="AY8:AZ8"/>
    <mergeCell ref="AI8:AI9"/>
    <mergeCell ref="S8:S9"/>
    <mergeCell ref="BO7:BO9"/>
    <mergeCell ref="V8:V9"/>
    <mergeCell ref="Z8:AB8"/>
    <mergeCell ref="AW7:AZ7"/>
    <mergeCell ref="AJ8:AJ9"/>
    <mergeCell ref="BA8:BA9"/>
    <mergeCell ref="W8:Y8"/>
    <mergeCell ref="BE8:BE9"/>
    <mergeCell ref="BD8:BD9"/>
  </mergeCells>
  <phoneticPr fontId="2" type="noConversion"/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25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F26" sqref="F26"/>
    </sheetView>
  </sheetViews>
  <sheetFormatPr defaultColWidth="9.1796875" defaultRowHeight="12.5"/>
  <cols>
    <col min="1" max="1" width="20" style="4" customWidth="1"/>
    <col min="2" max="3" width="14" style="4" customWidth="1"/>
    <col min="4" max="4" width="18" style="4" customWidth="1"/>
    <col min="5" max="5" width="11.26953125" style="4" customWidth="1"/>
    <col min="6" max="7" width="12.453125" style="4" customWidth="1"/>
    <col min="8" max="8" width="12.7265625" style="4" customWidth="1"/>
    <col min="9" max="9" width="11.26953125" style="116" customWidth="1"/>
    <col min="10" max="10" width="10.7265625" style="4" customWidth="1"/>
    <col min="11" max="11" width="10" style="4" customWidth="1"/>
    <col min="12" max="12" width="9.1796875" style="4"/>
    <col min="13" max="13" width="9.81640625" style="4" customWidth="1"/>
    <col min="14" max="16" width="12" style="4" customWidth="1"/>
    <col min="17" max="17" width="12" style="116" customWidth="1"/>
    <col min="18" max="18" width="12" style="4" customWidth="1"/>
    <col min="19" max="19" width="12" style="116" customWidth="1"/>
    <col min="20" max="20" width="12" style="4" customWidth="1"/>
    <col min="21" max="21" width="11.81640625" style="4" customWidth="1"/>
    <col min="22" max="22" width="11.7265625" style="4" customWidth="1"/>
    <col min="23" max="23" width="7.81640625" style="4" customWidth="1"/>
    <col min="24" max="25" width="11.7265625" style="4" customWidth="1"/>
    <col min="26" max="26" width="8" style="4" customWidth="1"/>
    <col min="27" max="28" width="11.7265625" style="4" customWidth="1"/>
    <col min="29" max="29" width="8.54296875" style="4" customWidth="1"/>
    <col min="30" max="30" width="11.7265625" style="4" customWidth="1"/>
    <col min="31" max="31" width="9.1796875" style="4"/>
    <col min="32" max="32" width="25.26953125" style="4" customWidth="1"/>
    <col min="33" max="16384" width="9.1796875" style="4"/>
  </cols>
  <sheetData>
    <row r="1" spans="1:32" ht="14">
      <c r="A1" s="10"/>
      <c r="B1" s="3" t="s">
        <v>1507</v>
      </c>
      <c r="C1" s="49"/>
      <c r="D1" s="155">
        <f>_FormulaHelpers_!B43</f>
        <v>0</v>
      </c>
      <c r="E1" s="156"/>
      <c r="F1" s="156"/>
      <c r="G1" s="156"/>
      <c r="H1" s="156"/>
      <c r="I1" s="156"/>
      <c r="J1" s="156"/>
      <c r="K1" s="156"/>
      <c r="L1" s="157"/>
      <c r="M1" s="166"/>
      <c r="N1" s="167"/>
      <c r="O1" s="17"/>
      <c r="P1" s="17"/>
      <c r="Q1" s="119"/>
      <c r="R1" s="17"/>
      <c r="S1" s="119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32" ht="14">
      <c r="A2" s="11"/>
      <c r="B2" s="3" t="s">
        <v>1508</v>
      </c>
      <c r="C2" s="50"/>
      <c r="D2" s="158">
        <f>_FormulaHelpers_!B44</f>
        <v>0</v>
      </c>
      <c r="E2" s="159"/>
      <c r="F2" s="159"/>
      <c r="G2" s="159"/>
      <c r="H2" s="159"/>
      <c r="I2" s="159"/>
      <c r="J2" s="159"/>
      <c r="K2" s="159"/>
      <c r="L2" s="160"/>
      <c r="M2" s="168"/>
      <c r="N2" s="169"/>
    </row>
    <row r="3" spans="1:32" ht="14">
      <c r="A3" s="11"/>
      <c r="B3" s="3" t="s">
        <v>1794</v>
      </c>
      <c r="C3" s="50"/>
      <c r="D3" s="158">
        <f>_FormulaHelpers_!B45</f>
        <v>0</v>
      </c>
      <c r="E3" s="159"/>
      <c r="F3" s="159"/>
      <c r="G3" s="159"/>
      <c r="H3" s="159"/>
      <c r="I3" s="160"/>
      <c r="J3" s="3" t="s">
        <v>1510</v>
      </c>
      <c r="K3" s="164" t="str">
        <f>_FormulaHelpers_!B48</f>
        <v>Base</v>
      </c>
      <c r="L3" s="164"/>
      <c r="M3" s="168"/>
      <c r="N3" s="169"/>
    </row>
    <row r="4" spans="1:32" ht="14">
      <c r="A4" s="12"/>
      <c r="B4" s="3" t="s">
        <v>1509</v>
      </c>
      <c r="C4" s="50"/>
      <c r="D4" s="161">
        <f>_FormulaHelpers_!B46</f>
        <v>45703</v>
      </c>
      <c r="E4" s="162"/>
      <c r="F4" s="162"/>
      <c r="G4" s="162"/>
      <c r="H4" s="162"/>
      <c r="I4" s="163"/>
      <c r="J4" s="3" t="s">
        <v>1795</v>
      </c>
      <c r="K4" s="164" t="str">
        <f>_FormulaHelpers_!B52</f>
        <v>Normal</v>
      </c>
      <c r="L4" s="164"/>
      <c r="M4" s="170"/>
      <c r="N4" s="171"/>
    </row>
    <row r="5" spans="1:32" ht="18.75" customHeight="1">
      <c r="A5" s="154" t="s">
        <v>863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39"/>
      <c r="P5" s="39"/>
      <c r="Q5" s="120"/>
      <c r="R5" s="39"/>
      <c r="S5" s="120"/>
      <c r="T5" s="39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7" spans="1:32" s="15" customFormat="1" ht="15" customHeight="1">
      <c r="A7" s="149" t="s">
        <v>1922</v>
      </c>
      <c r="B7" s="149" t="s">
        <v>2230</v>
      </c>
      <c r="C7" s="150" t="s">
        <v>2152</v>
      </c>
      <c r="D7" s="149" t="s">
        <v>1512</v>
      </c>
      <c r="E7" s="149" t="s">
        <v>2243</v>
      </c>
      <c r="F7" s="149" t="s">
        <v>2244</v>
      </c>
      <c r="G7" s="150" t="s">
        <v>2245</v>
      </c>
      <c r="H7" s="149" t="s">
        <v>844</v>
      </c>
      <c r="I7" s="189" t="s">
        <v>2160</v>
      </c>
      <c r="J7" s="149" t="s">
        <v>2161</v>
      </c>
      <c r="K7" s="149" t="s">
        <v>846</v>
      </c>
      <c r="L7" s="149" t="s">
        <v>2154</v>
      </c>
      <c r="M7" s="149" t="s">
        <v>848</v>
      </c>
      <c r="N7" s="149" t="s">
        <v>2155</v>
      </c>
      <c r="O7" s="150" t="s">
        <v>917</v>
      </c>
      <c r="P7" s="149" t="s">
        <v>2157</v>
      </c>
      <c r="Q7" s="189" t="s">
        <v>2162</v>
      </c>
      <c r="R7" s="149" t="s">
        <v>2163</v>
      </c>
      <c r="S7" s="189" t="s">
        <v>2164</v>
      </c>
      <c r="T7" s="149" t="s">
        <v>2165</v>
      </c>
      <c r="U7" s="149" t="s">
        <v>849</v>
      </c>
      <c r="V7" s="149" t="s">
        <v>2156</v>
      </c>
      <c r="W7" s="149" t="s">
        <v>924</v>
      </c>
      <c r="X7" s="149" t="s">
        <v>920</v>
      </c>
      <c r="Y7" s="149" t="s">
        <v>2158</v>
      </c>
      <c r="Z7" s="149" t="s">
        <v>926</v>
      </c>
      <c r="AA7" s="149" t="s">
        <v>922</v>
      </c>
      <c r="AB7" s="149" t="s">
        <v>2159</v>
      </c>
      <c r="AC7" s="149" t="s">
        <v>928</v>
      </c>
      <c r="AD7" s="149" t="s">
        <v>853</v>
      </c>
      <c r="AE7" s="149" t="s">
        <v>851</v>
      </c>
      <c r="AF7" s="146" t="s">
        <v>2223</v>
      </c>
    </row>
    <row r="8" spans="1:32" s="15" customFormat="1" ht="15" customHeight="1">
      <c r="A8" s="149"/>
      <c r="B8" s="149"/>
      <c r="C8" s="151"/>
      <c r="D8" s="149"/>
      <c r="E8" s="149"/>
      <c r="F8" s="149"/>
      <c r="G8" s="151"/>
      <c r="H8" s="149"/>
      <c r="I8" s="189"/>
      <c r="J8" s="149"/>
      <c r="K8" s="149"/>
      <c r="L8" s="149"/>
      <c r="M8" s="149"/>
      <c r="N8" s="149"/>
      <c r="O8" s="151"/>
      <c r="P8" s="149"/>
      <c r="Q8" s="189"/>
      <c r="R8" s="149"/>
      <c r="S8" s="18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7"/>
    </row>
    <row r="9" spans="1:32" s="15" customFormat="1" ht="15" customHeight="1">
      <c r="A9" s="149"/>
      <c r="B9" s="149"/>
      <c r="C9" s="152"/>
      <c r="D9" s="149"/>
      <c r="E9" s="149"/>
      <c r="F9" s="149"/>
      <c r="G9" s="152"/>
      <c r="H9" s="149"/>
      <c r="I9" s="189"/>
      <c r="J9" s="149"/>
      <c r="K9" s="149"/>
      <c r="L9" s="149"/>
      <c r="M9" s="149"/>
      <c r="N9" s="149"/>
      <c r="O9" s="152"/>
      <c r="P9" s="149"/>
      <c r="Q9" s="189"/>
      <c r="R9" s="149"/>
      <c r="S9" s="18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8"/>
    </row>
    <row r="10" spans="1:32" ht="15" customHeight="1">
      <c r="A10" s="13" t="s">
        <v>1853</v>
      </c>
      <c r="B10" s="13" t="s">
        <v>2231</v>
      </c>
      <c r="C10" s="13" t="s">
        <v>2153</v>
      </c>
      <c r="D10" s="13" t="s">
        <v>1854</v>
      </c>
      <c r="E10" s="13" t="s">
        <v>2270</v>
      </c>
      <c r="F10" s="13" t="s">
        <v>2271</v>
      </c>
      <c r="G10" s="13" t="s">
        <v>2272</v>
      </c>
      <c r="H10" s="16" t="s">
        <v>845</v>
      </c>
      <c r="I10" s="118" t="s">
        <v>5051</v>
      </c>
      <c r="J10" s="34" t="s">
        <v>5052</v>
      </c>
      <c r="K10" s="37" t="s">
        <v>857</v>
      </c>
      <c r="L10" s="34" t="s">
        <v>847</v>
      </c>
      <c r="M10" s="37" t="s">
        <v>858</v>
      </c>
      <c r="N10" s="35" t="s">
        <v>847</v>
      </c>
      <c r="O10" s="37" t="s">
        <v>918</v>
      </c>
      <c r="P10" s="35" t="s">
        <v>847</v>
      </c>
      <c r="Q10" s="118" t="s">
        <v>5053</v>
      </c>
      <c r="R10" s="34" t="s">
        <v>5052</v>
      </c>
      <c r="S10" s="118" t="s">
        <v>5054</v>
      </c>
      <c r="T10" s="34" t="s">
        <v>5052</v>
      </c>
      <c r="U10" s="38" t="s">
        <v>919</v>
      </c>
      <c r="V10" s="35" t="s">
        <v>850</v>
      </c>
      <c r="W10" s="28" t="s">
        <v>925</v>
      </c>
      <c r="X10" s="38" t="s">
        <v>921</v>
      </c>
      <c r="Y10" s="35" t="s">
        <v>850</v>
      </c>
      <c r="Z10" s="28" t="s">
        <v>927</v>
      </c>
      <c r="AA10" s="38" t="s">
        <v>923</v>
      </c>
      <c r="AB10" s="35" t="s">
        <v>850</v>
      </c>
      <c r="AC10" s="28" t="s">
        <v>929</v>
      </c>
      <c r="AD10" s="28" t="s">
        <v>854</v>
      </c>
      <c r="AE10" s="16" t="s">
        <v>852</v>
      </c>
      <c r="AF10" s="53" t="s">
        <v>2224</v>
      </c>
    </row>
    <row r="12" spans="1:32" ht="13">
      <c r="A12" s="6"/>
    </row>
    <row r="13" spans="1:32">
      <c r="A13" s="7"/>
    </row>
    <row r="14" spans="1:32">
      <c r="A14" s="7"/>
    </row>
    <row r="15" spans="1:32">
      <c r="A15" s="7"/>
    </row>
    <row r="16" spans="1:32">
      <c r="A16" s="7"/>
    </row>
    <row r="20" spans="1:19" customFormat="1">
      <c r="I20" s="117"/>
      <c r="Q20" s="117"/>
      <c r="S20" s="117"/>
    </row>
    <row r="21" spans="1:19" customFormat="1">
      <c r="I21" s="117"/>
      <c r="Q21" s="117"/>
      <c r="S21" s="117"/>
    </row>
    <row r="22" spans="1:19" customFormat="1">
      <c r="I22" s="117"/>
      <c r="Q22" s="117"/>
      <c r="S22" s="117"/>
    </row>
    <row r="23" spans="1:19">
      <c r="A23" s="7"/>
    </row>
    <row r="24" spans="1:19">
      <c r="A24" s="7"/>
    </row>
    <row r="25" spans="1:19">
      <c r="A25" s="7"/>
    </row>
    <row r="26" spans="1:19">
      <c r="A26" s="7"/>
    </row>
    <row r="27" spans="1:19">
      <c r="A27" s="7"/>
    </row>
    <row r="28" spans="1:19">
      <c r="A28" s="7"/>
    </row>
    <row r="29" spans="1:19">
      <c r="A29" s="7"/>
    </row>
    <row r="30" spans="1:19">
      <c r="A30" s="7"/>
    </row>
    <row r="31" spans="1:19">
      <c r="A31" s="7"/>
    </row>
    <row r="32" spans="1:19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AF7:AF10" name="Range1_1"/>
  </protectedRanges>
  <mergeCells count="40">
    <mergeCell ref="AF7:AF9"/>
    <mergeCell ref="C7:C9"/>
    <mergeCell ref="Q7:Q9"/>
    <mergeCell ref="D1:L1"/>
    <mergeCell ref="N7:N9"/>
    <mergeCell ref="D2:L2"/>
    <mergeCell ref="X7:X9"/>
    <mergeCell ref="K7:K9"/>
    <mergeCell ref="L7:L9"/>
    <mergeCell ref="M7:M9"/>
    <mergeCell ref="Y7:Y9"/>
    <mergeCell ref="G7:G9"/>
    <mergeCell ref="T7:T9"/>
    <mergeCell ref="AA7:AA9"/>
    <mergeCell ref="O7:O9"/>
    <mergeCell ref="U7:U9"/>
    <mergeCell ref="V7:V9"/>
    <mergeCell ref="P7:P9"/>
    <mergeCell ref="I7:I9"/>
    <mergeCell ref="J7:J9"/>
    <mergeCell ref="AD7:AD9"/>
    <mergeCell ref="W7:W9"/>
    <mergeCell ref="A5:N5"/>
    <mergeCell ref="D3:I3"/>
    <mergeCell ref="D4:I4"/>
    <mergeCell ref="M1:N4"/>
    <mergeCell ref="K3:L3"/>
    <mergeCell ref="K4:L4"/>
    <mergeCell ref="A7:A9"/>
    <mergeCell ref="F7:F9"/>
    <mergeCell ref="AE7:AE9"/>
    <mergeCell ref="Z7:Z9"/>
    <mergeCell ref="AC7:AC9"/>
    <mergeCell ref="AB7:AB9"/>
    <mergeCell ref="B7:B9"/>
    <mergeCell ref="D7:D9"/>
    <mergeCell ref="E7:E9"/>
    <mergeCell ref="H7:H9"/>
    <mergeCell ref="R7:R9"/>
    <mergeCell ref="S7:S9"/>
  </mergeCells>
  <phoneticPr fontId="2" type="noConversion"/>
  <pageMargins left="0.75" right="0.75" top="1" bottom="1" header="0.5" footer="0.5"/>
  <pageSetup scale="31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325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G15" sqref="G15"/>
    </sheetView>
  </sheetViews>
  <sheetFormatPr defaultColWidth="9.1796875" defaultRowHeight="12.5"/>
  <cols>
    <col min="1" max="1" width="16.1796875" style="4" customWidth="1"/>
    <col min="2" max="2" width="11.54296875" style="4" customWidth="1"/>
    <col min="3" max="3" width="7.453125" style="4" customWidth="1"/>
    <col min="4" max="4" width="7.26953125" style="4" customWidth="1"/>
    <col min="5" max="5" width="12.81640625" style="4" customWidth="1"/>
    <col min="6" max="6" width="13.54296875" style="4" customWidth="1"/>
    <col min="7" max="7" width="25.1796875" style="4" customWidth="1"/>
    <col min="8" max="8" width="11.26953125" style="4" customWidth="1"/>
    <col min="9" max="9" width="12.453125" style="4" customWidth="1"/>
    <col min="10" max="10" width="9.26953125" style="4" customWidth="1"/>
    <col min="11" max="11" width="9.54296875" style="4" customWidth="1"/>
    <col min="12" max="14" width="10.7265625" style="4" customWidth="1"/>
    <col min="15" max="15" width="26.1796875" style="4" customWidth="1"/>
    <col min="16" max="16" width="25.54296875" style="4" customWidth="1"/>
    <col min="17" max="17" width="12" style="4" bestFit="1" customWidth="1"/>
    <col min="18" max="18" width="12.1796875" style="4" bestFit="1" customWidth="1"/>
    <col min="19" max="19" width="10.26953125" style="4" customWidth="1"/>
    <col min="20" max="20" width="9.81640625" style="4" bestFit="1" customWidth="1"/>
    <col min="21" max="21" width="13.1796875" style="4" bestFit="1" customWidth="1"/>
    <col min="22" max="23" width="7.81640625" style="4" customWidth="1"/>
    <col min="24" max="24" width="13.54296875" style="4" customWidth="1"/>
    <col min="25" max="25" width="11.7265625" style="4" customWidth="1"/>
    <col min="26" max="26" width="11.26953125" style="4" customWidth="1"/>
    <col min="27" max="27" width="10.1796875" style="4" customWidth="1"/>
    <col min="28" max="28" width="12.7265625" style="4" customWidth="1"/>
    <col min="29" max="29" width="28.453125" style="4" customWidth="1"/>
    <col min="30" max="16384" width="9.1796875" style="4"/>
  </cols>
  <sheetData>
    <row r="1" spans="1:28" ht="14">
      <c r="A1" s="10"/>
      <c r="B1" s="3" t="s">
        <v>1507</v>
      </c>
      <c r="C1" s="155">
        <f>_FormulaHelpers_!B43</f>
        <v>0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7"/>
      <c r="P1" s="166"/>
      <c r="Q1" s="16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8" ht="14">
      <c r="A2" s="11"/>
      <c r="B2" s="3" t="s">
        <v>1508</v>
      </c>
      <c r="C2" s="158">
        <f>_FormulaHelpers_!B44</f>
        <v>0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60"/>
      <c r="P2" s="168"/>
      <c r="Q2" s="169"/>
    </row>
    <row r="3" spans="1:28" ht="14">
      <c r="A3" s="11"/>
      <c r="B3" s="3" t="s">
        <v>1794</v>
      </c>
      <c r="C3" s="158">
        <f>_FormulaHelpers_!B45</f>
        <v>0</v>
      </c>
      <c r="D3" s="159"/>
      <c r="E3" s="159"/>
      <c r="F3" s="159"/>
      <c r="G3" s="159"/>
      <c r="H3" s="159"/>
      <c r="I3" s="159"/>
      <c r="J3" s="159"/>
      <c r="K3" s="159"/>
      <c r="L3" s="159"/>
      <c r="M3" s="160"/>
      <c r="N3" s="3" t="s">
        <v>1510</v>
      </c>
      <c r="O3" s="107" t="str">
        <f>_FormulaHelpers_!B48</f>
        <v>Base</v>
      </c>
      <c r="P3" s="168"/>
      <c r="Q3" s="169"/>
    </row>
    <row r="4" spans="1:28" ht="14">
      <c r="A4" s="12"/>
      <c r="B4" s="3" t="s">
        <v>1509</v>
      </c>
      <c r="C4" s="161">
        <f>_FormulaHelpers_!B46</f>
        <v>45703</v>
      </c>
      <c r="D4" s="162"/>
      <c r="E4" s="162"/>
      <c r="F4" s="162"/>
      <c r="G4" s="162"/>
      <c r="H4" s="162"/>
      <c r="I4" s="162"/>
      <c r="J4" s="162"/>
      <c r="K4" s="162"/>
      <c r="L4" s="162"/>
      <c r="M4" s="163"/>
      <c r="N4" s="3" t="s">
        <v>1795</v>
      </c>
      <c r="O4" s="107" t="str">
        <f>_FormulaHelpers_!B52</f>
        <v>Normal</v>
      </c>
      <c r="P4" s="170"/>
      <c r="Q4" s="171"/>
    </row>
    <row r="5" spans="1:28" ht="18.75" customHeight="1">
      <c r="A5" s="154" t="s">
        <v>1411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7"/>
      <c r="T5" s="17"/>
      <c r="U5" s="17"/>
      <c r="V5" s="17"/>
      <c r="W5" s="17"/>
      <c r="X5" s="17"/>
      <c r="Y5" s="17"/>
      <c r="Z5" s="17"/>
      <c r="AA5" s="17"/>
      <c r="AB5" s="17"/>
    </row>
    <row r="7" spans="1:28" customFormat="1" ht="15" customHeight="1">
      <c r="A7" s="149" t="s">
        <v>1922</v>
      </c>
      <c r="B7" s="149" t="s">
        <v>1602</v>
      </c>
      <c r="C7" s="149" t="s">
        <v>1351</v>
      </c>
      <c r="D7" s="150" t="s">
        <v>1353</v>
      </c>
      <c r="E7" s="149" t="s">
        <v>2230</v>
      </c>
      <c r="F7" s="150" t="s">
        <v>2152</v>
      </c>
      <c r="G7" s="149" t="s">
        <v>1512</v>
      </c>
      <c r="H7" s="149" t="s">
        <v>2241</v>
      </c>
      <c r="I7" s="149" t="s">
        <v>2242</v>
      </c>
      <c r="J7" s="149" t="s">
        <v>1355</v>
      </c>
      <c r="K7" s="149"/>
      <c r="L7" s="149"/>
      <c r="M7" s="149"/>
      <c r="N7" s="190" t="s">
        <v>552</v>
      </c>
      <c r="O7" s="149" t="s">
        <v>12</v>
      </c>
      <c r="P7" s="146" t="s">
        <v>2223</v>
      </c>
      <c r="Q7" s="61"/>
      <c r="R7" s="61"/>
      <c r="S7" s="61"/>
      <c r="T7" s="61"/>
      <c r="U7" s="61"/>
    </row>
    <row r="8" spans="1:28" customFormat="1" ht="15" customHeight="1">
      <c r="A8" s="149"/>
      <c r="B8" s="149"/>
      <c r="C8" s="149"/>
      <c r="D8" s="151"/>
      <c r="E8" s="149"/>
      <c r="F8" s="151"/>
      <c r="G8" s="149"/>
      <c r="H8" s="149"/>
      <c r="I8" s="149"/>
      <c r="J8" s="149" t="s">
        <v>1356</v>
      </c>
      <c r="K8" s="149" t="s">
        <v>1357</v>
      </c>
      <c r="L8" s="149" t="s">
        <v>1358</v>
      </c>
      <c r="M8" s="149" t="s">
        <v>1359</v>
      </c>
      <c r="N8" s="191"/>
      <c r="O8" s="149"/>
      <c r="P8" s="147"/>
      <c r="Q8" s="62" t="s">
        <v>2857</v>
      </c>
      <c r="R8" s="63" t="s">
        <v>2285</v>
      </c>
      <c r="S8" s="62" t="s">
        <v>2295</v>
      </c>
      <c r="T8" s="63" t="s">
        <v>2296</v>
      </c>
      <c r="U8" s="62" t="s">
        <v>2297</v>
      </c>
    </row>
    <row r="9" spans="1:28" customFormat="1" ht="15" customHeight="1">
      <c r="A9" s="149"/>
      <c r="B9" s="149"/>
      <c r="C9" s="149"/>
      <c r="D9" s="152"/>
      <c r="E9" s="149"/>
      <c r="F9" s="152"/>
      <c r="G9" s="149"/>
      <c r="H9" s="149"/>
      <c r="I9" s="149"/>
      <c r="J9" s="149"/>
      <c r="K9" s="149"/>
      <c r="L9" s="149"/>
      <c r="M9" s="149"/>
      <c r="N9" s="192"/>
      <c r="O9" s="149"/>
      <c r="P9" s="148"/>
      <c r="Q9" s="59"/>
      <c r="R9" s="59"/>
      <c r="S9" s="59"/>
      <c r="T9" s="59"/>
      <c r="U9" s="59"/>
    </row>
    <row r="10" spans="1:28" customFormat="1" ht="15" customHeight="1">
      <c r="A10" s="13" t="s">
        <v>1853</v>
      </c>
      <c r="B10" s="13" t="s">
        <v>4693</v>
      </c>
      <c r="C10" s="30" t="s">
        <v>1352</v>
      </c>
      <c r="D10" s="30" t="s">
        <v>1354</v>
      </c>
      <c r="E10" s="13" t="s">
        <v>2231</v>
      </c>
      <c r="F10" s="13" t="s">
        <v>2153</v>
      </c>
      <c r="G10" s="13" t="s">
        <v>1854</v>
      </c>
      <c r="H10" s="13" t="s">
        <v>2267</v>
      </c>
      <c r="I10" s="13" t="s">
        <v>2268</v>
      </c>
      <c r="J10" s="13" t="s">
        <v>1360</v>
      </c>
      <c r="K10" s="13" t="s">
        <v>1361</v>
      </c>
      <c r="L10" s="13" t="s">
        <v>5111</v>
      </c>
      <c r="M10" s="13" t="s">
        <v>5112</v>
      </c>
      <c r="N10" s="28" t="s">
        <v>1451</v>
      </c>
      <c r="O10" s="29" t="s">
        <v>571</v>
      </c>
      <c r="P10" s="53" t="s">
        <v>2224</v>
      </c>
      <c r="Q10" s="58"/>
      <c r="R10" s="58"/>
      <c r="S10" s="58"/>
      <c r="T10" s="58"/>
      <c r="U10" s="58"/>
    </row>
    <row r="12" spans="1:28" ht="13">
      <c r="A12" s="6"/>
    </row>
    <row r="13" spans="1:28">
      <c r="A13" s="7"/>
    </row>
    <row r="14" spans="1:28">
      <c r="A14" s="7"/>
    </row>
    <row r="15" spans="1:28">
      <c r="A15" s="7"/>
    </row>
    <row r="16" spans="1:28">
      <c r="A16" s="7"/>
    </row>
    <row r="20" spans="1:1" customFormat="1"/>
    <row r="21" spans="1:1" customFormat="1"/>
    <row r="22" spans="1:1" customFormat="1"/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</sheetData>
  <protectedRanges>
    <protectedRange sqref="P7:P10" name="Range1_1"/>
  </protectedRanges>
  <mergeCells count="23">
    <mergeCell ref="P7:P9"/>
    <mergeCell ref="A5:R5"/>
    <mergeCell ref="C3:M3"/>
    <mergeCell ref="C4:M4"/>
    <mergeCell ref="P1:Q4"/>
    <mergeCell ref="A7:A9"/>
    <mergeCell ref="B7:B9"/>
    <mergeCell ref="C2:O2"/>
    <mergeCell ref="C1:O1"/>
    <mergeCell ref="J8:J9"/>
    <mergeCell ref="K8:K9"/>
    <mergeCell ref="L8:L9"/>
    <mergeCell ref="M8:M9"/>
    <mergeCell ref="N7:N9"/>
    <mergeCell ref="O7:O9"/>
    <mergeCell ref="J7:M7"/>
    <mergeCell ref="I7:I9"/>
    <mergeCell ref="C7:C9"/>
    <mergeCell ref="G7:G9"/>
    <mergeCell ref="H7:H9"/>
    <mergeCell ref="E7:E9"/>
    <mergeCell ref="D7:D9"/>
    <mergeCell ref="F7:F9"/>
  </mergeCells>
  <phoneticPr fontId="2" type="noConversion"/>
  <pageMargins left="0.75" right="0.75" top="1" bottom="1" header="0.5" footer="0.5"/>
  <pageSetup scale="31" fitToHeight="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35</vt:i4>
      </vt:variant>
      <vt:variant>
        <vt:lpstr>命名范围</vt:lpstr>
      </vt:variant>
      <vt:variant>
        <vt:i4>54</vt:i4>
      </vt:variant>
    </vt:vector>
  </HeadingPairs>
  <TitlesOfParts>
    <vt:vector size="89" baseType="lpstr">
      <vt:lpstr>__E_T_A_P__E_X_P_O_R_T__</vt:lpstr>
      <vt:lpstr>_FormulaHelpers_</vt:lpstr>
      <vt:lpstr>Project Information</vt:lpstr>
      <vt:lpstr>Bus</vt:lpstr>
      <vt:lpstr>Cable</vt:lpstr>
      <vt:lpstr>Transmission Line</vt:lpstr>
      <vt:lpstr>Two-Winding Transformer</vt:lpstr>
      <vt:lpstr>Three-Winding Transformer</vt:lpstr>
      <vt:lpstr>Reactor</vt:lpstr>
      <vt:lpstr>Impedance</vt:lpstr>
      <vt:lpstr>Induction Motor</vt:lpstr>
      <vt:lpstr>Synchronous Motor</vt:lpstr>
      <vt:lpstr>Static Load</vt:lpstr>
      <vt:lpstr>Lumped Load</vt:lpstr>
      <vt:lpstr>VFD</vt:lpstr>
      <vt:lpstr>MOV</vt:lpstr>
      <vt:lpstr>LVCB</vt:lpstr>
      <vt:lpstr>HVCB</vt:lpstr>
      <vt:lpstr>Fuse</vt:lpstr>
      <vt:lpstr>Single Pole Switch</vt:lpstr>
      <vt:lpstr>Double Throw Switch</vt:lpstr>
      <vt:lpstr>Contactor</vt:lpstr>
      <vt:lpstr>Synchronous Generator</vt:lpstr>
      <vt:lpstr>Current Transformer</vt:lpstr>
      <vt:lpstr>Potential Transformer</vt:lpstr>
      <vt:lpstr>Utility</vt:lpstr>
      <vt:lpstr>Universal Relay</vt:lpstr>
      <vt:lpstr>OL Heater_OL Relay</vt:lpstr>
      <vt:lpstr>Recloser</vt:lpstr>
      <vt:lpstr>Voltage Relay</vt:lpstr>
      <vt:lpstr>Frequency Relay</vt:lpstr>
      <vt:lpstr>Capacitor</vt:lpstr>
      <vt:lpstr>Panel</vt:lpstr>
      <vt:lpstr>Voltage Regulator</vt:lpstr>
      <vt:lpstr>Inverter</vt:lpstr>
      <vt:lpstr>DataType0</vt:lpstr>
      <vt:lpstr>DataType1</vt:lpstr>
      <vt:lpstr>DataType2</vt:lpstr>
      <vt:lpstr>DataType3</vt:lpstr>
      <vt:lpstr>DataType4</vt:lpstr>
      <vt:lpstr>DataType5</vt:lpstr>
      <vt:lpstr>DataType6</vt:lpstr>
      <vt:lpstr>DataType7</vt:lpstr>
      <vt:lpstr>DataType8</vt:lpstr>
      <vt:lpstr>DataType9</vt:lpstr>
      <vt:lpstr>ETAPElementXmlTags</vt:lpstr>
      <vt:lpstr>Frequency</vt:lpstr>
      <vt:lpstr>IndMotorPropTags</vt:lpstr>
      <vt:lpstr>LoadCat0</vt:lpstr>
      <vt:lpstr>LoadCat1</vt:lpstr>
      <vt:lpstr>LoadCat2</vt:lpstr>
      <vt:lpstr>LoadCat3</vt:lpstr>
      <vt:lpstr>LoadCat4</vt:lpstr>
      <vt:lpstr>LoadCat5</vt:lpstr>
      <vt:lpstr>LoadCat6</vt:lpstr>
      <vt:lpstr>LoadCat7</vt:lpstr>
      <vt:lpstr>LoadCat8</vt:lpstr>
      <vt:lpstr>LoadCat9</vt:lpstr>
      <vt:lpstr>Bus!Print_Titles</vt:lpstr>
      <vt:lpstr>Cable!Print_Titles</vt:lpstr>
      <vt:lpstr>Contactor!Print_Titles</vt:lpstr>
      <vt:lpstr>'Double Throw Switch'!Print_Titles</vt:lpstr>
      <vt:lpstr>Fuse!Print_Titles</vt:lpstr>
      <vt:lpstr>HVCB!Print_Titles</vt:lpstr>
      <vt:lpstr>Impedance!Print_Titles</vt:lpstr>
      <vt:lpstr>'Induction Motor'!Print_Titles</vt:lpstr>
      <vt:lpstr>'Lumped Load'!Print_Titles</vt:lpstr>
      <vt:lpstr>LVCB!Print_Titles</vt:lpstr>
      <vt:lpstr>MOV!Print_Titles</vt:lpstr>
      <vt:lpstr>Reactor!Print_Titles</vt:lpstr>
      <vt:lpstr>'Single Pole Switch'!Print_Titles</vt:lpstr>
      <vt:lpstr>'Static Load'!Print_Titles</vt:lpstr>
      <vt:lpstr>'Synchronous Generator'!Print_Titles</vt:lpstr>
      <vt:lpstr>'Synchronous Motor'!Print_Titles</vt:lpstr>
      <vt:lpstr>'Three-Winding Transformer'!Print_Titles</vt:lpstr>
      <vt:lpstr>'Transmission Line'!Print_Titles</vt:lpstr>
      <vt:lpstr>'Two-Winding Transformer'!Print_Titles</vt:lpstr>
      <vt:lpstr>VFD!Print_Titles</vt:lpstr>
      <vt:lpstr>Priority0</vt:lpstr>
      <vt:lpstr>Priority1</vt:lpstr>
      <vt:lpstr>Priority2</vt:lpstr>
      <vt:lpstr>Priority3</vt:lpstr>
      <vt:lpstr>Priority4</vt:lpstr>
      <vt:lpstr>Priority5</vt:lpstr>
      <vt:lpstr>Priority6</vt:lpstr>
      <vt:lpstr>Priority7</vt:lpstr>
      <vt:lpstr>Priority8</vt:lpstr>
      <vt:lpstr>Priority9</vt:lpstr>
      <vt:lpstr>SystemUnit</vt:lpstr>
    </vt:vector>
  </TitlesOfParts>
  <Company>KBR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Gupta</dc:creator>
  <cp:lastModifiedBy>sipeng luo</cp:lastModifiedBy>
  <cp:lastPrinted>2010-10-16T14:19:14Z</cp:lastPrinted>
  <dcterms:created xsi:type="dcterms:W3CDTF">2008-06-05T01:39:16Z</dcterms:created>
  <dcterms:modified xsi:type="dcterms:W3CDTF">2025-02-15T03:24:17Z</dcterms:modified>
</cp:coreProperties>
</file>