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<sst xmlns="http://schemas.openxmlformats.org/spreadsheetml/2006/main" count="237" uniqueCount="237">
  <si>
    <t xml:space="preserve">Algemene informatie</t>
  </si>
  <si>
    <t xml:space="preserve">Persoonlijke gegevens</t>
  </si>
  <si>
    <t xml:space="preserve">Informatie over wielrennen</t>
  </si>
  <si>
    <t>Proefpersooncode:</t>
  </si>
  <si>
    <t>T2A_10</t>
  </si>
  <si>
    <t>Type:</t>
  </si>
  <si>
    <t>Recreatief</t>
  </si>
  <si>
    <t>Recreatief/Wedstrijd</t>
  </si>
  <si>
    <t xml:space="preserve">Geslacht (man = 1; vrouw = 2):</t>
  </si>
  <si>
    <t>Weg</t>
  </si>
  <si>
    <t>Weg/Baan</t>
  </si>
  <si>
    <t>Geboortedatum:</t>
  </si>
  <si>
    <t xml:space="preserve">Korte/Lange afstand</t>
  </si>
  <si>
    <t>Leeftijd:</t>
  </si>
  <si>
    <t xml:space="preserve">Training frequentie:</t>
  </si>
  <si>
    <t xml:space="preserve">3 (2x doordeweeks en 1x in het weekend)</t>
  </si>
  <si>
    <t>keer/wk</t>
  </si>
  <si>
    <t xml:space="preserve">Training duur:</t>
  </si>
  <si>
    <t xml:space="preserve">2x 40-50 min (doordeweeks) en 1x 70-130 min (in het weekend)</t>
  </si>
  <si>
    <t>uur/wk</t>
  </si>
  <si>
    <t xml:space="preserve">Training afstand:</t>
  </si>
  <si>
    <t>km/wk</t>
  </si>
  <si>
    <t>Fietservaring:</t>
  </si>
  <si>
    <t>jaar</t>
  </si>
  <si>
    <t>Opmerkingen:</t>
  </si>
  <si>
    <t xml:space="preserve">Heeft een Tacx thuis. </t>
  </si>
  <si>
    <t>Antropometrie</t>
  </si>
  <si>
    <t xml:space="preserve">Algemene gegevens</t>
  </si>
  <si>
    <t>Testdag:</t>
  </si>
  <si>
    <t>Onderzoeker:</t>
  </si>
  <si>
    <t>Luuk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</si>
  <si>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</si>
  <si>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</si>
  <si>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</si>
  <si>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</si>
  <si>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</si>
  <si>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</si>
  <si>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</si>
  <si>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</si>
  <si>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</si>
  <si>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</si>
  <si>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</si>
  <si>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</si>
  <si>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</si>
  <si>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</si>
  <si>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</si>
  <si>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</si>
  <si>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</si>
  <si>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</si>
  <si>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</si>
  <si>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</si>
  <si>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</si>
  <si>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</si>
  <si>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</si>
  <si>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</si>
  <si>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</si>
  <si>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</si>
  <si>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</si>
  <si>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</si>
  <si>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</si>
  <si>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</si>
  <si>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</si>
  <si>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</si>
  <si>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</si>
  <si>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</si>
  <si>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</si>
  <si>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</si>
  <si>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</si>
  <si>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</si>
  <si>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</si>
  <si>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</si>
  <si>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</si>
  <si>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</si>
  <si>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</si>
  <si>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</si>
  <si>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</si>
  <si>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</si>
  <si>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</si>
  <si>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</si>
  <si>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</si>
  <si>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</si>
  <si>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</si>
  <si>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</si>
  <si>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</si>
  <si>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</si>
  <si>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</si>
  <si>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</si>
  <si>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 xml:space="preserve">LOOK grijs</t>
  </si>
  <si>
    <t xml:space="preserve">Maat van zuurstofmasker:</t>
  </si>
  <si>
    <t>L</t>
  </si>
  <si>
    <t>S/M/L</t>
  </si>
  <si>
    <t xml:space="preserve">Maat van hoofdband: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</si>
  <si>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</si>
  <si>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</si>
  <si>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</si>
  <si>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</si>
  <si>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</si>
  <si>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</si>
  <si>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</si>
  <si>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</si>
  <si>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</si>
  <si>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</si>
  <si>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</si>
  <si>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</si>
  <si>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</si>
  <si>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</si>
  <si>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</si>
  <si>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</si>
  <si>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</si>
  <si>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</si>
  <si>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</si>
  <si>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</si>
  <si>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</si>
  <si>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</si>
  <si>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</si>
  <si>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</si>
  <si>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</si>
  <si>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</si>
  <si>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</si>
  <si>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</si>
  <si>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Hr viel even weg bij 225 W</t>
  </si>
  <si>
    <t xml:space="preserve">3D Ultrasound</t>
  </si>
  <si>
    <t>13/12/2022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</si>
  <si>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</si>
  <si>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</si>
  <si>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</si>
  <si>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</si>
  <si>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</si>
  <si>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</si>
  <si>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>Renske</t>
  </si>
  <si>
    <t xml:space="preserve">Zithoogte zadel:</t>
  </si>
  <si>
    <t xml:space="preserve">Horizontale positie zadel:</t>
  </si>
  <si>
    <t xml:space="preserve">3de gat van achteren</t>
  </si>
  <si>
    <t xml:space="preserve">Voorste voet bij start:</t>
  </si>
  <si>
    <t>Rechts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</si>
  <si>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</si>
  <si>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</si>
  <si>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</si>
  <si>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</si>
  <si>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</si>
  <si>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</si>
  <si>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</si>
  <si>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</si>
  <si>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</si>
  <si>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</si>
  <si>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</si>
  <si>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</si>
  <si>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</si>
  <si>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</si>
  <si>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</si>
  <si>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</si>
  <si>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</si>
  <si>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</si>
  <si>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</si>
  <si>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</si>
  <si>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</si>
  <si>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</si>
  <si>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</si>
  <si>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</si>
  <si>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</si>
  <si>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</si>
  <si>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</si>
  <si>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>15/12/2022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</si>
  <si>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</si>
  <si>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</si>
  <si>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</si>
  <si>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</si>
  <si>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</si>
  <si>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</si>
  <si>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</si>
  <si>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</si>
  <si>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</si>
  <si>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</si>
  <si>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RAW00362.DAT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</si>
  <si>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</si>
  <si>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</si>
  <si>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</si>
  <si>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RAW00190.DAT</t>
  </si>
  <si>
    <t xml:space="preserve">Filename Excelbestand: </t>
  </si>
  <si>
    <t xml:space="preserve">Sprong 3 2x gedaan. Eerste met armzwaai, dus direct een juiste versie erachteraan gedaan.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</si>
  <si>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</si>
  <si>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</si>
  <si>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</si>
  <si>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</si>
  <si>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</si>
  <si>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Niet zeker of dit juist is 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</si>
  <si>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</si>
  <si>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</si>
  <si>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</si>
  <si>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</si>
  <si>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</si>
  <si>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</si>
  <si>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</si>
  <si>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</si>
  <si>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</si>
  <si>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</si>
  <si>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</si>
  <si>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</si>
  <si>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</si>
  <si>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</si>
  <si>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</si>
  <si>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</si>
  <si>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</si>
  <si>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</si>
  <si>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>90%GET</t>
  </si>
  <si>
    <t>9:00-15:00</t>
  </si>
  <si>
    <t xml:space="preserve">6 min 20W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</si>
  <si>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</si>
  <si>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</si>
  <si>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</si>
  <si>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</si>
  <si>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</si>
  <si>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</si>
  <si>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</si>
  <si>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</si>
  <si>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</si>
  <si>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</si>
  <si>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</si>
  <si>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</si>
  <si>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</si>
  <si>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</si>
  <si>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</si>
  <si>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</si>
  <si>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</si>
  <si>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</si>
  <si>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</si>
  <si>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</si>
  <si>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</si>
  <si>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hartslag valt af en toe weg bij cosmed. tijdens tijdrit helemaal geen hartslag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</si>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</sst>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h:mm;@"/>
    <numFmt numFmtId="161" formatCode="0.0"/>
    <numFmt numFmtId="162" formatCode="0.0%"/>
    <numFmt numFmtId="163" formatCode="[$-F400]h:mm:ss\ AM/PM"/>
  </numFmts>
  <fonts count="1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color rgb="FF9C0006"/>
      <sz val="11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Arial"/>
      <b/>
      <color rgb="FF202124"/>
      <sz val="10.000000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/>
        <bgColor theme="2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0" borderId="1" numFmtId="0" applyNumberFormat="0" applyFont="1" applyFill="0" applyBorder="1" applyProtection="0"/>
    <xf fontId="4" fillId="5" borderId="0" numFmtId="0" applyNumberFormat="0" applyFont="1" applyFill="1" applyBorder="0" applyProtection="0"/>
    <xf fontId="5" fillId="6" borderId="0" numFmtId="0" applyNumberFormat="0" applyFont="1" applyFill="1" applyBorder="0" applyProtection="0"/>
  </cellStyleXfs>
  <cellXfs count="207">
    <xf fontId="0" fillId="0" borderId="0" numFmtId="0" xfId="0"/>
    <xf fontId="3" fillId="0" borderId="1" numFmtId="0" xfId="4" applyFont="1" applyBorder="1"/>
    <xf fontId="0" fillId="0" borderId="2" numFmtId="0" xfId="0" applyBorder="1"/>
    <xf fontId="0" fillId="0" borderId="3" numFmtId="0" xfId="0" applyBorder="1"/>
    <xf fontId="6" fillId="3" borderId="4" numFmtId="0" xfId="2" applyFont="1" applyFill="1" applyBorder="1" applyAlignment="1">
      <alignment horizontal="center"/>
    </xf>
    <xf fontId="6" fillId="3" borderId="5" numFmtId="0" xfId="2" applyFont="1" applyFill="1" applyBorder="1" applyAlignment="1">
      <alignment horizontal="center"/>
    </xf>
    <xf fontId="0" fillId="0" borderId="6" numFmtId="0" xfId="0" applyBorder="1"/>
    <xf fontId="6" fillId="3" borderId="7" numFmtId="0" xfId="2" applyFont="1" applyFill="1" applyBorder="1" applyAlignment="1">
      <alignment horizontal="center"/>
    </xf>
    <xf fontId="0" fillId="0" borderId="8" numFmtId="0" xfId="0" applyBorder="1"/>
    <xf fontId="7" fillId="0" borderId="6" numFmtId="0" xfId="0" applyFont="1" applyBorder="1"/>
    <xf fontId="7" fillId="0" borderId="6" numFmtId="49" xfId="0" applyNumberFormat="1" applyFont="1" applyBorder="1"/>
    <xf fontId="7" fillId="0" borderId="0" numFmtId="0" xfId="0" applyFont="1"/>
    <xf fontId="0" fillId="0" borderId="9" numFmtId="0" xfId="0" applyBorder="1"/>
    <xf fontId="7" fillId="0" borderId="6" numFmtId="1" xfId="0" applyNumberFormat="1" applyFont="1" applyBorder="1" applyAlignment="1">
      <alignment horizontal="left"/>
    </xf>
    <xf fontId="7" fillId="0" borderId="6" numFmtId="14" xfId="0" applyNumberFormat="1" applyFont="1" applyBorder="1" applyAlignment="1">
      <alignment horizontal="left"/>
    </xf>
    <xf fontId="0" fillId="0" borderId="10" numFmtId="0" xfId="0" applyBorder="1"/>
    <xf fontId="8" fillId="0" borderId="11" numFmtId="1" xfId="0" applyNumberFormat="1" applyFont="1" applyBorder="1"/>
    <xf fontId="7" fillId="0" borderId="0" numFmtId="0" xfId="0" applyFont="1" applyAlignment="1">
      <alignment horizontal="left" wrapText="1"/>
    </xf>
    <xf fontId="0" fillId="0" borderId="12" numFmtId="0" xfId="0" applyBorder="1"/>
    <xf fontId="7" fillId="0" borderId="0" numFmtId="0" xfId="0" applyFont="1" applyAlignment="1">
      <alignment horizontal="left"/>
    </xf>
    <xf fontId="0" fillId="0" borderId="13" numFmtId="0" xfId="0" applyBorder="1"/>
    <xf fontId="7" fillId="0" borderId="3" numFmtId="0" xfId="0" applyFont="1" applyBorder="1" applyAlignment="1">
      <alignment horizontal="left"/>
    </xf>
    <xf fontId="0" fillId="0" borderId="14" numFmtId="0" xfId="0" applyBorder="1"/>
    <xf fontId="0" fillId="0" borderId="15" numFmtId="0" xfId="0" applyBorder="1" applyAlignment="1">
      <alignment horizontal="left" vertical="top"/>
    </xf>
    <xf fontId="0" fillId="0" borderId="15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/>
    </xf>
    <xf fontId="0" fillId="0" borderId="11" numFmtId="0" xfId="0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/>
    </xf>
    <xf fontId="0" fillId="0" borderId="10" numFmtId="0" xfId="0" applyBorder="1" applyAlignment="1">
      <alignment horizontal="left" vertical="top" wrapText="1"/>
    </xf>
    <xf fontId="0" fillId="0" borderId="14" numFmtId="0" xfId="0" applyBorder="1" applyAlignment="1">
      <alignment horizontal="left" vertical="top" wrapText="1"/>
    </xf>
    <xf fontId="7" fillId="0" borderId="14" numFmtId="14" xfId="0" applyNumberFormat="1" applyFont="1" applyBorder="1" applyAlignment="1">
      <alignment horizontal="left"/>
    </xf>
    <xf fontId="7" fillId="0" borderId="13" numFmtId="160" xfId="0" applyNumberFormat="1" applyFont="1" applyBorder="1" applyAlignment="1">
      <alignment horizontal="left"/>
    </xf>
    <xf fontId="7" fillId="0" borderId="4" numFmtId="0" xfId="0" applyFont="1" applyBorder="1" applyAlignment="1">
      <alignment horizontal="center"/>
    </xf>
    <xf fontId="7" fillId="0" borderId="7" numFmtId="0" xfId="0" applyFont="1" applyBorder="1" applyAlignment="1">
      <alignment horizontal="center"/>
    </xf>
    <xf fontId="7" fillId="0" borderId="5" numFmtId="0" xfId="0" applyFont="1" applyBorder="1" applyAlignment="1">
      <alignment horizontal="center"/>
    </xf>
    <xf fontId="7" fillId="0" borderId="15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6" fillId="3" borderId="4" numFmtId="0" xfId="2" applyFont="1" applyFill="1" applyBorder="1"/>
    <xf fontId="6" fillId="3" borderId="5" numFmtId="0" xfId="2" applyFont="1" applyFill="1" applyBorder="1"/>
    <xf fontId="7" fillId="0" borderId="10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 wrapText="1"/>
    </xf>
    <xf fontId="0" fillId="0" borderId="17" numFmtId="0" xfId="0" applyBorder="1" applyAlignment="1">
      <alignment horizontal="left" indent="1"/>
    </xf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0" numFmtId="0" xfId="0"/>
    <xf fontId="0" fillId="0" borderId="21" numFmtId="0" xfId="0" applyBorder="1"/>
    <xf fontId="0" fillId="0" borderId="22" numFmtId="0" xfId="0" applyBorder="1" applyAlignment="1">
      <alignment horizontal="left" indent="1"/>
    </xf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2" borderId="22" numFmtId="0" xfId="1" applyFill="1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6" numFmtId="0" xfId="1" applyFill="1" applyBorder="1"/>
    <xf fontId="0" fillId="2" borderId="0" numFmtId="0" xfId="1" applyFill="1"/>
    <xf fontId="0" fillId="2" borderId="21" numFmtId="0" xfId="1" applyFill="1" applyBorder="1"/>
    <xf fontId="0" fillId="0" borderId="26" numFmtId="0" xfId="0" applyBorder="1" applyAlignment="1">
      <alignment horizontal="left" indent="1"/>
    </xf>
    <xf fontId="5" fillId="6" borderId="11" numFmtId="0" xfId="6" applyFont="1" applyFill="1" applyBorder="1" applyAlignment="1">
      <alignment horizontal="left"/>
    </xf>
    <xf fontId="5" fillId="6" borderId="0" numFmtId="0" xfId="6" applyFont="1" applyFill="1" applyAlignment="1">
      <alignment horizontal="left"/>
    </xf>
    <xf fontId="5" fillId="6" borderId="0" numFmtId="0" xfId="6" applyFont="1" applyFill="1"/>
    <xf fontId="9" fillId="6" borderId="0" numFmtId="0" xfId="6" applyFont="1" applyFill="1"/>
    <xf fontId="0" fillId="0" borderId="27" numFmtId="0" xfId="0" applyBorder="1" applyAlignment="1">
      <alignment horizontal="left" indent="1"/>
    </xf>
    <xf fontId="0" fillId="2" borderId="26" numFmtId="0" xfId="1" applyFill="1" applyBorder="1"/>
    <xf fontId="9" fillId="6" borderId="0" numFmtId="0" xfId="6" applyFont="1" applyFill="1" applyAlignment="1">
      <alignment horizontal="right"/>
    </xf>
    <xf fontId="9" fillId="6" borderId="0" numFmtId="0" xfId="6" applyFont="1" applyFill="1" applyAlignment="1">
      <alignment horizontal="left"/>
    </xf>
    <xf fontId="0" fillId="0" borderId="28" numFmtId="0" xfId="0" applyBorder="1" applyAlignment="1">
      <alignment horizontal="left" indent="1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2" borderId="32" numFmtId="0" xfId="1" applyFill="1" applyBorder="1"/>
    <xf fontId="0" fillId="2" borderId="18" numFmtId="0" xfId="1" applyFill="1" applyBorder="1"/>
    <xf fontId="0" fillId="2" borderId="19" numFmtId="0" xfId="1" applyFill="1" applyBorder="1"/>
    <xf fontId="0" fillId="2" borderId="20" numFmtId="0" xfId="1" applyFill="1" applyBorder="1"/>
    <xf fontId="0" fillId="7" borderId="24" numFmtId="0" xfId="0" applyFill="1" applyBorder="1"/>
    <xf fontId="0" fillId="7" borderId="25" numFmtId="0" xfId="0" applyFill="1" applyBorder="1"/>
    <xf fontId="5" fillId="6" borderId="11" numFmtId="0" xfId="6" applyFont="1" applyFill="1" applyBorder="1" applyAlignment="1">
      <alignment horizontal="center"/>
    </xf>
    <xf fontId="5" fillId="6" borderId="0" numFmtId="0" xfId="6" applyFont="1" applyFill="1" applyAlignment="1">
      <alignment horizontal="center"/>
    </xf>
    <xf fontId="0" fillId="0" borderId="33" numFmtId="0" xfId="0" applyBorder="1" applyAlignment="1">
      <alignment horizontal="left" indent="1"/>
    </xf>
    <xf fontId="0" fillId="0" borderId="34" numFmtId="0" xfId="0" applyBorder="1"/>
    <xf fontId="0" fillId="7" borderId="35" numFmtId="0" xfId="0" applyFill="1" applyBorder="1"/>
    <xf fontId="0" fillId="7" borderId="36" numFmtId="0" xfId="0" applyFill="1" applyBorder="1"/>
    <xf fontId="0" fillId="0" borderId="37" numFmtId="0" xfId="0" applyBorder="1"/>
    <xf fontId="0" fillId="0" borderId="12" numFmtId="0" xfId="0" applyBorder="1" applyAlignment="1">
      <alignment horizontal="left" indent="1"/>
    </xf>
    <xf fontId="4" fillId="5" borderId="15" numFmtId="0" xfId="5" applyFont="1" applyFill="1" applyBorder="1"/>
    <xf fontId="4" fillId="5" borderId="38" numFmtId="0" xfId="5" applyFont="1" applyFill="1" applyBorder="1"/>
    <xf fontId="0" fillId="0" borderId="11" numFmtId="0" xfId="0" applyBorder="1"/>
    <xf fontId="0" fillId="0" borderId="38" numFmtId="0" xfId="0" applyBorder="1"/>
    <xf fontId="0" fillId="0" borderId="7" numFmtId="0" xfId="0" applyBorder="1"/>
    <xf fontId="0" fillId="0" borderId="5" numFmtId="0" xfId="0" applyBorder="1"/>
    <xf fontId="9" fillId="6" borderId="0" numFmtId="1" xfId="6" applyNumberFormat="1" applyFont="1" applyFill="1"/>
    <xf fontId="0" fillId="0" borderId="0" numFmtId="0" xfId="0" applyAlignment="1">
      <alignment horizontal="center"/>
    </xf>
    <xf fontId="7" fillId="0" borderId="8" numFmtId="0" xfId="0" applyFont="1" applyBorder="1"/>
    <xf fontId="7" fillId="0" borderId="9" numFmtId="0" xfId="0" applyFont="1" applyBorder="1"/>
    <xf fontId="7" fillId="0" borderId="14" numFmtId="0" xfId="0" applyFont="1" applyBorder="1"/>
    <xf fontId="0" fillId="0" borderId="12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3" numFmtId="0" xfId="0" applyBorder="1" applyAlignment="1">
      <alignment horizontal="left" vertical="top" wrapText="1"/>
    </xf>
    <xf fontId="7" fillId="0" borderId="15" numFmtId="0" xfId="0" applyFont="1" applyBorder="1"/>
    <xf fontId="0" fillId="0" borderId="16" numFmtId="0" xfId="0" applyBorder="1"/>
    <xf fontId="0" fillId="0" borderId="9" numFmtId="0" xfId="0" applyBorder="1" applyAlignment="1">
      <alignment wrapText="1"/>
    </xf>
    <xf fontId="7" fillId="0" borderId="11" numFmtId="1" xfId="0" applyNumberFormat="1" applyFont="1" applyBorder="1" applyAlignment="1">
      <alignment horizontal="left"/>
    </xf>
    <xf fontId="7" fillId="0" borderId="11" numFmtId="14" xfId="0" applyNumberFormat="1" applyFont="1" applyBorder="1" applyAlignment="1">
      <alignment horizontal="left"/>
    </xf>
    <xf fontId="7" fillId="0" borderId="11" numFmtId="0" xfId="0" applyFont="1" applyBorder="1" applyAlignment="1">
      <alignment horizontal="left"/>
    </xf>
    <xf fontId="7" fillId="0" borderId="7" numFmtId="14" xfId="0" applyNumberFormat="1" applyFont="1" applyBorder="1" applyAlignment="1">
      <alignment horizontal="left"/>
    </xf>
    <xf fontId="7" fillId="0" borderId="15" numFmtId="14" xfId="0" applyNumberFormat="1" applyFont="1" applyBorder="1" applyAlignment="1">
      <alignment horizontal="left"/>
    </xf>
    <xf fontId="7" fillId="0" borderId="11" numFmtId="160" xfId="0" applyNumberFormat="1" applyFont="1" applyBorder="1" applyAlignment="1">
      <alignment horizontal="left"/>
    </xf>
    <xf fontId="7" fillId="0" borderId="3" numFmtId="0" xfId="0" applyFont="1" applyBorder="1" applyAlignment="1">
      <alignment horizontal="center"/>
    </xf>
    <xf fontId="7" fillId="0" borderId="14" numFmtId="0" xfId="0" applyFont="1" applyBorder="1" applyAlignment="1">
      <alignment horizontal="center"/>
    </xf>
    <xf fontId="7" fillId="0" borderId="39" numFmtId="0" xfId="0" applyFont="1" applyBorder="1"/>
    <xf fontId="7" fillId="0" borderId="40" numFmtId="0" xfId="0" applyFont="1" applyBorder="1"/>
    <xf fontId="7" fillId="0" borderId="41" numFmtId="0" xfId="0" applyFont="1" applyBorder="1"/>
    <xf fontId="7" fillId="0" borderId="42" numFmtId="0" xfId="0" applyFont="1" applyBorder="1"/>
    <xf fontId="0" fillId="0" borderId="43" numFmtId="20" xfId="0" applyNumberFormat="1" applyBorder="1" applyAlignment="1">
      <alignment horizontal="left"/>
    </xf>
    <xf fontId="0" fillId="0" borderId="44" numFmtId="0" xfId="0" applyBorder="1"/>
    <xf fontId="0" fillId="0" borderId="45" numFmtId="20" xfId="0" applyNumberFormat="1" applyBorder="1" applyAlignment="1">
      <alignment horizontal="left"/>
    </xf>
    <xf fontId="0" fillId="0" borderId="46" numFmtId="0" xfId="0" applyBorder="1"/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20" xfId="0" applyNumberFormat="1" applyBorder="1" applyAlignment="1">
      <alignment horizontal="left"/>
    </xf>
    <xf fontId="0" fillId="0" borderId="35" numFmtId="0" xfId="0" applyBorder="1"/>
    <xf fontId="0" fillId="0" borderId="53" numFmtId="0" xfId="0" applyBorder="1"/>
    <xf fontId="0" fillId="0" borderId="54" numFmtId="0" xfId="0" applyBorder="1"/>
    <xf fontId="0" fillId="0" borderId="55" numFmtId="20" xfId="0" applyNumberFormat="1" applyBorder="1" applyAlignment="1">
      <alignment horizontal="left"/>
    </xf>
    <xf fontId="0" fillId="0" borderId="0" numFmtId="2" xfId="0" applyNumberFormat="1"/>
    <xf fontId="0" fillId="0" borderId="15" numFmtId="0" xfId="0" applyBorder="1"/>
    <xf fontId="7" fillId="0" borderId="4" numFmtId="2" xfId="0" applyNumberFormat="1" applyFont="1" applyBorder="1"/>
    <xf fontId="0" fillId="0" borderId="56" numFmtId="0" xfId="0" applyBorder="1"/>
    <xf fontId="7" fillId="0" borderId="3" numFmtId="0" xfId="0" applyFont="1" applyBorder="1"/>
    <xf fontId="7" fillId="0" borderId="9" numFmtId="160" xfId="0" applyNumberFormat="1" applyFont="1" applyBorder="1" applyAlignment="1">
      <alignment horizontal="left"/>
    </xf>
    <xf fontId="7" fillId="0" borderId="9" numFmtId="2" xfId="0" applyNumberFormat="1" applyFont="1" applyBorder="1" applyAlignment="1">
      <alignment horizontal="left"/>
    </xf>
    <xf fontId="7" fillId="0" borderId="13" numFmtId="0" xfId="0" applyFont="1" applyBorder="1" applyAlignment="1">
      <alignment horizontal="left"/>
    </xf>
    <xf fontId="7" fillId="0" borderId="13" numFmtId="0" xfId="0" applyFont="1" applyBorder="1"/>
    <xf fontId="7" fillId="0" borderId="0" numFmtId="1" xfId="0" applyNumberFormat="1" applyFont="1" applyAlignment="1">
      <alignment horizontal="left"/>
    </xf>
    <xf fontId="0" fillId="0" borderId="57" numFmtId="0" xfId="0" applyBorder="1"/>
    <xf fontId="7" fillId="0" borderId="3" numFmtId="161" xfId="0" applyNumberFormat="1" applyFont="1" applyBorder="1"/>
    <xf fontId="5" fillId="6" borderId="11" numFmtId="0" xfId="6" applyFont="1" applyFill="1" applyBorder="1"/>
    <xf fontId="7" fillId="0" borderId="4" numFmtId="0" xfId="0" applyFont="1" applyBorder="1"/>
    <xf fontId="7" fillId="0" borderId="7" numFmtId="0" xfId="0" applyFont="1" applyBorder="1"/>
    <xf fontId="0" fillId="0" borderId="58" numFmtId="0" xfId="0" applyBorder="1"/>
    <xf fontId="0" fillId="0" borderId="59" numFmtId="162" xfId="0" applyNumberFormat="1" applyBorder="1"/>
    <xf fontId="0" fillId="0" borderId="60" numFmtId="0" xfId="0" applyBorder="1"/>
    <xf fontId="0" fillId="0" borderId="61" numFmtId="0" xfId="0" applyBorder="1" applyAlignment="1">
      <alignment horizontal="left" indent="1"/>
    </xf>
    <xf fontId="0" fillId="7" borderId="62" numFmtId="162" xfId="0" applyNumberFormat="1" applyFill="1" applyBorder="1"/>
    <xf fontId="0" fillId="0" borderId="63" numFmtId="0" xfId="0" applyBorder="1"/>
    <xf fontId="0" fillId="0" borderId="61" numFmtId="0" xfId="0" applyBorder="1"/>
    <xf fontId="0" fillId="7" borderId="62" numFmtId="0" xfId="0" applyFill="1" applyBorder="1"/>
    <xf fontId="0" fillId="0" borderId="62" numFmtId="162" xfId="0" applyNumberFormat="1" applyBorder="1"/>
    <xf fontId="0" fillId="0" borderId="64" numFmtId="0" xfId="0" applyBorder="1"/>
    <xf fontId="0" fillId="0" borderId="65" numFmtId="162" xfId="0" applyNumberFormat="1" applyBorder="1"/>
    <xf fontId="0" fillId="0" borderId="66" numFmtId="0" xfId="0" applyBorder="1"/>
    <xf fontId="0" fillId="0" borderId="0" numFmtId="162" xfId="0" applyNumberFormat="1"/>
    <xf fontId="7" fillId="0" borderId="5" numFmtId="0" xfId="0" applyFont="1" applyBorder="1"/>
    <xf fontId="7" fillId="0" borderId="11" numFmtId="49" xfId="0" applyNumberFormat="1" applyFont="1" applyBorder="1" applyAlignment="1">
      <alignment horizontal="left"/>
    </xf>
    <xf fontId="7" fillId="0" borderId="10" numFmtId="160" xfId="0" applyNumberFormat="1" applyFont="1" applyBorder="1" applyAlignment="1">
      <alignment horizontal="left"/>
    </xf>
    <xf fontId="7" fillId="0" borderId="0" numFmtId="160" xfId="0" applyNumberFormat="1" applyFont="1" applyAlignment="1">
      <alignment horizontal="left"/>
    </xf>
    <xf fontId="7" fillId="0" borderId="15" numFmtId="0" xfId="0" applyFont="1" applyBorder="1" applyAlignment="1">
      <alignment horizontal="left"/>
    </xf>
    <xf fontId="0" fillId="0" borderId="9" numFmtId="0" xfId="0" applyBorder="1" applyAlignment="1">
      <alignment horizontal="left" indent="1"/>
    </xf>
    <xf fontId="7" fillId="0" borderId="10" numFmtId="0" xfId="0" applyFont="1" applyBorder="1" applyAlignment="1">
      <alignment horizontal="left"/>
    </xf>
    <xf fontId="0" fillId="0" borderId="67" numFmtId="0" xfId="0" applyBorder="1"/>
    <xf fontId="0" fillId="7" borderId="68" numFmtId="0" xfId="0" applyFill="1" applyBorder="1" applyAlignment="1">
      <alignment horizontal="center"/>
    </xf>
    <xf fontId="0" fillId="7" borderId="69" numFmtId="0" xfId="0" applyFill="1" applyBorder="1" applyAlignment="1">
      <alignment horizontal="center"/>
    </xf>
    <xf fontId="0" fillId="7" borderId="70" numFmtId="0" xfId="0" applyFill="1" applyBorder="1" applyAlignment="1">
      <alignment horizontal="center"/>
    </xf>
    <xf fontId="0" fillId="7" borderId="71" numFmtId="0" xfId="0" applyFill="1" applyBorder="1" applyAlignment="1">
      <alignment horizontal="center"/>
    </xf>
    <xf fontId="0" fillId="7" borderId="72" numFmtId="0" xfId="0" applyFill="1" applyBorder="1" applyAlignment="1">
      <alignment horizontal="center"/>
    </xf>
    <xf fontId="0" fillId="7" borderId="73" numFmtId="0" xfId="0" applyFill="1" applyBorder="1" applyAlignment="1">
      <alignment horizontal="center"/>
    </xf>
    <xf fontId="0" fillId="0" borderId="45" numFmtId="20" xfId="0" applyNumberFormat="1" applyBorder="1" applyAlignment="1" quotePrefix="1">
      <alignment horizontal="left"/>
    </xf>
    <xf fontId="0" fillId="0" borderId="74" numFmtId="20" xfId="0" applyNumberFormat="1" applyBorder="1" applyAlignment="1">
      <alignment horizontal="left"/>
    </xf>
    <xf fontId="0" fillId="7" borderId="75" numFmtId="0" xfId="0" applyFill="1" applyBorder="1" applyAlignment="1">
      <alignment horizontal="center"/>
    </xf>
    <xf fontId="0" fillId="7" borderId="76" numFmtId="0" xfId="0" applyFill="1" applyBorder="1" applyAlignment="1">
      <alignment horizontal="center"/>
    </xf>
    <xf fontId="0" fillId="7" borderId="77" numFmtId="0" xfId="0" applyFill="1" applyBorder="1" applyAlignment="1">
      <alignment horizontal="center"/>
    </xf>
    <xf fontId="7" fillId="0" borderId="39" numFmtId="20" xfId="0" applyNumberFormat="1" applyFont="1" applyBorder="1" applyAlignment="1">
      <alignment horizontal="left"/>
    </xf>
    <xf fontId="0" fillId="0" borderId="45" numFmtId="49" xfId="0" applyNumberFormat="1" applyBorder="1" applyAlignment="1">
      <alignment horizontal="left"/>
    </xf>
    <xf fontId="0" fillId="0" borderId="19" numFmtId="0" xfId="0" applyBorder="1" applyAlignment="1">
      <alignment horizontal="center"/>
    </xf>
    <xf fontId="0" fillId="7" borderId="19" numFmtId="0" xfId="0" applyFill="1" applyBorder="1"/>
    <xf fontId="0" fillId="0" borderId="78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4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9" numFmtId="49" xfId="0" applyNumberFormat="1" applyBorder="1" applyAlignment="1">
      <alignment horizontal="left"/>
    </xf>
    <xf fontId="0" fillId="0" borderId="47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73" numFmtId="0" xfId="0" applyBorder="1" applyAlignment="1">
      <alignment horizontal="center"/>
    </xf>
    <xf fontId="0" fillId="0" borderId="43" numFmtId="49" xfId="0" applyNumberFormat="1" applyBorder="1" applyAlignment="1">
      <alignment horizontal="left"/>
    </xf>
    <xf fontId="0" fillId="0" borderId="50" numFmtId="0" xfId="0" applyBorder="1" applyAlignment="1">
      <alignment horizontal="center"/>
    </xf>
    <xf fontId="0" fillId="0" borderId="35" numFmtId="0" xfId="0" applyBorder="1" applyAlignment="1">
      <alignment horizontal="center"/>
    </xf>
    <xf fontId="0" fillId="0" borderId="77" numFmtId="0" xfId="0" applyBorder="1" applyAlignment="1">
      <alignment horizontal="center"/>
    </xf>
    <xf fontId="7" fillId="0" borderId="4" numFmtId="163" xfId="0" applyNumberFormat="1" applyFont="1" applyBorder="1"/>
    <xf fontId="7" fillId="0" borderId="6" numFmtId="0" xfId="0" applyFont="1" applyBorder="1" applyAlignment="1">
      <alignment horizontal="left"/>
    </xf>
    <xf fontId="7" fillId="0" borderId="14" numFmtId="0" xfId="0" applyFont="1" applyBorder="1" applyAlignment="1">
      <alignment horizontal="left"/>
    </xf>
    <xf fontId="10" fillId="4" borderId="0" numFmtId="0" xfId="3" applyFont="1" applyFill="1" applyAlignment="1">
      <alignment horizontal="right"/>
    </xf>
    <xf fontId="10" fillId="4" borderId="0" numFmtId="1" xfId="3" applyNumberFormat="1" applyFont="1" applyFill="1" applyAlignment="1">
      <alignment horizontal="right"/>
    </xf>
    <xf fontId="10" fillId="4" borderId="0" numFmtId="161" xfId="3" applyNumberFormat="1" applyFont="1" applyFill="1" applyAlignment="1">
      <alignment horizontal="right"/>
    </xf>
    <xf fontId="10" fillId="4" borderId="0" numFmtId="2" xfId="3" applyNumberFormat="1" applyFont="1" applyFill="1" applyAlignment="1">
      <alignment horizontal="right"/>
    </xf>
    <xf fontId="10" fillId="4" borderId="0" numFmtId="160" xfId="3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Goed" xfId="3" builtinId="26"/>
    <cellStyle name="Kop 1" xfId="4" builtinId="16"/>
    <cellStyle name="Neutraal" xfId="5" builtinId="28"/>
    <cellStyle name="Ongeldig" xfId="6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I12" activeCellId="0" sqref="I12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5"/>
      <c r="C3" s="6"/>
      <c r="D3" s="4" t="s">
        <v>2</v>
      </c>
      <c r="E3" s="7"/>
      <c r="F3" s="5"/>
    </row>
    <row r="4" ht="15" customHeight="1">
      <c r="A4" s="8" t="s">
        <v>3</v>
      </c>
      <c r="B4" s="9" t="s">
        <v>4</v>
      </c>
      <c r="C4" s="10"/>
      <c r="D4" s="8" t="s">
        <v>5</v>
      </c>
      <c r="E4" s="11" t="s">
        <v>6</v>
      </c>
      <c r="F4" s="6" t="s">
        <v>7</v>
      </c>
    </row>
    <row r="5">
      <c r="A5" s="12" t="s">
        <v>8</v>
      </c>
      <c r="B5" s="13">
        <v>1</v>
      </c>
      <c r="C5" s="13"/>
      <c r="D5" s="12"/>
      <c r="E5" s="11" t="s">
        <v>9</v>
      </c>
      <c r="F5" s="6" t="s">
        <v>10</v>
      </c>
    </row>
    <row r="6">
      <c r="A6" s="12" t="s">
        <v>11</v>
      </c>
      <c r="B6" s="14">
        <v>26803</v>
      </c>
      <c r="C6" s="14"/>
      <c r="D6" s="12"/>
      <c r="E6" s="11"/>
      <c r="F6" s="6" t="s">
        <v>12</v>
      </c>
    </row>
    <row r="7" ht="28.5">
      <c r="A7" s="15" t="s">
        <v>13</v>
      </c>
      <c r="B7" s="16">
        <f ca="1">(YEAR(NOW())-YEAR(B6))</f>
        <v>49</v>
      </c>
      <c r="C7" s="12"/>
      <c r="D7" s="12" t="s">
        <v>14</v>
      </c>
      <c r="E7" s="17" t="s">
        <v>15</v>
      </c>
      <c r="F7" s="6" t="s">
        <v>16</v>
      </c>
    </row>
    <row r="8" ht="28.5">
      <c r="B8" s="18"/>
      <c r="C8" s="6"/>
      <c r="D8" s="12" t="s">
        <v>17</v>
      </c>
      <c r="E8" s="17" t="s">
        <v>18</v>
      </c>
      <c r="F8" s="6" t="s">
        <v>19</v>
      </c>
    </row>
    <row r="9">
      <c r="C9" s="6"/>
      <c r="D9" s="12" t="s">
        <v>20</v>
      </c>
      <c r="E9" s="19"/>
      <c r="F9" s="6" t="s">
        <v>21</v>
      </c>
    </row>
    <row r="10" ht="15">
      <c r="C10" s="6"/>
      <c r="D10" s="20" t="s">
        <v>22</v>
      </c>
      <c r="E10" s="21"/>
      <c r="F10" s="22" t="s">
        <v>23</v>
      </c>
    </row>
    <row r="11" ht="15">
      <c r="C11" s="6"/>
      <c r="D11" s="23" t="s">
        <v>24</v>
      </c>
      <c r="E11" s="24" t="s">
        <v>25</v>
      </c>
      <c r="F11" s="25"/>
    </row>
    <row r="12">
      <c r="C12" s="6"/>
      <c r="D12" s="26"/>
      <c r="E12" s="27"/>
      <c r="F12" s="28"/>
    </row>
    <row r="13" ht="15">
      <c r="C13" s="6"/>
      <c r="D13" s="29"/>
      <c r="E13" s="30"/>
      <c r="F13" s="31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4" workbookViewId="0" zoomScale="100">
      <selection activeCell="L24" activeCellId="0" sqref="L24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1" t="s">
        <v>26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T2A_10</v>
      </c>
    </row>
    <row r="5">
      <c r="A5" s="12" t="s">
        <v>8</v>
      </c>
      <c r="B5" s="13">
        <f>'Algemene informatie'!B5</f>
        <v>1</v>
      </c>
    </row>
    <row r="6" ht="15">
      <c r="A6" s="20" t="s">
        <v>11</v>
      </c>
      <c r="B6" s="32">
        <f>'Algemene informatie'!B6</f>
        <v>26803</v>
      </c>
    </row>
    <row r="7" ht="15.6"/>
    <row r="8" ht="15.6">
      <c r="A8" s="4" t="s">
        <v>27</v>
      </c>
      <c r="B8" s="5"/>
    </row>
    <row r="9" ht="15">
      <c r="A9" s="12" t="s">
        <v>28</v>
      </c>
      <c r="B9" s="14">
        <v>44877</v>
      </c>
    </row>
    <row r="10">
      <c r="A10" s="12" t="s">
        <v>29</v>
      </c>
      <c r="B10" s="14" t="s">
        <v>30</v>
      </c>
    </row>
    <row r="11" ht="15">
      <c r="A11" s="20" t="s">
        <v>31</v>
      </c>
      <c r="B11" s="33">
        <v>0.45833333333333331</v>
      </c>
    </row>
    <row r="12" ht="15.6"/>
    <row r="13" ht="15.6">
      <c r="A13" s="34" t="s">
        <v>32</v>
      </c>
      <c r="B13" s="35"/>
      <c r="C13" s="35"/>
      <c r="D13" s="35"/>
      <c r="E13" s="36"/>
      <c r="F13" s="37" t="s">
        <v>33</v>
      </c>
      <c r="G13" s="38"/>
      <c r="H13" s="39" t="s">
        <v>34</v>
      </c>
      <c r="I13" s="40"/>
    </row>
    <row r="14" ht="15.6">
      <c r="A14" s="41"/>
      <c r="B14" s="7" t="s">
        <v>35</v>
      </c>
      <c r="C14" s="7" t="s">
        <v>36</v>
      </c>
      <c r="D14" s="7" t="s">
        <v>37</v>
      </c>
      <c r="E14" s="42" t="s">
        <v>38</v>
      </c>
      <c r="F14" s="43"/>
      <c r="G14" s="44"/>
      <c r="H14" s="45"/>
      <c r="I14" s="40"/>
    </row>
    <row r="15" ht="15">
      <c r="A15" s="46" t="s">
        <v>39</v>
      </c>
      <c r="B15" s="47">
        <v>96.069999999999993</v>
      </c>
      <c r="C15" s="48">
        <v>96.079999999999998</v>
      </c>
      <c r="D15" s="49"/>
      <c r="E15" s="6" t="s">
        <v>40</v>
      </c>
      <c r="F15" s="50">
        <f t="shared" ref="F15:F32" si="0">+(C15-B15)/B15</f>
        <v>0.00010409076714900715</v>
      </c>
      <c r="G15" s="6" t="str">
        <f t="shared" ref="G15:G27" si="1">IF(ABS(F15)&gt;1%,"Yes","No")</f>
        <v>No</v>
      </c>
      <c r="H15" s="51">
        <f t="shared" ref="H15:H32" si="2">IF(D15=0,AVERAGE(B15,C15),MEDIAN(B15:D15))</f>
        <v>96.074999999999989</v>
      </c>
    </row>
    <row r="16">
      <c r="A16" s="52" t="s">
        <v>41</v>
      </c>
      <c r="B16" s="53">
        <v>177.19999999999999</v>
      </c>
      <c r="C16" s="54">
        <v>177.40000000000001</v>
      </c>
      <c r="D16" s="55"/>
      <c r="E16" s="6" t="s">
        <v>42</v>
      </c>
      <c r="F16" s="50">
        <f t="shared" si="0"/>
        <v>0.0011286681715576585</v>
      </c>
      <c r="G16" s="6" t="str">
        <f t="shared" si="1"/>
        <v>No</v>
      </c>
      <c r="H16" s="51">
        <f t="shared" si="2"/>
        <v>177.30000000000001</v>
      </c>
    </row>
    <row r="17">
      <c r="A17" s="56"/>
      <c r="B17" s="57"/>
      <c r="C17" s="58"/>
      <c r="D17" s="59"/>
      <c r="E17" s="60"/>
      <c r="F17" s="61"/>
      <c r="G17" s="60"/>
      <c r="H17" s="62"/>
    </row>
    <row r="18">
      <c r="A18" s="63" t="s">
        <v>43</v>
      </c>
      <c r="B18" s="53">
        <v>10.199999999999999</v>
      </c>
      <c r="C18" s="54">
        <v>11.1</v>
      </c>
      <c r="D18" s="55">
        <v>10.5</v>
      </c>
      <c r="E18" s="6" t="s">
        <v>44</v>
      </c>
      <c r="F18" s="50">
        <f t="shared" si="0"/>
        <v>0.088235294117647106</v>
      </c>
      <c r="G18" s="6" t="str">
        <f t="shared" ref="G18:G21" si="3">IF(ABS(F18)&gt;5%,"Yes","No")</f>
        <v>Yes</v>
      </c>
      <c r="H18" s="51">
        <f t="shared" si="2"/>
        <v>10.5</v>
      </c>
      <c r="I18" s="64" t="s">
        <v>45</v>
      </c>
      <c r="J18" s="65"/>
      <c r="K18" s="66"/>
      <c r="L18" s="67">
        <v>33.600000000000001</v>
      </c>
      <c r="M18" s="67" t="s">
        <v>42</v>
      </c>
    </row>
    <row r="19">
      <c r="A19" s="68" t="s">
        <v>46</v>
      </c>
      <c r="B19" s="53">
        <v>28.199999999999999</v>
      </c>
      <c r="C19" s="54">
        <v>28</v>
      </c>
      <c r="D19" s="55"/>
      <c r="E19" s="6" t="s">
        <v>44</v>
      </c>
      <c r="F19" s="50">
        <f t="shared" si="0"/>
        <v>-0.0070921985815602584</v>
      </c>
      <c r="G19" s="6" t="str">
        <f t="shared" si="3"/>
        <v>No</v>
      </c>
      <c r="H19" s="51">
        <f t="shared" si="2"/>
        <v>28.100000000000001</v>
      </c>
      <c r="I19" s="64" t="s">
        <v>47</v>
      </c>
      <c r="J19" s="65"/>
      <c r="K19" s="65"/>
      <c r="L19" s="67">
        <f>L18/2</f>
        <v>16.800000000000001</v>
      </c>
      <c r="M19" s="67" t="s">
        <v>42</v>
      </c>
    </row>
    <row r="20">
      <c r="A20" s="63" t="s">
        <v>48</v>
      </c>
      <c r="B20" s="53">
        <v>22.399999999999999</v>
      </c>
      <c r="C20" s="54">
        <v>22.600000000000001</v>
      </c>
      <c r="D20" s="55"/>
      <c r="E20" s="6" t="s">
        <v>44</v>
      </c>
      <c r="F20" s="50">
        <f t="shared" si="0"/>
        <v>0.0089285714285715564</v>
      </c>
      <c r="G20" s="6" t="str">
        <f t="shared" si="3"/>
        <v>No</v>
      </c>
      <c r="H20" s="51">
        <f t="shared" si="2"/>
        <v>22.5</v>
      </c>
    </row>
    <row r="21">
      <c r="A21" s="63" t="s">
        <v>49</v>
      </c>
      <c r="B21" s="53">
        <v>37.399999999999999</v>
      </c>
      <c r="C21" s="54">
        <v>36.799999999999997</v>
      </c>
      <c r="D21" s="55"/>
      <c r="E21" s="6" t="s">
        <v>44</v>
      </c>
      <c r="F21" s="50">
        <f t="shared" si="0"/>
        <v>-0.016042780748663141</v>
      </c>
      <c r="G21" s="6" t="str">
        <f t="shared" si="3"/>
        <v>No</v>
      </c>
      <c r="H21" s="51">
        <f t="shared" si="2"/>
        <v>37.099999999999994</v>
      </c>
    </row>
    <row r="22">
      <c r="A22" s="69"/>
      <c r="B22" s="57"/>
      <c r="C22" s="58"/>
      <c r="D22" s="59"/>
      <c r="E22" s="60"/>
      <c r="F22" s="61"/>
      <c r="G22" s="60"/>
      <c r="H22" s="62"/>
    </row>
    <row r="23">
      <c r="A23" s="63" t="s">
        <v>50</v>
      </c>
      <c r="B23" s="53">
        <v>36.100000000000001</v>
      </c>
      <c r="C23" s="54">
        <v>36.100000000000001</v>
      </c>
      <c r="D23" s="55"/>
      <c r="E23" s="6" t="s">
        <v>42</v>
      </c>
      <c r="F23" s="50">
        <f t="shared" si="0"/>
        <v>0</v>
      </c>
      <c r="G23" s="6" t="str">
        <f t="shared" si="1"/>
        <v>No</v>
      </c>
      <c r="H23" s="51">
        <f t="shared" si="2"/>
        <v>36.100000000000001</v>
      </c>
      <c r="I23" s="64" t="s">
        <v>51</v>
      </c>
      <c r="J23" s="65"/>
      <c r="K23" s="65"/>
      <c r="L23" s="70">
        <f>B23-(B23/2)</f>
        <v>18.050000000000001</v>
      </c>
      <c r="M23" s="71" t="s">
        <v>42</v>
      </c>
    </row>
    <row r="24">
      <c r="A24" s="72" t="s">
        <v>52</v>
      </c>
      <c r="B24" s="53">
        <v>58.200000000000003</v>
      </c>
      <c r="C24" s="54">
        <v>58.200000000000003</v>
      </c>
      <c r="D24" s="55"/>
      <c r="E24" s="6" t="s">
        <v>42</v>
      </c>
      <c r="F24" s="50">
        <f t="shared" si="0"/>
        <v>0</v>
      </c>
      <c r="G24" s="6" t="str">
        <f t="shared" si="1"/>
        <v>No</v>
      </c>
      <c r="H24" s="51">
        <f t="shared" si="2"/>
        <v>58.200000000000003</v>
      </c>
    </row>
    <row r="25">
      <c r="A25" s="69"/>
      <c r="B25" s="57"/>
      <c r="C25" s="58"/>
      <c r="D25" s="59"/>
      <c r="E25" s="60"/>
      <c r="F25" s="61"/>
      <c r="G25" s="60"/>
      <c r="H25" s="62"/>
    </row>
    <row r="26">
      <c r="A26" s="72" t="s">
        <v>53</v>
      </c>
      <c r="B26" s="53">
        <v>42</v>
      </c>
      <c r="C26" s="54">
        <v>42</v>
      </c>
      <c r="D26" s="55"/>
      <c r="E26" s="6" t="s">
        <v>42</v>
      </c>
      <c r="F26" s="50">
        <f t="shared" si="0"/>
        <v>0</v>
      </c>
      <c r="G26" s="6" t="str">
        <f t="shared" si="1"/>
        <v>No</v>
      </c>
      <c r="H26" s="51">
        <f t="shared" si="2"/>
        <v>42</v>
      </c>
    </row>
    <row r="27">
      <c r="A27" s="68" t="s">
        <v>54</v>
      </c>
      <c r="B27" s="73">
        <v>38</v>
      </c>
      <c r="C27" s="74">
        <v>37.299999999999997</v>
      </c>
      <c r="D27" s="75">
        <v>37.399999999999999</v>
      </c>
      <c r="E27" s="6" t="s">
        <v>42</v>
      </c>
      <c r="F27" s="50">
        <f t="shared" si="0"/>
        <v>-0.018421052631579022</v>
      </c>
      <c r="G27" s="6" t="str">
        <f t="shared" si="1"/>
        <v>Yes</v>
      </c>
      <c r="H27" s="51">
        <f t="shared" si="2"/>
        <v>37.399999999999999</v>
      </c>
    </row>
    <row r="28">
      <c r="A28" s="76"/>
      <c r="B28" s="77"/>
      <c r="C28" s="78"/>
      <c r="D28" s="79"/>
      <c r="E28" s="60"/>
      <c r="F28" s="61"/>
      <c r="G28" s="60"/>
      <c r="H28" s="62"/>
      <c r="J28" s="50"/>
    </row>
    <row r="29">
      <c r="A29" s="63" t="s">
        <v>55</v>
      </c>
      <c r="B29" s="53"/>
      <c r="C29" s="80"/>
      <c r="D29" s="81"/>
      <c r="E29" s="6" t="s">
        <v>44</v>
      </c>
      <c r="F29" s="50" t="e">
        <f t="shared" si="0"/>
        <v>#DIV/0!</v>
      </c>
      <c r="G29" s="6" t="e">
        <f t="shared" ref="G29:G32" si="4">IF(ABS(F29)&gt;5%,"Yes","No")</f>
        <v>#DIV/0!</v>
      </c>
      <c r="H29" s="51" t="e">
        <f t="shared" si="2"/>
        <v>#DIV/0!</v>
      </c>
      <c r="I29" s="82" t="s">
        <v>56</v>
      </c>
      <c r="J29" s="83"/>
      <c r="K29" s="67" t="str">
        <f>B4&amp;"_Biceps"</f>
        <v>T2A_10_Biceps</v>
      </c>
    </row>
    <row r="30">
      <c r="A30" s="68" t="s">
        <v>57</v>
      </c>
      <c r="B30" s="53"/>
      <c r="C30" s="80"/>
      <c r="D30" s="81"/>
      <c r="E30" s="6" t="s">
        <v>44</v>
      </c>
      <c r="F30" s="50" t="e">
        <f t="shared" si="0"/>
        <v>#DIV/0!</v>
      </c>
      <c r="G30" s="6" t="e">
        <f t="shared" si="4"/>
        <v>#DIV/0!</v>
      </c>
      <c r="H30" s="51" t="e">
        <f t="shared" si="2"/>
        <v>#DIV/0!</v>
      </c>
      <c r="I30" s="82" t="s">
        <v>56</v>
      </c>
      <c r="J30" s="83"/>
      <c r="K30" s="67" t="str">
        <f>B4&amp;"_Triceps"</f>
        <v>T2A_10_Triceps</v>
      </c>
    </row>
    <row r="31">
      <c r="A31" s="63" t="s">
        <v>58</v>
      </c>
      <c r="B31" s="53"/>
      <c r="C31" s="80"/>
      <c r="D31" s="81"/>
      <c r="E31" s="6" t="s">
        <v>44</v>
      </c>
      <c r="F31" s="50" t="e">
        <f t="shared" si="0"/>
        <v>#DIV/0!</v>
      </c>
      <c r="G31" s="6" t="e">
        <f t="shared" si="4"/>
        <v>#DIV/0!</v>
      </c>
      <c r="H31" s="51" t="e">
        <f t="shared" si="2"/>
        <v>#DIV/0!</v>
      </c>
      <c r="I31" s="82" t="s">
        <v>56</v>
      </c>
      <c r="J31" s="83"/>
      <c r="K31" s="67" t="str">
        <f>B4&amp;"_Subscapular"</f>
        <v>T2A_10_Subscapular</v>
      </c>
    </row>
    <row r="32" ht="15">
      <c r="A32" s="84" t="s">
        <v>59</v>
      </c>
      <c r="B32" s="85"/>
      <c r="C32" s="86"/>
      <c r="D32" s="87"/>
      <c r="E32" s="22" t="s">
        <v>44</v>
      </c>
      <c r="F32" s="3" t="e">
        <f t="shared" si="0"/>
        <v>#DIV/0!</v>
      </c>
      <c r="G32" s="22" t="e">
        <f t="shared" si="4"/>
        <v>#DIV/0!</v>
      </c>
      <c r="H32" s="88" t="e">
        <f t="shared" si="2"/>
        <v>#DIV/0!</v>
      </c>
      <c r="I32" s="82" t="s">
        <v>56</v>
      </c>
      <c r="J32" s="83"/>
      <c r="K32" s="67" t="str">
        <f>B4&amp;"_Iliac"</f>
        <v>T2A_10_Iliac</v>
      </c>
    </row>
    <row r="33" ht="15.6">
      <c r="A33" s="89"/>
      <c r="B33" s="18"/>
      <c r="C33" s="18"/>
      <c r="D33" s="50"/>
      <c r="E33" s="50"/>
      <c r="F33" s="50"/>
      <c r="G33" s="90" t="s">
        <v>60</v>
      </c>
      <c r="H33" s="91">
        <f>SUM(H18:H21)</f>
        <v>98.199999999999989</v>
      </c>
    </row>
    <row r="34" ht="15.6">
      <c r="A34" s="4" t="s">
        <v>61</v>
      </c>
      <c r="B34" s="7"/>
      <c r="C34" s="7"/>
      <c r="D34" s="5"/>
      <c r="E34" s="92"/>
      <c r="F34" s="50"/>
      <c r="G34" s="18"/>
      <c r="H34" s="50"/>
    </row>
    <row r="35" ht="15.6">
      <c r="A35" s="34" t="s">
        <v>62</v>
      </c>
      <c r="B35" s="35"/>
      <c r="C35" s="35"/>
      <c r="D35" s="36"/>
      <c r="E35" s="50"/>
      <c r="F35" s="50"/>
      <c r="G35" s="50"/>
      <c r="H35" s="50"/>
    </row>
    <row r="36" ht="15.6">
      <c r="A36" s="93" t="s">
        <v>63</v>
      </c>
      <c r="B36" s="94" t="s">
        <v>64</v>
      </c>
      <c r="C36" s="93" t="s">
        <v>65</v>
      </c>
      <c r="D36" s="95"/>
      <c r="E36" s="82" t="s">
        <v>66</v>
      </c>
      <c r="F36" s="83"/>
      <c r="G36" s="96">
        <f ca="1">'Algemene informatie'!B7</f>
        <v>49</v>
      </c>
      <c r="H36" s="50" t="s">
        <v>23</v>
      </c>
    </row>
    <row r="37" ht="15">
      <c r="A37" s="12" t="s">
        <v>67</v>
      </c>
      <c r="B37" s="6">
        <f>(495/(1.1533-(0.0643*LOG(H33))))-450</f>
        <v>32.82921234888147</v>
      </c>
      <c r="C37" s="6">
        <f>(495/(1.1369-(0.0598*LOG(H33))))-450</f>
        <v>36.356600341192348</v>
      </c>
      <c r="D37" s="6" t="s">
        <v>68</v>
      </c>
      <c r="E37" s="50"/>
      <c r="F37" s="50"/>
      <c r="G37" s="50"/>
      <c r="H37" s="50"/>
    </row>
    <row r="38">
      <c r="A38" s="12" t="s">
        <v>69</v>
      </c>
      <c r="B38" s="6">
        <f>(495/(1.162-(0.063*LOG(H33))))-450</f>
        <v>27.570134147050396</v>
      </c>
      <c r="C38" s="6">
        <f>(495/(1.1549-(0.0678*LOG(H33))))-450</f>
        <v>35.372709420750709</v>
      </c>
      <c r="D38" s="6" t="s">
        <v>68</v>
      </c>
      <c r="E38" s="50"/>
      <c r="F38" s="50"/>
      <c r="G38" s="50"/>
      <c r="H38" s="50"/>
    </row>
    <row r="39">
      <c r="A39" s="12" t="s">
        <v>70</v>
      </c>
      <c r="B39" s="6">
        <f>(495/(1.1631-(0.0632*LOG(H33))))-450</f>
        <v>27.247098064723502</v>
      </c>
      <c r="C39" s="6">
        <f>(495/(1.1599-(0.0717*LOG(H33))))-450</f>
        <v>36.694267234414326</v>
      </c>
      <c r="D39" s="6" t="s">
        <v>68</v>
      </c>
      <c r="E39" s="50"/>
      <c r="F39" s="50"/>
      <c r="G39" s="50"/>
      <c r="H39" s="50"/>
      <c r="J39" s="50"/>
      <c r="K39" s="50"/>
    </row>
    <row r="40">
      <c r="A40" s="12" t="s">
        <v>71</v>
      </c>
      <c r="B40" s="6">
        <f>(495/(1.1422-(0.0544*LOG(H33))))-450</f>
        <v>28.802524722008229</v>
      </c>
      <c r="C40" s="6">
        <f>(495/(1.1423-(0.0632*LOG(H33))))-450</f>
        <v>37.013679885363331</v>
      </c>
      <c r="D40" s="6" t="s">
        <v>68</v>
      </c>
      <c r="E40" s="50"/>
      <c r="F40" s="50"/>
      <c r="G40" s="50"/>
      <c r="H40" s="50"/>
      <c r="J40" s="97"/>
      <c r="K40" s="97"/>
    </row>
    <row r="41">
      <c r="A41" s="12" t="s">
        <v>72</v>
      </c>
      <c r="B41" s="6">
        <f>(495/(1.162-(0.07*LOG(H33))))-450</f>
        <v>34.082868343117696</v>
      </c>
      <c r="C41" s="6">
        <f>(495/(1.1333-(0.0612*LOG(H33))))-450</f>
        <v>39.428939549486756</v>
      </c>
      <c r="D41" s="6" t="s">
        <v>68</v>
      </c>
      <c r="E41" s="50"/>
      <c r="F41" s="50"/>
      <c r="G41" s="50"/>
      <c r="H41" s="50"/>
      <c r="J41" s="97"/>
      <c r="K41" s="97"/>
    </row>
    <row r="42" ht="15">
      <c r="A42" s="20" t="s">
        <v>73</v>
      </c>
      <c r="B42" s="22">
        <f>(495/(1.1715-(0.0779*LOG(H33))))-450</f>
        <v>37.053950961838211</v>
      </c>
      <c r="C42" s="22">
        <f>(495/(1.1339-(0.0645*LOG(H33))))-450</f>
        <v>42.337042952463662</v>
      </c>
      <c r="D42" s="22" t="s">
        <v>68</v>
      </c>
      <c r="E42" s="50"/>
      <c r="F42" s="50"/>
      <c r="G42" s="50"/>
      <c r="H42" s="50"/>
    </row>
    <row r="43" ht="15.6">
      <c r="A43" s="50"/>
      <c r="B43" s="50"/>
      <c r="C43" s="50"/>
      <c r="D43" s="50"/>
      <c r="E43" s="50"/>
      <c r="F43" s="50"/>
      <c r="G43" s="50"/>
      <c r="H43" s="50"/>
    </row>
    <row r="44" ht="15.6">
      <c r="A44" s="4" t="s">
        <v>74</v>
      </c>
      <c r="B44" s="5"/>
      <c r="D44" s="50"/>
      <c r="E44" s="50"/>
      <c r="F44" s="50"/>
      <c r="G44" s="50"/>
      <c r="H44" s="50"/>
    </row>
    <row r="45" ht="15">
      <c r="A45" s="12" t="s">
        <v>75</v>
      </c>
      <c r="B45" s="98" t="str">
        <f>B4&amp;"_PRE_Biceps"</f>
        <v>T2A_10_PRE_Biceps</v>
      </c>
      <c r="D45" s="50"/>
      <c r="E45" s="50"/>
      <c r="F45" s="50"/>
      <c r="G45" s="50"/>
      <c r="H45" s="50"/>
    </row>
    <row r="46">
      <c r="A46" s="12"/>
      <c r="B46" s="99" t="str">
        <f>B4&amp;"_PRE_Triceps"</f>
        <v>T2A_10_PRE_Triceps</v>
      </c>
      <c r="D46" s="50"/>
      <c r="E46" s="50"/>
      <c r="F46" s="50"/>
      <c r="G46" s="50"/>
      <c r="H46" s="50"/>
    </row>
    <row r="47">
      <c r="A47" s="12"/>
      <c r="B47" s="99" t="str">
        <f>B4&amp;"_PRE_Subscapula"</f>
        <v>T2A_10_PRE_Subscapula</v>
      </c>
      <c r="D47" s="50"/>
      <c r="E47" s="50"/>
      <c r="F47" s="50"/>
      <c r="G47" s="50"/>
      <c r="H47" s="50"/>
    </row>
    <row r="48" ht="15">
      <c r="A48" s="20"/>
      <c r="B48" s="100" t="str">
        <f>B4&amp;"_PRE_Crista"</f>
        <v>T2A_10_PRE_Crista</v>
      </c>
      <c r="C48" s="50"/>
      <c r="D48" s="50"/>
      <c r="E48" s="50"/>
      <c r="F48" s="50"/>
      <c r="G48" s="50"/>
      <c r="H48" s="50"/>
    </row>
    <row r="49" ht="15.6"/>
    <row r="50" ht="15.6">
      <c r="A50" s="4" t="s">
        <v>76</v>
      </c>
      <c r="B50" s="7"/>
      <c r="C50" s="5"/>
    </row>
    <row r="51" ht="15">
      <c r="A51" s="24"/>
      <c r="B51" s="101"/>
      <c r="C51" s="25"/>
    </row>
    <row r="52">
      <c r="A52" s="27"/>
      <c r="B52" s="102"/>
      <c r="C52" s="28"/>
    </row>
    <row r="53">
      <c r="A53" s="27"/>
      <c r="B53" s="102"/>
      <c r="C53" s="28"/>
    </row>
    <row r="54">
      <c r="A54" s="27"/>
      <c r="B54" s="102"/>
      <c r="C54" s="28"/>
    </row>
    <row r="55" ht="15">
      <c r="A55" s="30"/>
      <c r="B55" s="103"/>
      <c r="C55" s="31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0" workbookViewId="0" zoomScale="100">
      <selection activeCell="E17" activeCellId="0" sqref="E17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1" t="s">
        <v>77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4" t="str">
        <f>'Algemene informatie'!B4</f>
        <v>T2A_10</v>
      </c>
      <c r="C4" s="105"/>
    </row>
    <row r="5" ht="28.5">
      <c r="A5" s="106" t="s">
        <v>8</v>
      </c>
      <c r="B5" s="107">
        <f>'Algemene informatie'!B5</f>
        <v>1</v>
      </c>
      <c r="C5" s="6"/>
    </row>
    <row r="6">
      <c r="A6" s="12" t="s">
        <v>11</v>
      </c>
      <c r="B6" s="108">
        <f>'Algemene informatie'!B6</f>
        <v>26803</v>
      </c>
      <c r="C6" s="6"/>
    </row>
    <row r="7">
      <c r="A7" s="92" t="s">
        <v>78</v>
      </c>
      <c r="B7" s="109">
        <f>'1A. Antropometrie'!H16</f>
        <v>177.30000000000001</v>
      </c>
      <c r="C7" s="6" t="s">
        <v>42</v>
      </c>
    </row>
    <row r="8" ht="15">
      <c r="A8" s="15" t="s">
        <v>79</v>
      </c>
      <c r="B8" s="109">
        <f>'1A. Antropometrie'!H15</f>
        <v>96.074999999999989</v>
      </c>
      <c r="C8" s="22" t="s">
        <v>40</v>
      </c>
    </row>
    <row r="9" ht="15.6">
      <c r="A9" s="50"/>
      <c r="B9" s="110"/>
      <c r="C9" s="94"/>
    </row>
    <row r="10" ht="15.6">
      <c r="A10" s="4" t="s">
        <v>27</v>
      </c>
      <c r="B10" s="7"/>
      <c r="C10" s="5"/>
    </row>
    <row r="11" ht="15">
      <c r="A11" s="12" t="s">
        <v>28</v>
      </c>
      <c r="B11" s="111">
        <f>'1A. Antropometrie'!B9</f>
        <v>44877</v>
      </c>
      <c r="C11" s="6"/>
    </row>
    <row r="12">
      <c r="A12" s="12" t="s">
        <v>80</v>
      </c>
      <c r="B12" s="108" t="s">
        <v>30</v>
      </c>
      <c r="C12" s="6"/>
    </row>
    <row r="13">
      <c r="A13" s="12" t="s">
        <v>31</v>
      </c>
      <c r="B13" s="112">
        <v>0.47916666666666669</v>
      </c>
      <c r="C13" s="6" t="s">
        <v>81</v>
      </c>
    </row>
    <row r="14">
      <c r="A14" s="12" t="s">
        <v>82</v>
      </c>
      <c r="B14" s="19">
        <v>17.5</v>
      </c>
      <c r="C14" s="6" t="s">
        <v>83</v>
      </c>
    </row>
    <row r="15">
      <c r="A15" s="12" t="s">
        <v>84</v>
      </c>
      <c r="B15" s="19">
        <v>32</v>
      </c>
      <c r="C15" s="6" t="s">
        <v>68</v>
      </c>
    </row>
    <row r="16">
      <c r="A16" s="6" t="s">
        <v>85</v>
      </c>
      <c r="B16" s="19">
        <v>4</v>
      </c>
      <c r="C16" s="6"/>
    </row>
    <row r="17">
      <c r="A17" s="6" t="s">
        <v>86</v>
      </c>
      <c r="B17" s="19" t="s">
        <v>87</v>
      </c>
      <c r="C17" s="6"/>
    </row>
    <row r="18">
      <c r="A18" s="6" t="s">
        <v>88</v>
      </c>
      <c r="B18" s="19" t="s">
        <v>89</v>
      </c>
      <c r="C18" s="6" t="s">
        <v>90</v>
      </c>
    </row>
    <row r="19" ht="15">
      <c r="A19" s="22" t="s">
        <v>91</v>
      </c>
      <c r="B19" s="21" t="s">
        <v>89</v>
      </c>
      <c r="C19" s="22" t="s">
        <v>92</v>
      </c>
    </row>
    <row r="20" ht="15.6">
      <c r="A20" s="3"/>
      <c r="B20" s="3"/>
      <c r="C20" s="3"/>
      <c r="D20" s="3"/>
    </row>
    <row r="21" ht="15.6">
      <c r="A21" s="4" t="s">
        <v>93</v>
      </c>
      <c r="B21" s="7"/>
      <c r="C21" s="7"/>
      <c r="D21" s="5"/>
    </row>
    <row r="22" ht="15.6">
      <c r="A22" s="113" t="s">
        <v>94</v>
      </c>
      <c r="B22" s="114"/>
      <c r="C22" s="113" t="s">
        <v>95</v>
      </c>
      <c r="D22" s="114"/>
    </row>
    <row r="23" ht="15">
      <c r="A23" s="8" t="s">
        <v>96</v>
      </c>
      <c r="B23" s="6"/>
      <c r="C23" s="8" t="s">
        <v>96</v>
      </c>
      <c r="D23" s="6"/>
    </row>
    <row r="24">
      <c r="A24" s="12" t="s">
        <v>97</v>
      </c>
      <c r="B24" s="6"/>
      <c r="C24" s="12" t="s">
        <v>97</v>
      </c>
      <c r="D24" s="6"/>
    </row>
    <row r="25">
      <c r="A25" s="12" t="s">
        <v>98</v>
      </c>
      <c r="B25" s="6"/>
      <c r="C25" s="12" t="s">
        <v>98</v>
      </c>
      <c r="D25" s="6"/>
    </row>
    <row r="26">
      <c r="A26" s="12" t="s">
        <v>99</v>
      </c>
      <c r="B26" s="6"/>
      <c r="C26" s="12" t="s">
        <v>99</v>
      </c>
      <c r="D26" s="6"/>
    </row>
    <row r="27">
      <c r="A27" s="12" t="s">
        <v>100</v>
      </c>
      <c r="B27" s="6"/>
      <c r="C27" s="12"/>
      <c r="D27" s="6"/>
    </row>
    <row r="28">
      <c r="A28" s="12" t="s">
        <v>101</v>
      </c>
      <c r="B28" s="6"/>
      <c r="C28" s="12" t="s">
        <v>101</v>
      </c>
      <c r="D28" s="6"/>
    </row>
    <row r="29" ht="15">
      <c r="A29" s="20" t="s">
        <v>102</v>
      </c>
      <c r="B29" s="22"/>
      <c r="C29" s="20" t="s">
        <v>103</v>
      </c>
      <c r="D29" s="22"/>
    </row>
    <row r="30" ht="15">
      <c r="A30" s="50"/>
      <c r="B30" s="50"/>
      <c r="C30" s="50"/>
      <c r="D30" s="50"/>
    </row>
    <row r="31" ht="15"/>
    <row r="32" ht="15.6">
      <c r="A32" s="4" t="s">
        <v>104</v>
      </c>
      <c r="B32" s="7"/>
      <c r="C32" s="7"/>
      <c r="D32" s="7"/>
      <c r="E32" s="7"/>
      <c r="F32" s="7"/>
      <c r="G32" s="5"/>
    </row>
    <row r="33" ht="15.6">
      <c r="A33" s="115" t="s">
        <v>105</v>
      </c>
      <c r="B33" s="116" t="s">
        <v>106</v>
      </c>
      <c r="C33" s="116" t="s">
        <v>107</v>
      </c>
      <c r="D33" s="116" t="s">
        <v>108</v>
      </c>
      <c r="E33" s="116" t="s">
        <v>109</v>
      </c>
      <c r="F33" s="117" t="s">
        <v>110</v>
      </c>
      <c r="G33" s="118" t="s">
        <v>111</v>
      </c>
    </row>
    <row r="34" ht="15">
      <c r="A34" s="119">
        <v>0.041666666666666664</v>
      </c>
      <c r="B34" s="48">
        <v>100</v>
      </c>
      <c r="C34" s="48">
        <v>1705</v>
      </c>
      <c r="D34" s="48">
        <v>96</v>
      </c>
      <c r="E34" s="48">
        <v>0.81000000000000005</v>
      </c>
      <c r="F34" s="120">
        <v>1</v>
      </c>
      <c r="G34" s="6">
        <v>475</v>
      </c>
    </row>
    <row r="35">
      <c r="A35" s="121">
        <v>0.083333333333333329</v>
      </c>
      <c r="B35" s="54">
        <v>100</v>
      </c>
      <c r="C35" s="54">
        <v>2131</v>
      </c>
      <c r="D35" s="54">
        <v>101</v>
      </c>
      <c r="E35" s="54">
        <v>0.93000000000000005</v>
      </c>
      <c r="F35" s="54">
        <v>1</v>
      </c>
      <c r="G35" s="122">
        <v>500</v>
      </c>
    </row>
    <row r="36">
      <c r="A36" s="121">
        <v>0.125</v>
      </c>
      <c r="B36" s="54">
        <v>100</v>
      </c>
      <c r="C36" s="54">
        <v>2384</v>
      </c>
      <c r="D36" s="54">
        <v>100</v>
      </c>
      <c r="E36" s="54">
        <v>0.97999999999999998</v>
      </c>
      <c r="F36" s="54">
        <v>1</v>
      </c>
      <c r="G36" s="122">
        <v>524</v>
      </c>
    </row>
    <row r="37">
      <c r="A37" s="121">
        <v>0.16666666666666666</v>
      </c>
      <c r="B37" s="54">
        <f t="shared" ref="B37:B53" si="5">B36+25</f>
        <v>125</v>
      </c>
      <c r="C37" s="54">
        <v>2419</v>
      </c>
      <c r="D37" s="54">
        <v>104</v>
      </c>
      <c r="E37" s="54">
        <v>0.93999999999999995</v>
      </c>
      <c r="F37" s="54">
        <v>1</v>
      </c>
      <c r="G37" s="6">
        <v>531</v>
      </c>
    </row>
    <row r="38">
      <c r="A38" s="121">
        <v>0.20833333333333334</v>
      </c>
      <c r="B38" s="54">
        <f t="shared" si="5"/>
        <v>150</v>
      </c>
      <c r="C38" s="54">
        <v>2879</v>
      </c>
      <c r="D38" s="54">
        <v>108</v>
      </c>
      <c r="E38" s="54">
        <v>1</v>
      </c>
      <c r="F38" s="54">
        <v>2</v>
      </c>
      <c r="G38" s="123">
        <v>550</v>
      </c>
    </row>
    <row r="39">
      <c r="A39" s="121">
        <v>0.25</v>
      </c>
      <c r="B39" s="54">
        <f t="shared" si="5"/>
        <v>175</v>
      </c>
      <c r="C39" s="54">
        <v>2645</v>
      </c>
      <c r="D39" s="54">
        <v>115</v>
      </c>
      <c r="E39" s="54">
        <v>0.88</v>
      </c>
      <c r="F39" s="54">
        <v>2</v>
      </c>
      <c r="G39" s="122">
        <v>565</v>
      </c>
    </row>
    <row r="40">
      <c r="A40" s="121">
        <v>0.29166666666666669</v>
      </c>
      <c r="B40" s="54">
        <f t="shared" si="5"/>
        <v>200</v>
      </c>
      <c r="C40" s="54">
        <v>2643</v>
      </c>
      <c r="D40" s="54">
        <v>123</v>
      </c>
      <c r="E40" s="54">
        <v>0.97999999999999998</v>
      </c>
      <c r="F40" s="54">
        <v>2</v>
      </c>
      <c r="G40" s="6">
        <v>591</v>
      </c>
    </row>
    <row r="41">
      <c r="A41" s="121">
        <v>0.33333333333333331</v>
      </c>
      <c r="B41" s="54">
        <f t="shared" si="5"/>
        <v>225</v>
      </c>
      <c r="C41" s="54">
        <v>3179</v>
      </c>
      <c r="D41" s="54">
        <v>133</v>
      </c>
      <c r="E41" s="54">
        <v>1.04</v>
      </c>
      <c r="F41" s="54">
        <v>3</v>
      </c>
      <c r="G41" s="123">
        <v>619</v>
      </c>
    </row>
    <row r="42">
      <c r="A42" s="121">
        <v>0.375</v>
      </c>
      <c r="B42" s="54">
        <f t="shared" si="5"/>
        <v>250</v>
      </c>
      <c r="C42" s="54">
        <v>3365</v>
      </c>
      <c r="D42" s="54">
        <v>140</v>
      </c>
      <c r="E42" s="54">
        <v>1.0600000000000001</v>
      </c>
      <c r="F42" s="54">
        <v>3</v>
      </c>
      <c r="G42" s="122">
        <v>631</v>
      </c>
    </row>
    <row r="43">
      <c r="A43" s="121">
        <v>0.41666666666666669</v>
      </c>
      <c r="B43" s="54">
        <f t="shared" si="5"/>
        <v>275</v>
      </c>
      <c r="C43" s="54">
        <v>3355</v>
      </c>
      <c r="D43" s="54">
        <v>147</v>
      </c>
      <c r="E43" s="54">
        <v>1.1299999999999999</v>
      </c>
      <c r="F43" s="54">
        <v>4</v>
      </c>
      <c r="G43" s="6">
        <v>655</v>
      </c>
      <c r="K43" s="124"/>
    </row>
    <row r="44">
      <c r="A44" s="121">
        <v>0.45833333333333331</v>
      </c>
      <c r="B44" s="54">
        <f t="shared" si="5"/>
        <v>300</v>
      </c>
      <c r="C44" s="54">
        <v>4309</v>
      </c>
      <c r="D44" s="54">
        <v>154</v>
      </c>
      <c r="E44" s="54">
        <v>1.1299999999999999</v>
      </c>
      <c r="F44" s="54">
        <v>5</v>
      </c>
      <c r="G44" s="123">
        <v>672</v>
      </c>
    </row>
    <row r="45">
      <c r="A45" s="121">
        <v>0.5</v>
      </c>
      <c r="B45" s="54">
        <f t="shared" si="5"/>
        <v>325</v>
      </c>
      <c r="C45" s="54">
        <v>3946</v>
      </c>
      <c r="D45" s="54">
        <v>162</v>
      </c>
      <c r="E45" s="54">
        <v>1.1799999999999999</v>
      </c>
      <c r="F45" s="54">
        <v>7</v>
      </c>
      <c r="G45" s="123">
        <v>700</v>
      </c>
    </row>
    <row r="46">
      <c r="A46" s="121">
        <v>0.54166666666666663</v>
      </c>
      <c r="B46" s="54">
        <f t="shared" si="5"/>
        <v>350</v>
      </c>
      <c r="C46" s="54"/>
      <c r="D46" s="54"/>
      <c r="E46" s="54"/>
      <c r="F46" s="54"/>
      <c r="G46" s="122"/>
    </row>
    <row r="47">
      <c r="A47" s="121">
        <v>0.58333333333333337</v>
      </c>
      <c r="B47" s="54">
        <f t="shared" si="5"/>
        <v>375</v>
      </c>
      <c r="C47" s="54"/>
      <c r="D47" s="54"/>
      <c r="E47" s="54"/>
      <c r="F47" s="54"/>
      <c r="G47" s="122"/>
    </row>
    <row r="48">
      <c r="A48" s="119">
        <v>0.625</v>
      </c>
      <c r="B48" s="54">
        <f t="shared" si="5"/>
        <v>400</v>
      </c>
      <c r="C48" s="48"/>
      <c r="D48" s="48"/>
      <c r="E48" s="48"/>
      <c r="F48" s="48"/>
      <c r="G48" s="122"/>
    </row>
    <row r="49">
      <c r="A49" s="121">
        <v>0.66666666666666663</v>
      </c>
      <c r="B49" s="54">
        <f t="shared" si="5"/>
        <v>425</v>
      </c>
      <c r="C49" s="54"/>
      <c r="D49" s="54"/>
      <c r="E49" s="54"/>
      <c r="F49" s="54"/>
      <c r="G49" s="122"/>
    </row>
    <row r="50">
      <c r="A50" s="121">
        <v>0.70833333333333337</v>
      </c>
      <c r="B50" s="54">
        <f t="shared" si="5"/>
        <v>450</v>
      </c>
      <c r="C50" s="125"/>
      <c r="D50" s="54"/>
      <c r="E50" s="54"/>
      <c r="F50" s="54"/>
      <c r="G50" s="126"/>
      <c r="H50" s="92"/>
    </row>
    <row r="51">
      <c r="A51" s="119">
        <v>0.75</v>
      </c>
      <c r="B51" s="54">
        <f t="shared" si="5"/>
        <v>475</v>
      </c>
      <c r="C51" s="127"/>
      <c r="D51" s="48"/>
      <c r="E51" s="48"/>
      <c r="F51" s="48"/>
      <c r="G51" s="126"/>
    </row>
    <row r="52">
      <c r="A52" s="119">
        <v>0.79166666666666663</v>
      </c>
      <c r="B52" s="54">
        <f t="shared" si="5"/>
        <v>500</v>
      </c>
      <c r="C52" s="127"/>
      <c r="D52" s="48"/>
      <c r="E52" s="48"/>
      <c r="F52" s="48"/>
      <c r="G52" s="126"/>
      <c r="H52" s="92"/>
    </row>
    <row r="53" ht="15">
      <c r="A53" s="128">
        <v>0.83333333333333337</v>
      </c>
      <c r="B53" s="129">
        <f t="shared" si="5"/>
        <v>525</v>
      </c>
      <c r="C53" s="130"/>
      <c r="D53" s="131"/>
      <c r="E53" s="131"/>
      <c r="F53" s="131"/>
      <c r="G53" s="3"/>
      <c r="H53" s="92"/>
    </row>
    <row r="54" ht="15.6">
      <c r="A54" s="132"/>
      <c r="B54" s="50"/>
      <c r="C54" s="50"/>
      <c r="D54" s="18"/>
      <c r="E54" s="50"/>
      <c r="F54" s="18"/>
      <c r="G54" s="50"/>
    </row>
    <row r="55" ht="15.6">
      <c r="A55" s="4" t="s">
        <v>112</v>
      </c>
      <c r="B55" s="7"/>
      <c r="C55" s="5"/>
      <c r="D55" s="50"/>
      <c r="E55" s="50"/>
      <c r="F55" s="50"/>
      <c r="G55" s="50"/>
    </row>
    <row r="56" ht="15.6">
      <c r="A56" t="s">
        <v>113</v>
      </c>
      <c r="B56" s="133">
        <v>4066</v>
      </c>
      <c r="C56" t="s">
        <v>114</v>
      </c>
      <c r="D56" s="50"/>
      <c r="E56" s="50"/>
      <c r="F56" s="50"/>
      <c r="G56" s="50"/>
    </row>
    <row r="57" ht="15.6">
      <c r="A57" s="134" t="s">
        <v>115</v>
      </c>
      <c r="B57" s="135">
        <f>B56/B8</f>
        <v>42.321103304709865</v>
      </c>
      <c r="C57" s="95" t="s">
        <v>116</v>
      </c>
      <c r="D57" s="50"/>
      <c r="E57" s="50"/>
      <c r="F57" s="50"/>
      <c r="G57" s="50"/>
    </row>
    <row r="58" ht="15.6">
      <c r="A58" s="136"/>
      <c r="B58" s="3"/>
      <c r="C58" s="94"/>
      <c r="D58" s="50"/>
      <c r="E58" s="50"/>
      <c r="F58" s="50"/>
    </row>
    <row r="59" ht="15.6">
      <c r="A59" s="4" t="s">
        <v>74</v>
      </c>
      <c r="B59" s="7"/>
      <c r="C59" s="5"/>
      <c r="D59" s="50"/>
      <c r="E59" s="50"/>
      <c r="F59" s="50"/>
    </row>
    <row r="60" ht="15">
      <c r="A60" s="12" t="s">
        <v>117</v>
      </c>
      <c r="B60" s="11" t="str">
        <f>B4&amp;"_VO2max_POST_STEP"</f>
        <v>T2A_10_VO2max_POST_STEP</v>
      </c>
      <c r="C60" s="6" t="s">
        <v>118</v>
      </c>
      <c r="D60" s="50"/>
      <c r="E60" s="50"/>
      <c r="F60" s="50"/>
    </row>
    <row r="61" ht="15">
      <c r="A61" s="20" t="s">
        <v>117</v>
      </c>
      <c r="B61" s="137" t="str">
        <f>B60&amp;"10sec"</f>
        <v>T2A_10_VO2max_POST_STEP10sec</v>
      </c>
      <c r="C61" s="22" t="s">
        <v>119</v>
      </c>
      <c r="D61" s="50"/>
      <c r="E61" s="50"/>
      <c r="F61" s="50"/>
    </row>
    <row r="62" ht="15.6"/>
    <row r="63" ht="15.6">
      <c r="A63" s="4" t="s">
        <v>76</v>
      </c>
      <c r="B63" s="7"/>
      <c r="C63" s="5"/>
    </row>
    <row r="64" ht="15">
      <c r="A64" s="24" t="s">
        <v>120</v>
      </c>
      <c r="B64" s="101"/>
      <c r="C64" s="25"/>
      <c r="D64" s="50"/>
    </row>
    <row r="65">
      <c r="A65" s="27"/>
      <c r="B65" s="102"/>
      <c r="C65" s="28"/>
      <c r="D65" s="50"/>
    </row>
    <row r="66">
      <c r="A66" s="27"/>
      <c r="B66" s="102"/>
      <c r="C66" s="28"/>
    </row>
    <row r="67">
      <c r="A67" s="27"/>
      <c r="B67" s="102"/>
      <c r="C67" s="28"/>
    </row>
    <row r="68" ht="15">
      <c r="A68" s="30"/>
      <c r="B68" s="103"/>
      <c r="C68" s="31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" workbookViewId="0" zoomScale="100">
      <selection activeCell="G15" activeCellId="0" sqref="G15"/>
    </sheetView>
  </sheetViews>
  <sheetFormatPr defaultRowHeight="14.25"/>
  <cols>
    <col bestFit="1" customWidth="1" min="1" max="1" width="26"/>
    <col bestFit="1" customWidth="1" min="2" max="2" width="30.88671875"/>
  </cols>
  <sheetData>
    <row r="1" ht="20.25">
      <c r="A1" s="1" t="s">
        <v>121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T2A_10</v>
      </c>
    </row>
    <row r="5">
      <c r="A5" s="12" t="s">
        <v>8</v>
      </c>
      <c r="B5" s="13">
        <f>'Algemene informatie'!B5</f>
        <v>1</v>
      </c>
    </row>
    <row r="6" ht="15">
      <c r="A6" s="20" t="s">
        <v>11</v>
      </c>
      <c r="B6" s="32">
        <f>'Algemene informatie'!B6</f>
        <v>26803</v>
      </c>
    </row>
    <row r="7" ht="15.6"/>
    <row r="8" ht="15.6">
      <c r="A8" s="4" t="s">
        <v>27</v>
      </c>
      <c r="B8" s="5"/>
    </row>
    <row r="9" ht="15">
      <c r="A9" s="12" t="s">
        <v>28</v>
      </c>
      <c r="B9" s="14" t="s">
        <v>122</v>
      </c>
    </row>
    <row r="10">
      <c r="A10" s="12" t="s">
        <v>80</v>
      </c>
      <c r="B10" s="14" t="s">
        <v>30</v>
      </c>
    </row>
    <row r="11">
      <c r="A11" s="12" t="s">
        <v>31</v>
      </c>
      <c r="B11" s="138">
        <v>0.35416666666666669</v>
      </c>
    </row>
    <row r="12">
      <c r="A12" s="12" t="s">
        <v>123</v>
      </c>
      <c r="B12" s="139"/>
      <c r="C12" t="s">
        <v>42</v>
      </c>
    </row>
    <row r="13" ht="15">
      <c r="A13" s="20" t="s">
        <v>124</v>
      </c>
      <c r="B13" s="140"/>
      <c r="C13" s="92" t="s">
        <v>42</v>
      </c>
    </row>
    <row r="14" ht="15.6">
      <c r="A14" s="94"/>
      <c r="B14" s="94"/>
    </row>
    <row r="15" ht="15.6">
      <c r="A15" s="4" t="s">
        <v>74</v>
      </c>
      <c r="B15" s="5"/>
    </row>
    <row r="16" ht="15">
      <c r="A16" s="12" t="s">
        <v>125</v>
      </c>
      <c r="B16" s="9" t="str">
        <f>B4&amp;"_POST_3D_scan1.mhd"</f>
        <v>T2A_10_POST_3D_scan1.mhd</v>
      </c>
    </row>
    <row r="17">
      <c r="A17" s="12" t="s">
        <v>126</v>
      </c>
      <c r="B17" s="9" t="str">
        <f>B4&amp;"_POST_3D_scan2.mhd"</f>
        <v>T2A_10_POST_3D_scan2.mhd</v>
      </c>
    </row>
    <row r="18" ht="15">
      <c r="A18" s="20" t="s">
        <v>127</v>
      </c>
      <c r="B18" s="141" t="str">
        <f>B4&amp;"_POST_3D_botpunten.mhd"</f>
        <v>T2A_10_POST_3D_botpunten.mhd</v>
      </c>
      <c r="C18" s="50"/>
    </row>
    <row r="19" ht="15.6">
      <c r="A19" s="18"/>
      <c r="B19" s="18"/>
      <c r="C19" s="50"/>
      <c r="D19" s="50"/>
      <c r="E19" s="50"/>
      <c r="F19" s="50"/>
      <c r="G19" s="50"/>
    </row>
    <row r="20" ht="15.6">
      <c r="A20" s="4" t="s">
        <v>76</v>
      </c>
      <c r="B20" s="7"/>
      <c r="C20" s="5"/>
    </row>
    <row r="21" ht="15">
      <c r="A21" s="24"/>
      <c r="B21" s="101"/>
      <c r="C21" s="25"/>
    </row>
    <row r="22">
      <c r="A22" s="27"/>
      <c r="B22" s="102"/>
      <c r="C22" s="28"/>
    </row>
    <row r="23">
      <c r="A23" s="27"/>
      <c r="B23" s="102"/>
      <c r="C23" s="28"/>
    </row>
    <row r="24">
      <c r="A24" s="27"/>
      <c r="B24" s="102"/>
      <c r="C24" s="28"/>
    </row>
    <row r="25" ht="15">
      <c r="A25" s="30"/>
      <c r="B25" s="103"/>
      <c r="C25" s="31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workbookViewId="0" zoomScale="100">
      <selection activeCell="F26" activeCellId="0" sqref="F26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1" t="s">
        <v>128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T2A_10</v>
      </c>
      <c r="C4" s="105"/>
    </row>
    <row r="5">
      <c r="A5" s="12" t="s">
        <v>8</v>
      </c>
      <c r="B5" s="142">
        <f>'Algemene informatie'!B5</f>
        <v>1</v>
      </c>
      <c r="C5" s="6"/>
    </row>
    <row r="6">
      <c r="A6" s="12" t="s">
        <v>11</v>
      </c>
      <c r="B6" s="108">
        <f>'Algemene informatie'!B6</f>
        <v>26803</v>
      </c>
      <c r="C6" s="6"/>
    </row>
    <row r="7">
      <c r="A7" s="12" t="s">
        <v>79</v>
      </c>
      <c r="B7" s="19">
        <f>'1A. Antropometrie'!H15</f>
        <v>96.074999999999989</v>
      </c>
      <c r="C7" s="6" t="s">
        <v>40</v>
      </c>
    </row>
    <row r="8" ht="15">
      <c r="A8" s="20" t="s">
        <v>78</v>
      </c>
      <c r="B8" s="21">
        <f>'1A. Antropometrie'!H16</f>
        <v>177.30000000000001</v>
      </c>
      <c r="C8" s="22" t="s">
        <v>42</v>
      </c>
    </row>
    <row r="9" ht="15.6">
      <c r="C9" s="3"/>
      <c r="L9" s="143"/>
    </row>
    <row r="10" ht="15.6">
      <c r="A10" s="4" t="s">
        <v>27</v>
      </c>
      <c r="B10" s="7"/>
      <c r="C10" s="5"/>
    </row>
    <row r="11" ht="15">
      <c r="A11" s="12" t="s">
        <v>28</v>
      </c>
      <c r="B11" s="111" t="str">
        <f>'2A. 3D US'!B9</f>
        <v>13/12/2022</v>
      </c>
      <c r="C11" s="6"/>
    </row>
    <row r="12">
      <c r="A12" s="12" t="s">
        <v>80</v>
      </c>
      <c r="B12" s="108" t="s">
        <v>129</v>
      </c>
      <c r="C12" s="6"/>
    </row>
    <row r="13">
      <c r="A13" s="12" t="s">
        <v>31</v>
      </c>
      <c r="B13" s="112">
        <v>0.38541666666666669</v>
      </c>
      <c r="C13" s="6"/>
    </row>
    <row r="14">
      <c r="A14" s="12" t="s">
        <v>82</v>
      </c>
      <c r="B14" s="19">
        <v>17.100000000000001</v>
      </c>
      <c r="C14" s="6" t="s">
        <v>83</v>
      </c>
    </row>
    <row r="15">
      <c r="A15" s="12" t="s">
        <v>84</v>
      </c>
      <c r="B15" s="19">
        <v>26</v>
      </c>
      <c r="C15" s="6" t="s">
        <v>68</v>
      </c>
    </row>
    <row r="16">
      <c r="A16" s="12" t="s">
        <v>86</v>
      </c>
      <c r="B16" s="11" t="str">
        <f>'1B. VO2max'!B17</f>
        <v xml:space="preserve">LOOK grijs</v>
      </c>
      <c r="C16" s="6"/>
    </row>
    <row r="17">
      <c r="A17" s="12" t="s">
        <v>130</v>
      </c>
      <c r="B17" s="11">
        <v>8</v>
      </c>
      <c r="C17" s="6"/>
    </row>
    <row r="18">
      <c r="A18" s="12" t="s">
        <v>131</v>
      </c>
      <c r="B18" s="11" t="s">
        <v>132</v>
      </c>
      <c r="C18" s="6"/>
    </row>
    <row r="19">
      <c r="A19" s="12" t="s">
        <v>133</v>
      </c>
      <c r="B19" s="11" t="s">
        <v>134</v>
      </c>
      <c r="C19" s="6"/>
    </row>
    <row r="20" ht="15">
      <c r="A20" s="20" t="s">
        <v>135</v>
      </c>
      <c r="B20" s="144">
        <f>0.075*B7</f>
        <v>7.2056249999999986</v>
      </c>
      <c r="C20" s="22" t="s">
        <v>40</v>
      </c>
      <c r="D20" s="145" t="s">
        <v>136</v>
      </c>
      <c r="E20" s="66"/>
      <c r="F20" s="66"/>
      <c r="G20" s="66"/>
    </row>
    <row r="21" ht="15.6">
      <c r="A21" s="94"/>
      <c r="B21" s="94"/>
      <c r="C21" s="94"/>
    </row>
    <row r="22" ht="15.6">
      <c r="A22" s="4" t="s">
        <v>137</v>
      </c>
      <c r="B22" s="7"/>
      <c r="C22" s="5"/>
      <c r="D22" s="92"/>
      <c r="E22" s="50"/>
      <c r="F22" s="50"/>
    </row>
    <row r="23" ht="15.6">
      <c r="A23" s="146" t="s">
        <v>138</v>
      </c>
      <c r="B23" s="147" t="s">
        <v>139</v>
      </c>
      <c r="C23" s="147" t="s">
        <v>140</v>
      </c>
      <c r="D23" s="92"/>
    </row>
    <row r="24" ht="15">
      <c r="A24" s="148" t="s">
        <v>141</v>
      </c>
      <c r="B24" s="149" t="s">
        <v>142</v>
      </c>
      <c r="C24" s="150" t="s">
        <v>143</v>
      </c>
    </row>
    <row r="25">
      <c r="A25" s="151" t="s">
        <v>144</v>
      </c>
      <c r="B25" s="152"/>
      <c r="C25" s="153" t="s">
        <v>145</v>
      </c>
    </row>
    <row r="26">
      <c r="A26" s="151" t="s">
        <v>146</v>
      </c>
      <c r="B26" s="152"/>
      <c r="C26" s="153" t="s">
        <v>147</v>
      </c>
    </row>
    <row r="27">
      <c r="A27" s="151" t="s">
        <v>148</v>
      </c>
      <c r="B27" s="152"/>
      <c r="C27" s="153" t="s">
        <v>149</v>
      </c>
    </row>
    <row r="28">
      <c r="A28" s="154" t="s">
        <v>150</v>
      </c>
      <c r="B28" s="155"/>
      <c r="C28" s="153" t="s">
        <v>151</v>
      </c>
    </row>
    <row r="29">
      <c r="A29" s="154" t="s">
        <v>152</v>
      </c>
      <c r="B29" s="156">
        <v>0.074999999999999997</v>
      </c>
      <c r="C29" s="153" t="s">
        <v>153</v>
      </c>
    </row>
    <row r="30" ht="15">
      <c r="A30" s="157" t="s">
        <v>154</v>
      </c>
      <c r="B30" s="158" t="s">
        <v>142</v>
      </c>
      <c r="C30" s="159" t="s">
        <v>155</v>
      </c>
    </row>
    <row r="31" ht="15.6">
      <c r="A31" s="50"/>
      <c r="B31" s="160"/>
      <c r="C31" s="50"/>
    </row>
    <row r="32" ht="15.6">
      <c r="A32" s="4" t="s">
        <v>112</v>
      </c>
      <c r="B32" s="7"/>
      <c r="C32" s="5"/>
    </row>
    <row r="33" ht="15.6">
      <c r="A33" s="134" t="s">
        <v>156</v>
      </c>
      <c r="B33" s="135">
        <v>1161.75</v>
      </c>
      <c r="C33" s="95" t="s">
        <v>157</v>
      </c>
      <c r="D33" s="92"/>
    </row>
    <row r="34" ht="15.6">
      <c r="A34" s="18" t="s">
        <v>158</v>
      </c>
      <c r="B34" s="135">
        <f>B33/B7</f>
        <v>12.092115534738486</v>
      </c>
      <c r="C34" s="50" t="s">
        <v>159</v>
      </c>
      <c r="D34" s="92"/>
    </row>
    <row r="35" ht="15.6">
      <c r="A35" s="94"/>
      <c r="B35" s="94"/>
      <c r="C35" s="94"/>
    </row>
    <row r="36" ht="15.6">
      <c r="A36" s="4" t="s">
        <v>74</v>
      </c>
      <c r="B36" s="7"/>
      <c r="C36" s="5"/>
    </row>
    <row r="37" ht="15.6">
      <c r="A37" s="20" t="s">
        <v>160</v>
      </c>
      <c r="B37" s="146" t="str">
        <f>B4&amp;"_POST_Wingate"</f>
        <v>T2A_10_POST_Wingate</v>
      </c>
      <c r="C37" s="161"/>
      <c r="D37" s="92"/>
    </row>
    <row r="38" ht="15">
      <c r="C38" s="50"/>
    </row>
    <row r="39" ht="15.6">
      <c r="A39" s="4" t="s">
        <v>76</v>
      </c>
      <c r="B39" s="7"/>
      <c r="C39" s="5"/>
    </row>
    <row r="40" ht="15">
      <c r="A40" s="24"/>
      <c r="B40" s="101"/>
      <c r="C40" s="25"/>
    </row>
    <row r="41">
      <c r="A41" s="27"/>
      <c r="B41" s="102"/>
      <c r="C41" s="28"/>
    </row>
    <row r="42">
      <c r="A42" s="27"/>
      <c r="B42" s="102"/>
      <c r="C42" s="28"/>
    </row>
    <row r="43">
      <c r="A43" s="27"/>
      <c r="B43" s="102"/>
      <c r="C43" s="28"/>
    </row>
    <row r="44" ht="15">
      <c r="A44" s="30"/>
      <c r="B44" s="103"/>
      <c r="C44" s="31"/>
    </row>
    <row r="45" ht="15"/>
    <row r="47">
      <c r="A47" s="50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" workbookViewId="0" zoomScale="100">
      <selection activeCell="C29" activeCellId="0" sqref="C29"/>
    </sheetView>
  </sheetViews>
  <sheetFormatPr defaultRowHeight="14.25"/>
  <cols>
    <col bestFit="1" customWidth="1" min="1" max="2" width="26"/>
    <col customWidth="1" min="3" max="3" width="17.44140625"/>
  </cols>
  <sheetData>
    <row r="1" ht="20.25">
      <c r="A1" s="1" t="s">
        <v>161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T2A_10</v>
      </c>
      <c r="C4" s="105"/>
    </row>
    <row r="5">
      <c r="A5" s="12" t="s">
        <v>8</v>
      </c>
      <c r="B5" s="142">
        <f>'Algemene informatie'!B5</f>
        <v>1</v>
      </c>
      <c r="C5" s="6"/>
    </row>
    <row r="6">
      <c r="A6" s="12" t="s">
        <v>11</v>
      </c>
      <c r="B6" s="108">
        <f>'Algemene informatie'!B6</f>
        <v>26803</v>
      </c>
      <c r="C6" s="6"/>
    </row>
    <row r="7">
      <c r="A7" s="12" t="s">
        <v>79</v>
      </c>
      <c r="B7" s="19">
        <f>'1A. Antropometrie'!H15</f>
        <v>96.074999999999989</v>
      </c>
      <c r="C7" s="6" t="s">
        <v>40</v>
      </c>
    </row>
    <row r="8" ht="15">
      <c r="A8" s="20" t="s">
        <v>78</v>
      </c>
      <c r="B8" s="21">
        <f>'1A. Antropometrie'!H16</f>
        <v>177.30000000000001</v>
      </c>
      <c r="C8" s="22" t="s">
        <v>42</v>
      </c>
    </row>
    <row r="9" ht="15.6">
      <c r="C9" s="3"/>
    </row>
    <row r="10" ht="15.6">
      <c r="A10" s="4" t="s">
        <v>27</v>
      </c>
      <c r="B10" s="7"/>
      <c r="C10" s="5"/>
    </row>
    <row r="11" ht="15">
      <c r="A11" s="12" t="s">
        <v>28</v>
      </c>
      <c r="B11" s="111" t="s">
        <v>162</v>
      </c>
      <c r="C11" s="6"/>
    </row>
    <row r="12">
      <c r="A12" s="12" t="s">
        <v>80</v>
      </c>
      <c r="B12" s="162" t="s">
        <v>129</v>
      </c>
      <c r="C12" s="6"/>
    </row>
    <row r="13" ht="15">
      <c r="A13" s="12" t="s">
        <v>31</v>
      </c>
      <c r="B13" s="163">
        <v>0.38541666666666669</v>
      </c>
      <c r="C13" s="22" t="s">
        <v>81</v>
      </c>
    </row>
    <row r="14" ht="15.6">
      <c r="A14" s="18"/>
      <c r="B14" s="164"/>
      <c r="C14" s="50"/>
    </row>
    <row r="15" ht="15.6">
      <c r="A15" s="4" t="s">
        <v>163</v>
      </c>
      <c r="B15" s="7"/>
      <c r="C15" s="5"/>
    </row>
    <row r="16" ht="15">
      <c r="A16" s="12" t="s">
        <v>164</v>
      </c>
      <c r="B16" s="165"/>
      <c r="C16" s="6"/>
    </row>
    <row r="17">
      <c r="A17" s="166" t="s">
        <v>165</v>
      </c>
      <c r="B17" s="109"/>
      <c r="C17" s="6" t="s">
        <v>42</v>
      </c>
    </row>
    <row r="18">
      <c r="A18" s="166" t="s">
        <v>166</v>
      </c>
      <c r="B18" s="109"/>
      <c r="C18" s="6" t="s">
        <v>42</v>
      </c>
    </row>
    <row r="19">
      <c r="A19" s="166" t="s">
        <v>167</v>
      </c>
      <c r="B19" s="109"/>
      <c r="C19" s="6" t="s">
        <v>42</v>
      </c>
    </row>
    <row r="20">
      <c r="A20" s="166" t="s">
        <v>168</v>
      </c>
      <c r="B20" s="109"/>
      <c r="C20" s="6" t="s">
        <v>42</v>
      </c>
      <c r="I20" t="s">
        <v>169</v>
      </c>
    </row>
    <row r="21">
      <c r="A21" s="166" t="s">
        <v>170</v>
      </c>
      <c r="B21" s="109"/>
      <c r="C21" s="6" t="s">
        <v>42</v>
      </c>
    </row>
    <row r="22" ht="15">
      <c r="A22" s="12" t="s">
        <v>171</v>
      </c>
      <c r="B22" s="167">
        <f>MAX(B17:B21)</f>
        <v>0</v>
      </c>
      <c r="C22" s="22" t="s">
        <v>42</v>
      </c>
    </row>
    <row r="23" ht="15.6">
      <c r="A23" s="94"/>
    </row>
    <row r="24" ht="15.6">
      <c r="A24" s="4" t="s">
        <v>74</v>
      </c>
      <c r="B24" s="5"/>
      <c r="C24" s="92"/>
    </row>
    <row r="25" ht="15">
      <c r="A25" s="8" t="s">
        <v>172</v>
      </c>
      <c r="B25" s="11" t="s">
        <v>173</v>
      </c>
      <c r="C25" s="92" t="s">
        <v>174</v>
      </c>
      <c r="D25" s="66" t="s">
        <v>175</v>
      </c>
      <c r="E25" s="66"/>
      <c r="F25" s="66"/>
      <c r="G25" s="66"/>
      <c r="H25" s="66"/>
      <c r="I25" s="66"/>
      <c r="J25" s="66"/>
      <c r="K25" s="66"/>
      <c r="L25" s="66"/>
    </row>
    <row r="26">
      <c r="A26" s="12" t="s">
        <v>172</v>
      </c>
      <c r="B26" s="99" t="str">
        <f>B4&amp;"_POST_Leftfoot.DAT"</f>
        <v>T2A_10_POST_Leftfoot.DAT</v>
      </c>
      <c r="C26" s="92"/>
      <c r="D26" s="66" t="s">
        <v>175</v>
      </c>
      <c r="E26" s="66"/>
      <c r="F26" s="66"/>
      <c r="G26" s="66"/>
      <c r="H26" s="66"/>
      <c r="I26" s="66"/>
      <c r="J26" s="66"/>
      <c r="K26" s="66"/>
      <c r="L26" s="66"/>
    </row>
    <row r="27">
      <c r="A27" s="12" t="s">
        <v>176</v>
      </c>
      <c r="B27" s="99" t="s">
        <v>177</v>
      </c>
      <c r="C27" s="50" t="s">
        <v>174</v>
      </c>
      <c r="D27" s="50"/>
    </row>
    <row r="28">
      <c r="A28" s="12" t="s">
        <v>176</v>
      </c>
      <c r="B28" s="99" t="str">
        <f>B4&amp;"_POST_Rightfoot.DAT"</f>
        <v>T2A_10_POST_Rightfoot.DAT</v>
      </c>
      <c r="E28" s="50"/>
    </row>
    <row r="29" ht="15">
      <c r="A29" s="20" t="s">
        <v>178</v>
      </c>
      <c r="B29" s="11" t="str">
        <f>B4&amp;"_POST_Sprong"</f>
        <v>T2A_10_POST_Sprong</v>
      </c>
      <c r="C29" s="92"/>
    </row>
    <row r="30" ht="15.6">
      <c r="A30" s="94"/>
      <c r="B30" s="94"/>
    </row>
    <row r="31" ht="15.6">
      <c r="A31" s="4" t="s">
        <v>76</v>
      </c>
      <c r="B31" s="7"/>
      <c r="C31" s="5"/>
    </row>
    <row r="32" ht="15">
      <c r="A32" s="24" t="s">
        <v>179</v>
      </c>
      <c r="B32" s="101"/>
      <c r="C32" s="25"/>
    </row>
    <row r="33">
      <c r="A33" s="27"/>
      <c r="B33" s="102"/>
      <c r="C33" s="28"/>
    </row>
    <row r="34">
      <c r="A34" s="27"/>
      <c r="B34" s="102"/>
      <c r="C34" s="28"/>
    </row>
    <row r="35">
      <c r="A35" s="27"/>
      <c r="B35" s="102"/>
      <c r="C35" s="28"/>
    </row>
    <row r="36" ht="15">
      <c r="A36" s="30"/>
      <c r="B36" s="103"/>
      <c r="C36" s="31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6" workbookViewId="0" zoomScale="100">
      <selection activeCell="E80" activeCellId="0" sqref="E80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1" t="s">
        <v>180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4" t="str">
        <f>'Algemene informatie'!B4</f>
        <v>T2A_10</v>
      </c>
      <c r="C4" s="105"/>
    </row>
    <row r="5" ht="57.600000000000001" customHeight="1">
      <c r="A5" s="106" t="s">
        <v>8</v>
      </c>
      <c r="B5" s="107">
        <f>'Algemene informatie'!B5</f>
        <v>1</v>
      </c>
      <c r="C5" s="6"/>
    </row>
    <row r="6">
      <c r="A6" s="12" t="s">
        <v>11</v>
      </c>
      <c r="B6" s="108">
        <f>'Algemene informatie'!B6</f>
        <v>26803</v>
      </c>
      <c r="C6" s="6"/>
    </row>
    <row r="7">
      <c r="A7" s="92" t="s">
        <v>78</v>
      </c>
      <c r="B7" s="109">
        <f>'1A. Antropometrie'!H16</f>
        <v>177.30000000000001</v>
      </c>
      <c r="C7" s="6" t="s">
        <v>42</v>
      </c>
    </row>
    <row r="8" ht="15">
      <c r="A8" s="15" t="s">
        <v>79</v>
      </c>
      <c r="B8" s="109">
        <f>'1A. Antropometrie'!H15</f>
        <v>96.074999999999989</v>
      </c>
      <c r="C8" s="22" t="s">
        <v>40</v>
      </c>
    </row>
    <row r="9" ht="15.6">
      <c r="A9" s="50"/>
      <c r="B9" s="110"/>
      <c r="C9" s="94"/>
    </row>
    <row r="10" ht="15.6">
      <c r="A10" s="4" t="s">
        <v>27</v>
      </c>
      <c r="B10" s="7"/>
      <c r="C10" s="5"/>
    </row>
    <row r="11" ht="15">
      <c r="A11" s="12" t="s">
        <v>28</v>
      </c>
      <c r="B11" s="111" t="str">
        <f>'3A. Jump test'!B11</f>
        <v>15/12/2022</v>
      </c>
      <c r="C11" s="6"/>
    </row>
    <row r="12">
      <c r="A12" s="12" t="s">
        <v>80</v>
      </c>
      <c r="B12" s="108" t="s">
        <v>30</v>
      </c>
      <c r="C12" s="6"/>
    </row>
    <row r="13">
      <c r="A13" s="12" t="s">
        <v>31</v>
      </c>
      <c r="B13" s="112"/>
      <c r="C13" s="6" t="s">
        <v>81</v>
      </c>
    </row>
    <row r="14">
      <c r="A14" s="12" t="s">
        <v>82</v>
      </c>
      <c r="B14" s="19"/>
      <c r="C14" s="6" t="s">
        <v>83</v>
      </c>
    </row>
    <row r="15">
      <c r="A15" s="12" t="s">
        <v>84</v>
      </c>
      <c r="B15" s="19"/>
      <c r="C15" s="6" t="s">
        <v>68</v>
      </c>
    </row>
    <row r="16">
      <c r="A16" s="6" t="s">
        <v>85</v>
      </c>
      <c r="B16" s="19">
        <f>'1B. VO2max'!B16</f>
        <v>4</v>
      </c>
      <c r="C16" s="6"/>
    </row>
    <row r="17">
      <c r="A17" s="6" t="s">
        <v>86</v>
      </c>
      <c r="B17" s="19" t="str">
        <f>'1B. VO2max'!B17</f>
        <v xml:space="preserve">LOOK grijs</v>
      </c>
      <c r="C17" s="6"/>
    </row>
    <row r="18">
      <c r="A18" s="6" t="s">
        <v>88</v>
      </c>
      <c r="B18" s="19" t="str">
        <f>'1B. VO2max'!B18</f>
        <v>L</v>
      </c>
      <c r="C18" s="6" t="s">
        <v>90</v>
      </c>
    </row>
    <row r="19" ht="15">
      <c r="A19" s="22" t="s">
        <v>91</v>
      </c>
      <c r="B19" s="21" t="str">
        <f>'1B. VO2max'!B19</f>
        <v>L</v>
      </c>
      <c r="C19" s="22" t="s">
        <v>92</v>
      </c>
    </row>
    <row r="20" ht="15.6">
      <c r="A20" s="3"/>
      <c r="B20" s="3"/>
      <c r="C20" s="3"/>
      <c r="D20" s="3"/>
    </row>
    <row r="21" ht="15.6">
      <c r="A21" s="4" t="s">
        <v>93</v>
      </c>
      <c r="B21" s="7"/>
      <c r="C21" s="7"/>
      <c r="D21" s="5"/>
    </row>
    <row r="22" ht="15.6">
      <c r="A22" s="113" t="s">
        <v>94</v>
      </c>
      <c r="B22" s="114"/>
      <c r="C22" s="113" t="s">
        <v>95</v>
      </c>
      <c r="D22" s="114"/>
    </row>
    <row r="23" ht="15">
      <c r="A23" s="8" t="s">
        <v>96</v>
      </c>
      <c r="B23" s="6"/>
      <c r="C23" s="8" t="s">
        <v>96</v>
      </c>
      <c r="D23" s="6"/>
    </row>
    <row r="24">
      <c r="A24" s="12" t="s">
        <v>97</v>
      </c>
      <c r="B24" s="6"/>
      <c r="C24" s="12" t="s">
        <v>97</v>
      </c>
      <c r="D24" s="6"/>
    </row>
    <row r="25">
      <c r="A25" s="12" t="s">
        <v>98</v>
      </c>
      <c r="B25" s="6"/>
      <c r="C25" s="12" t="s">
        <v>98</v>
      </c>
      <c r="D25" s="6"/>
    </row>
    <row r="26">
      <c r="A26" s="12" t="s">
        <v>99</v>
      </c>
      <c r="B26" s="6"/>
      <c r="C26" s="12" t="s">
        <v>99</v>
      </c>
      <c r="D26" s="6"/>
    </row>
    <row r="27">
      <c r="A27" s="12" t="s">
        <v>100</v>
      </c>
      <c r="B27" s="6"/>
      <c r="C27" s="12"/>
      <c r="D27" s="6"/>
    </row>
    <row r="28">
      <c r="A28" s="12" t="s">
        <v>101</v>
      </c>
      <c r="B28" s="6"/>
      <c r="C28" s="12" t="s">
        <v>101</v>
      </c>
      <c r="D28" s="6"/>
    </row>
    <row r="29" ht="15">
      <c r="A29" s="20" t="s">
        <v>102</v>
      </c>
      <c r="B29" s="22"/>
      <c r="C29" s="20" t="s">
        <v>103</v>
      </c>
      <c r="D29" s="22"/>
    </row>
    <row r="30" ht="15.6"/>
    <row r="31" ht="15.6">
      <c r="A31" s="4" t="s">
        <v>181</v>
      </c>
      <c r="B31" s="7"/>
      <c r="C31" s="5"/>
    </row>
    <row r="32" ht="15">
      <c r="A32" s="12" t="s">
        <v>182</v>
      </c>
      <c r="B32" s="165">
        <v>39.600000000000001</v>
      </c>
      <c r="C32" s="6" t="s">
        <v>42</v>
      </c>
    </row>
    <row r="33">
      <c r="A33" s="12" t="s">
        <v>183</v>
      </c>
      <c r="B33" s="109">
        <f>B32*(2/3)</f>
        <v>26.399999999999999</v>
      </c>
      <c r="C33" s="6" t="s">
        <v>42</v>
      </c>
    </row>
    <row r="34">
      <c r="A34" s="12" t="s">
        <v>184</v>
      </c>
      <c r="B34" s="19">
        <v>12</v>
      </c>
      <c r="C34" s="6" t="s">
        <v>44</v>
      </c>
      <c r="D34" t="s">
        <v>185</v>
      </c>
    </row>
    <row r="35">
      <c r="A35" s="12" t="s">
        <v>186</v>
      </c>
      <c r="B35" s="19">
        <v>11.199999999999999</v>
      </c>
      <c r="C35" s="6" t="s">
        <v>44</v>
      </c>
    </row>
    <row r="36">
      <c r="A36" s="12" t="s">
        <v>187</v>
      </c>
      <c r="B36" s="19"/>
      <c r="C36" s="6" t="s">
        <v>44</v>
      </c>
    </row>
    <row r="37">
      <c r="A37" s="12" t="s">
        <v>188</v>
      </c>
      <c r="B37" s="19">
        <v>2</v>
      </c>
      <c r="C37" s="6"/>
    </row>
    <row r="38" ht="15">
      <c r="A38" s="15" t="s">
        <v>189</v>
      </c>
      <c r="B38" s="15"/>
      <c r="C38" s="3" t="s">
        <v>190</v>
      </c>
      <c r="D38" s="92"/>
    </row>
    <row r="39" ht="15.6"/>
    <row r="40" ht="15.6">
      <c r="A40" s="4" t="s">
        <v>191</v>
      </c>
      <c r="B40" s="7"/>
      <c r="C40" s="5"/>
    </row>
    <row r="41" ht="15">
      <c r="A41" s="12" t="s">
        <v>192</v>
      </c>
      <c r="B41" s="165">
        <f>(F41*0.9)/(90^2)</f>
        <v>0</v>
      </c>
      <c r="C41" s="6" t="s">
        <v>193</v>
      </c>
      <c r="D41" s="82" t="s">
        <v>194</v>
      </c>
      <c r="E41" s="83"/>
      <c r="F41" s="67"/>
      <c r="G41" s="67" t="s">
        <v>195</v>
      </c>
    </row>
    <row r="42" ht="15">
      <c r="A42" s="12" t="s">
        <v>196</v>
      </c>
      <c r="B42" s="109">
        <f>0.9*F42</f>
        <v>0</v>
      </c>
      <c r="C42" s="6" t="s">
        <v>195</v>
      </c>
      <c r="D42" s="64" t="s">
        <v>197</v>
      </c>
      <c r="E42" s="65"/>
      <c r="F42" s="67"/>
      <c r="G42" s="67" t="s">
        <v>195</v>
      </c>
    </row>
    <row r="43" ht="15.6">
      <c r="A43" s="94"/>
      <c r="B43" s="94"/>
      <c r="C43" s="18"/>
    </row>
    <row r="44" ht="15.6">
      <c r="A44" s="4" t="s">
        <v>198</v>
      </c>
      <c r="B44" s="5"/>
      <c r="C44" s="50"/>
    </row>
    <row r="45" ht="15">
      <c r="A45" s="105" t="s">
        <v>199</v>
      </c>
      <c r="B45" s="105">
        <v>46.600000000000001</v>
      </c>
      <c r="C45" s="50"/>
    </row>
    <row r="46" ht="15">
      <c r="A46" s="22" t="s">
        <v>200</v>
      </c>
      <c r="B46" s="22">
        <v>69.299999999999997</v>
      </c>
      <c r="C46" s="50"/>
    </row>
    <row r="47" ht="15.6">
      <c r="A47" s="94"/>
      <c r="B47" s="94"/>
      <c r="C47" s="3"/>
    </row>
    <row r="48" ht="15.6">
      <c r="A48" s="4" t="s">
        <v>137</v>
      </c>
      <c r="B48" s="7"/>
      <c r="C48" s="7"/>
      <c r="D48" s="7"/>
      <c r="E48" s="7"/>
      <c r="F48" s="7"/>
      <c r="G48" s="5"/>
    </row>
    <row r="49" ht="15.6">
      <c r="A49" s="115" t="s">
        <v>105</v>
      </c>
      <c r="B49" s="116" t="s">
        <v>106</v>
      </c>
      <c r="C49" s="116" t="s">
        <v>107</v>
      </c>
      <c r="D49" s="116" t="s">
        <v>108</v>
      </c>
      <c r="E49" s="116" t="s">
        <v>109</v>
      </c>
      <c r="F49" s="117" t="s">
        <v>110</v>
      </c>
      <c r="G49" s="118" t="s">
        <v>111</v>
      </c>
      <c r="J49" s="50"/>
      <c r="K49" s="50"/>
    </row>
    <row r="50" ht="15">
      <c r="A50" s="168" t="s">
        <v>201</v>
      </c>
      <c r="B50" s="169" t="s">
        <v>202</v>
      </c>
      <c r="C50" s="170"/>
      <c r="D50" s="170"/>
      <c r="E50" s="170"/>
      <c r="F50" s="170"/>
      <c r="G50" s="171"/>
      <c r="H50" s="66" t="s">
        <v>203</v>
      </c>
      <c r="I50" s="66"/>
      <c r="J50" s="66"/>
      <c r="K50" s="66"/>
      <c r="L50" s="66"/>
    </row>
    <row r="51">
      <c r="A51" s="119">
        <v>0.16666666666666666</v>
      </c>
      <c r="B51" s="48" t="s">
        <v>204</v>
      </c>
      <c r="C51" s="48">
        <v>1731</v>
      </c>
      <c r="D51" s="48">
        <v>118</v>
      </c>
      <c r="E51" s="48">
        <v>0.84999999999999998</v>
      </c>
      <c r="F51" s="48">
        <v>1</v>
      </c>
      <c r="G51" s="6">
        <v>549</v>
      </c>
      <c r="H51" s="50"/>
      <c r="I51" s="50"/>
    </row>
    <row r="52">
      <c r="A52" s="121">
        <v>0.25</v>
      </c>
      <c r="B52" s="54" t="s">
        <v>204</v>
      </c>
      <c r="C52" s="54">
        <v>2405</v>
      </c>
      <c r="D52" s="54">
        <v>119</v>
      </c>
      <c r="E52" s="54">
        <v>0.97999999999999998</v>
      </c>
      <c r="F52" s="54">
        <v>1</v>
      </c>
      <c r="G52" s="122">
        <v>552</v>
      </c>
    </row>
    <row r="53">
      <c r="A53" s="121">
        <v>0.33333333333333331</v>
      </c>
      <c r="B53" s="54" t="s">
        <v>204</v>
      </c>
      <c r="C53" s="54">
        <v>2561</v>
      </c>
      <c r="D53" s="54">
        <v>118</v>
      </c>
      <c r="E53" s="54">
        <v>0.97999999999999998</v>
      </c>
      <c r="F53" s="54">
        <v>2</v>
      </c>
      <c r="G53" s="122">
        <v>591</v>
      </c>
    </row>
    <row r="54">
      <c r="A54" s="121" t="s">
        <v>205</v>
      </c>
      <c r="B54" s="172" t="s">
        <v>206</v>
      </c>
      <c r="C54" s="173"/>
      <c r="D54" s="173"/>
      <c r="E54" s="173"/>
      <c r="F54" s="173"/>
      <c r="G54" s="174"/>
      <c r="H54" s="66" t="s">
        <v>203</v>
      </c>
      <c r="I54" s="66"/>
      <c r="J54" s="66"/>
      <c r="K54" s="66"/>
      <c r="L54" s="66"/>
    </row>
    <row r="55">
      <c r="A55" s="121">
        <v>0.66666666666666663</v>
      </c>
      <c r="B55" s="54" t="s">
        <v>204</v>
      </c>
      <c r="C55" s="54">
        <v>2114</v>
      </c>
      <c r="D55" s="54">
        <v>119</v>
      </c>
      <c r="E55" s="54">
        <v>0.95999999999999996</v>
      </c>
      <c r="F55" s="54">
        <v>2</v>
      </c>
      <c r="G55" s="123">
        <v>619</v>
      </c>
    </row>
    <row r="56">
      <c r="A56" s="121">
        <v>0.75</v>
      </c>
      <c r="B56" s="54" t="s">
        <v>204</v>
      </c>
      <c r="C56" s="54">
        <v>2476</v>
      </c>
      <c r="D56" s="54">
        <v>119</v>
      </c>
      <c r="E56" s="54">
        <v>0.90000000000000002</v>
      </c>
      <c r="F56" s="54">
        <v>2</v>
      </c>
      <c r="G56" s="122">
        <v>603</v>
      </c>
    </row>
    <row r="57">
      <c r="A57" s="175">
        <v>0.83333333333333337</v>
      </c>
      <c r="B57" s="54" t="s">
        <v>204</v>
      </c>
      <c r="C57" s="54">
        <v>2387</v>
      </c>
      <c r="D57" s="54">
        <v>119</v>
      </c>
      <c r="E57" s="54">
        <v>0.98999999999999999</v>
      </c>
      <c r="F57" s="54"/>
      <c r="G57" s="6"/>
      <c r="H57" s="66" t="s">
        <v>203</v>
      </c>
      <c r="I57" s="66"/>
      <c r="J57" s="66"/>
      <c r="K57" s="66"/>
      <c r="L57" s="66"/>
    </row>
    <row r="58" ht="15">
      <c r="A58" s="176" t="s">
        <v>207</v>
      </c>
      <c r="B58" s="177" t="s">
        <v>208</v>
      </c>
      <c r="C58" s="178"/>
      <c r="D58" s="178"/>
      <c r="E58" s="178"/>
      <c r="F58" s="178"/>
      <c r="G58" s="179"/>
      <c r="H58" s="50"/>
      <c r="I58" s="50"/>
    </row>
    <row r="59" ht="15.6">
      <c r="A59" s="180" t="s">
        <v>105</v>
      </c>
      <c r="B59" s="116" t="s">
        <v>209</v>
      </c>
      <c r="C59" s="116" t="s">
        <v>107</v>
      </c>
      <c r="D59" s="116" t="s">
        <v>108</v>
      </c>
      <c r="E59" s="116" t="s">
        <v>109</v>
      </c>
      <c r="F59" s="116" t="s">
        <v>110</v>
      </c>
      <c r="G59" s="118" t="s">
        <v>111</v>
      </c>
    </row>
    <row r="60" ht="15">
      <c r="A60" s="181" t="s">
        <v>210</v>
      </c>
      <c r="B60" s="182">
        <v>0</v>
      </c>
      <c r="C60" s="182"/>
      <c r="D60" s="182"/>
      <c r="E60" s="182"/>
      <c r="F60" s="183"/>
      <c r="G60" s="184"/>
    </row>
    <row r="61">
      <c r="A61" s="185" t="s">
        <v>211</v>
      </c>
      <c r="B61" s="186"/>
      <c r="C61" s="186"/>
      <c r="D61" s="186"/>
      <c r="E61" s="186"/>
      <c r="F61" s="80"/>
      <c r="G61" s="187"/>
    </row>
    <row r="62">
      <c r="A62" s="188" t="s">
        <v>212</v>
      </c>
      <c r="B62" s="186"/>
      <c r="C62" s="186"/>
      <c r="D62" s="186"/>
      <c r="E62" s="186"/>
      <c r="F62" s="80"/>
      <c r="G62" s="189"/>
    </row>
    <row r="63">
      <c r="A63" s="188" t="s">
        <v>213</v>
      </c>
      <c r="B63" s="186"/>
      <c r="C63" s="186"/>
      <c r="D63" s="186"/>
      <c r="E63" s="186"/>
      <c r="F63" s="80"/>
      <c r="G63" s="189"/>
    </row>
    <row r="64">
      <c r="A64" s="181" t="s">
        <v>214</v>
      </c>
      <c r="B64" s="186"/>
      <c r="C64" s="186"/>
      <c r="D64" s="186"/>
      <c r="E64" s="186"/>
      <c r="F64" s="80"/>
      <c r="G64" s="190"/>
    </row>
    <row r="65">
      <c r="A65" s="181" t="s">
        <v>215</v>
      </c>
      <c r="B65" s="186"/>
      <c r="C65" s="186"/>
      <c r="D65" s="186"/>
      <c r="E65" s="186"/>
      <c r="F65" s="80"/>
      <c r="G65" s="190"/>
    </row>
    <row r="66">
      <c r="A66" s="181" t="s">
        <v>216</v>
      </c>
      <c r="B66" s="182"/>
      <c r="C66" s="182"/>
      <c r="D66" s="182"/>
      <c r="E66" s="182"/>
      <c r="F66" s="183"/>
      <c r="G66" s="190"/>
    </row>
    <row r="67">
      <c r="A67" s="181" t="s">
        <v>217</v>
      </c>
      <c r="B67" s="186"/>
      <c r="C67" s="186"/>
      <c r="D67" s="186"/>
      <c r="E67" s="186"/>
      <c r="F67" s="80"/>
      <c r="G67" s="191"/>
    </row>
    <row r="68">
      <c r="A68" s="192" t="s">
        <v>218</v>
      </c>
      <c r="B68" s="186"/>
      <c r="C68" s="186"/>
      <c r="D68" s="186"/>
      <c r="E68" s="186"/>
      <c r="F68" s="80"/>
      <c r="G68" s="193"/>
    </row>
    <row r="69">
      <c r="A69" s="181" t="s">
        <v>219</v>
      </c>
      <c r="B69" s="182"/>
      <c r="C69" s="182"/>
      <c r="D69" s="182"/>
      <c r="E69" s="182"/>
      <c r="F69" s="183"/>
      <c r="G69" s="193"/>
    </row>
    <row r="70">
      <c r="A70" s="181" t="s">
        <v>220</v>
      </c>
      <c r="B70" s="182"/>
      <c r="C70" s="182"/>
      <c r="D70" s="182"/>
      <c r="E70" s="182"/>
      <c r="F70" s="183"/>
      <c r="G70" s="193"/>
    </row>
    <row r="71" ht="15">
      <c r="A71" s="192" t="s">
        <v>221</v>
      </c>
      <c r="B71" s="194"/>
      <c r="C71" s="194"/>
      <c r="D71" s="194"/>
      <c r="E71" s="194"/>
      <c r="F71" s="86"/>
      <c r="G71" s="195"/>
    </row>
    <row r="72" ht="15.6">
      <c r="A72" s="18"/>
    </row>
    <row r="73" ht="15.6">
      <c r="A73" s="4" t="s">
        <v>112</v>
      </c>
      <c r="B73" s="7"/>
      <c r="C73" s="5"/>
    </row>
    <row r="74" ht="15.6">
      <c r="A74" s="93" t="s">
        <v>222</v>
      </c>
      <c r="B74" s="196">
        <v>0.27569444444444446</v>
      </c>
      <c r="C74" s="50" t="s">
        <v>223</v>
      </c>
      <c r="D74" s="92"/>
    </row>
    <row r="75" ht="15.6">
      <c r="A75" s="3"/>
      <c r="C75" s="94"/>
    </row>
    <row r="76" ht="15.6">
      <c r="A76" s="4" t="s">
        <v>74</v>
      </c>
      <c r="B76" s="7"/>
      <c r="C76" s="5"/>
    </row>
    <row r="77" ht="15">
      <c r="A77" s="12" t="s">
        <v>224</v>
      </c>
      <c r="B77" s="109" t="str">
        <f>B4&amp;"_POST_NIRS"</f>
        <v>T2A_10_POST_NIRS</v>
      </c>
      <c r="C77" s="197"/>
    </row>
    <row r="78">
      <c r="A78" s="12" t="s">
        <v>225</v>
      </c>
      <c r="B78" s="109" t="str">
        <f>B4&amp;"_POST_TT_Bike"</f>
        <v>T2A_10_POST_TT_Bike</v>
      </c>
      <c r="C78" s="197"/>
    </row>
    <row r="79">
      <c r="A79" s="92" t="s">
        <v>226</v>
      </c>
      <c r="B79" s="109" t="str">
        <f>B4&amp;"_POST_TT_CPET"</f>
        <v>T2A_10_POST_TT_CPET</v>
      </c>
      <c r="C79" s="197"/>
    </row>
    <row r="80" ht="15">
      <c r="A80" s="20" t="s">
        <v>227</v>
      </c>
      <c r="B80" s="167" t="str">
        <f>B79&amp;"_10sec"</f>
        <v>T2A_10_POST_TT_CPET_10sec</v>
      </c>
      <c r="C80" s="198"/>
    </row>
    <row r="82" ht="15.6">
      <c r="A82" s="4" t="s">
        <v>76</v>
      </c>
      <c r="B82" s="7"/>
      <c r="C82" s="5"/>
    </row>
    <row r="83" ht="15">
      <c r="A83" s="24" t="s">
        <v>228</v>
      </c>
      <c r="B83" s="101"/>
      <c r="C83" s="25"/>
    </row>
    <row r="84">
      <c r="A84" s="27"/>
      <c r="B84" s="102"/>
      <c r="C84" s="28"/>
    </row>
    <row r="85">
      <c r="A85" s="27"/>
      <c r="B85" s="102"/>
      <c r="C85" s="28"/>
    </row>
    <row r="86">
      <c r="A86" s="27"/>
      <c r="B86" s="102"/>
      <c r="C86" s="28"/>
    </row>
    <row r="87" ht="15">
      <c r="A87" s="30"/>
      <c r="B87" s="103"/>
      <c r="C87" s="31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1" t="s">
        <v>229</v>
      </c>
      <c r="C2" s="199" t="str">
        <f>'Algemene informatie'!B4</f>
        <v>T2A_10</v>
      </c>
    </row>
    <row r="3">
      <c r="B3" s="11" t="s">
        <v>63</v>
      </c>
      <c r="C3" s="200">
        <f ca="1">'Algemene informatie'!B7</f>
        <v>49</v>
      </c>
      <c r="D3" t="s">
        <v>23</v>
      </c>
    </row>
    <row r="4">
      <c r="B4" s="11" t="s">
        <v>230</v>
      </c>
      <c r="C4" s="200">
        <f>'Algemene informatie'!B5</f>
        <v>1</v>
      </c>
      <c r="D4" t="s">
        <v>231</v>
      </c>
    </row>
    <row r="5">
      <c r="B5" s="11" t="s">
        <v>39</v>
      </c>
      <c r="C5" s="201">
        <f>'1A. Antropometrie'!H15</f>
        <v>96.074999999999989</v>
      </c>
      <c r="D5" t="s">
        <v>40</v>
      </c>
    </row>
    <row r="6">
      <c r="B6" s="11" t="s">
        <v>41</v>
      </c>
      <c r="C6" s="200">
        <f>'1A. Antropometrie'!H16</f>
        <v>177.30000000000001</v>
      </c>
      <c r="D6" t="s">
        <v>42</v>
      </c>
    </row>
    <row r="7">
      <c r="B7" s="11" t="s">
        <v>232</v>
      </c>
      <c r="C7" s="201">
        <v>34.082868343117696</v>
      </c>
      <c r="D7" t="s">
        <v>68</v>
      </c>
    </row>
    <row r="8">
      <c r="B8" s="11" t="s">
        <v>233</v>
      </c>
      <c r="C8" s="202">
        <f>'1B. VO2max'!B57</f>
        <v>42.321103304709865</v>
      </c>
      <c r="D8" t="s">
        <v>116</v>
      </c>
    </row>
    <row r="9">
      <c r="B9" s="11" t="s">
        <v>234</v>
      </c>
      <c r="C9" s="202">
        <f>'2B. Wingate'!B34</f>
        <v>12.092115534738486</v>
      </c>
      <c r="D9" t="s">
        <v>159</v>
      </c>
    </row>
    <row r="10">
      <c r="B10" s="11" t="s">
        <v>235</v>
      </c>
      <c r="C10" s="203">
        <f>'3B. NIRS+Time Trial'!B74</f>
        <v>0.27569444444444446</v>
      </c>
      <c r="D10" t="s">
        <v>223</v>
      </c>
    </row>
    <row r="13">
      <c r="B13" s="11" t="s">
        <v>229</v>
      </c>
      <c r="C13" s="11" t="s">
        <v>63</v>
      </c>
      <c r="D13" s="11" t="s">
        <v>230</v>
      </c>
      <c r="E13" s="11" t="s">
        <v>39</v>
      </c>
      <c r="F13" s="11" t="s">
        <v>41</v>
      </c>
      <c r="G13" s="11" t="s">
        <v>232</v>
      </c>
      <c r="H13" s="11" t="s">
        <v>233</v>
      </c>
      <c r="I13" s="11" t="s">
        <v>234</v>
      </c>
      <c r="J13" s="11" t="s">
        <v>236</v>
      </c>
    </row>
    <row r="14">
      <c r="B14" t="str">
        <f>C2</f>
        <v>T2A_10</v>
      </c>
      <c r="C14" s="204">
        <f ca="1">C3</f>
        <v>49</v>
      </c>
      <c r="D14" s="204">
        <f>C4</f>
        <v>1</v>
      </c>
      <c r="E14" s="205">
        <f>C5</f>
        <v>96.074999999999989</v>
      </c>
      <c r="F14" s="204">
        <f>C6</f>
        <v>177.30000000000001</v>
      </c>
      <c r="G14" s="205">
        <v>34.082868343117696</v>
      </c>
      <c r="H14" s="133">
        <f>C8</f>
        <v>42.321103304709865</v>
      </c>
      <c r="I14" s="133">
        <f>C9</f>
        <v>12.092115534738486</v>
      </c>
      <c r="J14" s="206">
        <f>C10</f>
        <v>0.27569444444444446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7</cp:revision>
  <dcterms:created xsi:type="dcterms:W3CDTF">2022-07-15T14:05:02Z</dcterms:created>
  <dcterms:modified xsi:type="dcterms:W3CDTF">2022-12-23T11:31:12Z</dcterms:modified>
</cp:coreProperties>
</file>