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Algemene informatie" sheetId="1" state="visible" r:id="rId1"/>
    <sheet name="1A. Antropometrie" sheetId="2" state="visible" r:id="rId2"/>
    <sheet name="1B. VO2max" sheetId="3" state="visible" r:id="rId3"/>
    <sheet name="2A. 3D US" sheetId="4" state="visible" r:id="rId4"/>
    <sheet name="2B. Wingate" sheetId="5" state="visible" r:id="rId5"/>
    <sheet name="3A. Jump test" sheetId="6" state="visible" r:id="rId6"/>
    <sheet name="3B. NIRS+Time Trial" sheetId="7" state="visible" r:id="rId7"/>
    <sheet name="Factoren groepindeling" sheetId="8" state="visible" r:id="rId8"/>
  </sheets>
  <calcPr iterateDelta="0.0001"/>
</workbook>
</file>

<file path=xl/sharedStrings.xml><?xml version="1.0" encoding="utf-8"?>
<sst xmlns="http://schemas.openxmlformats.org/spreadsheetml/2006/main" count="241" uniqueCount="241">
  <si>
    <t xml:space="preserve">Algemene informatie</t>
  </si>
  <si>
    <t xml:space="preserve">Persoonlijke gegevens</t>
  </si>
  <si>
    <t xml:space="preserve">Informatie over wielrennen</t>
  </si>
  <si>
    <t>Proefpersooncode:</t>
  </si>
  <si>
    <t>T2A_40</t>
  </si>
  <si>
    <t>Type:</t>
  </si>
  <si>
    <t>Recreatief</t>
  </si>
  <si>
    <t>Recreatief/Wedstrijd</t>
  </si>
  <si>
    <t xml:space="preserve">Geslacht (man = 1; vrouw = 2):</t>
  </si>
  <si>
    <t>Weg</t>
  </si>
  <si>
    <t>Weg/Baan</t>
  </si>
  <si>
    <t>Geboortedatum:</t>
  </si>
  <si>
    <t xml:space="preserve">Beide wel eens</t>
  </si>
  <si>
    <t xml:space="preserve">Korte/Lange afstand</t>
  </si>
  <si>
    <t>Leeftijd:</t>
  </si>
  <si>
    <t xml:space="preserve">Training frequentie:</t>
  </si>
  <si>
    <t xml:space="preserve">3 tot 5</t>
  </si>
  <si>
    <t>keer/wk</t>
  </si>
  <si>
    <t xml:space="preserve">Training duur:</t>
  </si>
  <si>
    <t>uur/wk</t>
  </si>
  <si>
    <t xml:space="preserve">Training afstand:</t>
  </si>
  <si>
    <t>km/wk</t>
  </si>
  <si>
    <t>Fietservaring:</t>
  </si>
  <si>
    <t>jaar</t>
  </si>
  <si>
    <t>Opmerkingen:</t>
  </si>
  <si>
    <t>Antropometrie</t>
  </si>
  <si>
    <t xml:space="preserve">Algemene gegevens</t>
  </si>
  <si>
    <t>Testdag:</t>
  </si>
  <si>
    <t>18/12/2022</t>
  </si>
  <si>
    <t>Onderzoeker:</t>
  </si>
  <si>
    <t>Renske</t>
  </si>
  <si>
    <t xml:space="preserve">Aanvangstijd test:</t>
  </si>
  <si>
    <t xml:space="preserve">Antropometrische metingen</t>
  </si>
  <si>
    <t xml:space="preserve">3de meting?</t>
  </si>
  <si>
    <t xml:space="preserve">Gem / Mediaan</t>
  </si>
  <si>
    <t xml:space="preserve">Meting 1</t>
  </si>
  <si>
    <t xml:space="preserve">Meting 2</t>
  </si>
  <si>
    <t xml:space="preserve">Meting 3</t>
  </si>
  <si>
    <t>SI</t>
  </si>
  <si>
    <t>Lichaamsgewicht</t>
  </si>
  <si>
    <t>kg</t>
  </si>
  <si>
    <t>Lichaamslengte</t>
  </si>
  <si>
    <t>cm</t>
  </si>
  <si>
    <t xml:space="preserve">Biceps huidplooimeting</t>
  </si>
  <si>
    <t>mm</t>
  </si>
  <si>
    <t xml:space="preserve">          Lengte bovenarm →</t>
  </si>
  <si>
    <t xml:space="preserve">Triceps huidplooimeting</t>
  </si>
  <si>
    <t xml:space="preserve">          Markering op bovenarm →</t>
  </si>
  <si>
    <t xml:space="preserve">Subscapular huidplooimeting</t>
  </si>
  <si>
    <t xml:space="preserve">Iliac crest huidplooimeting</t>
  </si>
  <si>
    <t>Bovenbeenlengte</t>
  </si>
  <si>
    <r>
      <t xml:space="preserve">          Markering voor bovenbeenomtrek </t>
    </r>
    <r>
      <rPr>
        <sz val="11"/>
        <color rgb="FF9C0006"/>
        <rFont val="Calibri"/>
      </rPr>
      <t>→</t>
    </r>
  </si>
  <si>
    <t>Bovenbeenomtrek</t>
  </si>
  <si>
    <t>Onderbeenomtrek</t>
  </si>
  <si>
    <t>Onderbeenlengte</t>
  </si>
  <si>
    <t xml:space="preserve">Biceps 3D meting</t>
  </si>
  <si>
    <t xml:space="preserve">Filename →</t>
  </si>
  <si>
    <t xml:space="preserve">Triceps 3D meting</t>
  </si>
  <si>
    <t xml:space="preserve">Subscapular 3D meting</t>
  </si>
  <si>
    <t xml:space="preserve">Iliac crest 3D meting</t>
  </si>
  <si>
    <t>Som</t>
  </si>
  <si>
    <t xml:space="preserve">Durnin/Womersley Caliper Method</t>
  </si>
  <si>
    <t xml:space="preserve">Vetpercentage (Siri equation)</t>
  </si>
  <si>
    <t>Leeftijd</t>
  </si>
  <si>
    <t>Man</t>
  </si>
  <si>
    <t>Vrouw</t>
  </si>
  <si>
    <t xml:space="preserve">Leeftijd →</t>
  </si>
  <si>
    <t>&lt;17</t>
  </si>
  <si>
    <t>%</t>
  </si>
  <si>
    <t>17-19</t>
  </si>
  <si>
    <t>20-29</t>
  </si>
  <si>
    <t>30-39</t>
  </si>
  <si>
    <t>40-49</t>
  </si>
  <si>
    <t>&gt;50</t>
  </si>
  <si>
    <t>Opslaan</t>
  </si>
  <si>
    <t xml:space="preserve">Filenames 3D ultrasound:</t>
  </si>
  <si>
    <t>Opmerkingen</t>
  </si>
  <si>
    <t xml:space="preserve">VO2 max test</t>
  </si>
  <si>
    <t>Lichaamslengte:</t>
  </si>
  <si>
    <t>Lichaamsgewicht:</t>
  </si>
  <si>
    <t>Onderzoeker</t>
  </si>
  <si>
    <t>Luuk</t>
  </si>
  <si>
    <t>hh:mm</t>
  </si>
  <si>
    <t>Temperatuur:</t>
  </si>
  <si>
    <t>°C</t>
  </si>
  <si>
    <t>Luchtvochtigheid:</t>
  </si>
  <si>
    <t xml:space="preserve">COSMED nummer:</t>
  </si>
  <si>
    <t xml:space="preserve">Type pedaal:</t>
  </si>
  <si>
    <t xml:space="preserve">Look (wit) </t>
  </si>
  <si>
    <t xml:space="preserve">Maat van zuurstofmasker:</t>
  </si>
  <si>
    <t>S</t>
  </si>
  <si>
    <t>S/M/L</t>
  </si>
  <si>
    <t xml:space="preserve">Maat van hoofdband:</t>
  </si>
  <si>
    <t xml:space="preserve">S/M of L</t>
  </si>
  <si>
    <t xml:space="preserve">Kalibratie waardes</t>
  </si>
  <si>
    <t xml:space="preserve">O2 analyzer</t>
  </si>
  <si>
    <t xml:space="preserve">CO2 analyzer</t>
  </si>
  <si>
    <t>Gain:</t>
  </si>
  <si>
    <t>Baseline:</t>
  </si>
  <si>
    <t>Delay:</t>
  </si>
  <si>
    <t xml:space="preserve">Zero Hw:</t>
  </si>
  <si>
    <t xml:space="preserve">O2 ergo speed factor:</t>
  </si>
  <si>
    <t xml:space="preserve">Response time:</t>
  </si>
  <si>
    <t xml:space="preserve">Analyzer pressure:</t>
  </si>
  <si>
    <t xml:space="preserve">Sampling flow:</t>
  </si>
  <si>
    <t xml:space="preserve">RAMP Testprotocol</t>
  </si>
  <si>
    <t xml:space="preserve">Tijd (Min)</t>
  </si>
  <si>
    <t xml:space="preserve">Weerstand (W)</t>
  </si>
  <si>
    <t xml:space="preserve">VO2 (ml/min)</t>
  </si>
  <si>
    <t xml:space="preserve">HR (bpm)</t>
  </si>
  <si>
    <t>RER</t>
  </si>
  <si>
    <t>RPE</t>
  </si>
  <si>
    <t>PPM</t>
  </si>
  <si>
    <t>Uitkomstmaat</t>
  </si>
  <si>
    <t xml:space="preserve">Absolute VO2max:</t>
  </si>
  <si>
    <t>mL/min</t>
  </si>
  <si>
    <t xml:space="preserve">Relatieve VO2max:</t>
  </si>
  <si>
    <t>mL/min/kg</t>
  </si>
  <si>
    <t xml:space="preserve">Filename COSMED:</t>
  </si>
  <si>
    <t>Raw</t>
  </si>
  <si>
    <t xml:space="preserve">10sec average</t>
  </si>
  <si>
    <t xml:space="preserve">Had last van de knie tijdens de rit. Gaf aan te compenseren met rechts. VO2 gaf wel een plateau aan</t>
  </si>
  <si>
    <t xml:space="preserve">3D Ultrasound</t>
  </si>
  <si>
    <t>20/12/2022</t>
  </si>
  <si>
    <t xml:space="preserve">Afstand tot steepje box:</t>
  </si>
  <si>
    <t xml:space="preserve">Diepte 3D ultrasound probe:</t>
  </si>
  <si>
    <t xml:space="preserve">Filename scan 1:</t>
  </si>
  <si>
    <t xml:space="preserve">Filename scan 2:</t>
  </si>
  <si>
    <t xml:space="preserve">Filename botpunten:</t>
  </si>
  <si>
    <t xml:space="preserve">Wingate test</t>
  </si>
  <si>
    <t xml:space="preserve">Zithoogte zadel:</t>
  </si>
  <si>
    <t xml:space="preserve">Horizontale positie zadel:</t>
  </si>
  <si>
    <t xml:space="preserve">Voorste voet bij start:</t>
  </si>
  <si>
    <t>L</t>
  </si>
  <si>
    <t xml:space="preserve">Gewicht tijdens 30sec: </t>
  </si>
  <si>
    <t xml:space="preserve">LET OP! Gewicht van de basket is 1,0kg</t>
  </si>
  <si>
    <t>Testprotocol</t>
  </si>
  <si>
    <t xml:space="preserve">Tijd (min)</t>
  </si>
  <si>
    <t>Gewicht</t>
  </si>
  <si>
    <t>Status</t>
  </si>
  <si>
    <t>0:00-4:00</t>
  </si>
  <si>
    <t xml:space="preserve">Alleen basket</t>
  </si>
  <si>
    <t>Warming-up</t>
  </si>
  <si>
    <t>1:00-1:04</t>
  </si>
  <si>
    <t xml:space="preserve">Sprint 1</t>
  </si>
  <si>
    <t>2:00-2:04</t>
  </si>
  <si>
    <t xml:space="preserve">Sprint 2</t>
  </si>
  <si>
    <t>3:00-3:04</t>
  </si>
  <si>
    <t xml:space="preserve">Sprint 3</t>
  </si>
  <si>
    <t>4:00-6:00</t>
  </si>
  <si>
    <t>Rust</t>
  </si>
  <si>
    <t>6:00-6:30</t>
  </si>
  <si>
    <t>Test</t>
  </si>
  <si>
    <t>7:00-12:00</t>
  </si>
  <si>
    <t>Uitfietsen</t>
  </si>
  <si>
    <t xml:space="preserve">Absolute peakpower:</t>
  </si>
  <si>
    <t>Watt</t>
  </si>
  <si>
    <t xml:space="preserve">Relatieve peakpower:</t>
  </si>
  <si>
    <t>Watt/kg</t>
  </si>
  <si>
    <t xml:space="preserve">Filename (Extended Excel file):</t>
  </si>
  <si>
    <t>Sprongtest</t>
  </si>
  <si>
    <t>22/12/22</t>
  </si>
  <si>
    <t xml:space="preserve">Test informatie</t>
  </si>
  <si>
    <t xml:space="preserve">Aantal sprongen:</t>
  </si>
  <si>
    <t xml:space="preserve">Spronghoogte 1:</t>
  </si>
  <si>
    <t xml:space="preserve">Spronghoogte 2:</t>
  </si>
  <si>
    <t xml:space="preserve">Spronghoogte 3:</t>
  </si>
  <si>
    <t xml:space="preserve">Spronghoogte 4:</t>
  </si>
  <si>
    <t xml:space="preserve">  </t>
  </si>
  <si>
    <t xml:space="preserve">Spronghoogte 5:</t>
  </si>
  <si>
    <t xml:space="preserve">Hoogste sprong:</t>
  </si>
  <si>
    <t xml:space="preserve">Filename linkervoet (109): </t>
  </si>
  <si>
    <t>RAW00387.DAT</t>
  </si>
  <si>
    <t>Origineel</t>
  </si>
  <si>
    <t xml:space="preserve">LET OP! Noteer zowel de originele bestandsnaam als de naam die je zelf aan het bestand geeft.</t>
  </si>
  <si>
    <t xml:space="preserve">Filename rechtervoet (112): </t>
  </si>
  <si>
    <t>RAW00214.DAT</t>
  </si>
  <si>
    <t xml:space="preserve">Filename Excelbestand: </t>
  </si>
  <si>
    <t xml:space="preserve">NIRS + Time trial</t>
  </si>
  <si>
    <t>NIRS</t>
  </si>
  <si>
    <t xml:space="preserve">Trochantor-laterale patella:</t>
  </si>
  <si>
    <t xml:space="preserve">Locatie NIRS:</t>
  </si>
  <si>
    <t xml:space="preserve">Huidplooimeting 1 locatie NIRS:</t>
  </si>
  <si>
    <t xml:space="preserve">Huidplooimeting 2 locatie NIRS:</t>
  </si>
  <si>
    <t xml:space="preserve">Vetmeting ultrasound probe:</t>
  </si>
  <si>
    <t xml:space="preserve">NIRS nummer:</t>
  </si>
  <si>
    <t xml:space="preserve">Maat zwarte kous: </t>
  </si>
  <si>
    <t xml:space="preserve">S/M of M/L</t>
  </si>
  <si>
    <t xml:space="preserve">Time trial</t>
  </si>
  <si>
    <t xml:space="preserve">Alpha factor</t>
  </si>
  <si>
    <t>W/mm2</t>
  </si>
  <si>
    <t xml:space="preserve">Piekvermogen → </t>
  </si>
  <si>
    <t>W</t>
  </si>
  <si>
    <t xml:space="preserve">90% GET (moderate):</t>
  </si>
  <si>
    <t xml:space="preserve">   GET →</t>
  </si>
  <si>
    <t xml:space="preserve">Maximale occlusie </t>
  </si>
  <si>
    <t xml:space="preserve">Minimale waarde NIRS: </t>
  </si>
  <si>
    <t xml:space="preserve">Maximale waarde NIRS: </t>
  </si>
  <si>
    <t>0:00-3:00</t>
  </si>
  <si>
    <t xml:space="preserve">3 min 20W</t>
  </si>
  <si>
    <t xml:space="preserve">Belangrijk dat er 90RPM wordt aangehouden!!</t>
  </si>
  <si>
    <t xml:space="preserve">NIRS = rond de 61</t>
  </si>
  <si>
    <t>90%GET</t>
  </si>
  <si>
    <t xml:space="preserve">NIRS = rond de 53</t>
  </si>
  <si>
    <t xml:space="preserve">NIRS = rond de 51</t>
  </si>
  <si>
    <t xml:space="preserve">NIRS = rond de 50</t>
  </si>
  <si>
    <t>9:00-15:00</t>
  </si>
  <si>
    <t xml:space="preserve">6 min 20W</t>
  </si>
  <si>
    <t xml:space="preserve">NIRS = rond de 66</t>
  </si>
  <si>
    <t xml:space="preserve">NIRS = rond de 52</t>
  </si>
  <si>
    <t>21:00-29:00</t>
  </si>
  <si>
    <t xml:space="preserve">6 min 20W + 2 min klaarmaken voor time trial</t>
  </si>
  <si>
    <t xml:space="preserve">NIRS = rond de 64</t>
  </si>
  <si>
    <t xml:space="preserve">Afstand (m)</t>
  </si>
  <si>
    <t>29:00</t>
  </si>
  <si>
    <t>30:00</t>
  </si>
  <si>
    <t>31:00</t>
  </si>
  <si>
    <t>32:00</t>
  </si>
  <si>
    <t>33:00</t>
  </si>
  <si>
    <t>34:00</t>
  </si>
  <si>
    <t>35:00</t>
  </si>
  <si>
    <t>36:00</t>
  </si>
  <si>
    <t>37:00</t>
  </si>
  <si>
    <t>38:00</t>
  </si>
  <si>
    <t>39:00</t>
  </si>
  <si>
    <t>40:00</t>
  </si>
  <si>
    <t xml:space="preserve">Eindtijd 4km:</t>
  </si>
  <si>
    <t>min:sec</t>
  </si>
  <si>
    <t xml:space="preserve">Bestandsnaam NIRS:</t>
  </si>
  <si>
    <t xml:space="preserve">Bestandsnaam Bike:</t>
  </si>
  <si>
    <t xml:space="preserve">Bestandsnaam COSMED (raw):</t>
  </si>
  <si>
    <t xml:space="preserve">Bestandsnaam COSMED:</t>
  </si>
  <si>
    <t xml:space="preserve">Dit keer geen slow component tijdens de 90% GET (zelfde wattage als de vorige keer). </t>
  </si>
  <si>
    <t>PPcode</t>
  </si>
  <si>
    <t>Geslacht</t>
  </si>
  <si>
    <t xml:space="preserve">(man = 1, vrouw = 2)</t>
  </si>
  <si>
    <t>Vetpercentage</t>
  </si>
  <si>
    <t xml:space="preserve">Relatieve VO2max </t>
  </si>
  <si>
    <t xml:space="preserve">Relatieve piekpower</t>
  </si>
  <si>
    <t xml:space="preserve">Tijd op de 4km</t>
  </si>
  <si>
    <t xml:space="preserve">4km 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</si>
</sst>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dd/mm/yyyy"/>
    <numFmt numFmtId="161" formatCode="h:mm;@"/>
    <numFmt numFmtId="162" formatCode="0.0"/>
    <numFmt numFmtId="163" formatCode="0.0%"/>
    <numFmt numFmtId="164" formatCode="[$-F400]h:mm:ss\ AM/PM"/>
  </numFmts>
  <fonts count="15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indexed="65"/>
      <sz val="11.000000"/>
    </font>
    <font>
      <name val="Calibri"/>
      <b/>
      <color rgb="FF44546A"/>
      <sz val="15.000000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color rgb="FF9C5700"/>
      <sz val="11.000000"/>
      <scheme val="minor"/>
    </font>
    <font>
      <name val="Calibri"/>
      <color rgb="FF9C0006"/>
      <sz val="11.000000"/>
      <scheme val="minor"/>
    </font>
    <font>
      <name val="Calibri"/>
      <b/>
      <color indexed="65"/>
      <sz val="11.000000"/>
    </font>
    <font>
      <name val="Calibri"/>
      <b/>
      <sz val="11.000000"/>
    </font>
    <font>
      <name val="Arial"/>
      <b/>
      <color rgb="FF202124"/>
      <sz val="10.000000"/>
    </font>
    <font>
      <name val="Calibri"/>
      <b/>
      <color theme="0"/>
      <sz val="11.000000"/>
      <scheme val="minor"/>
    </font>
    <font>
      <name val="Calibri"/>
      <b/>
      <color theme="1"/>
      <sz val="11.000000"/>
      <scheme val="minor"/>
    </font>
    <font>
      <name val="Calibri"/>
      <b/>
      <color rgb="FF9C0006"/>
      <sz val="11.000000"/>
      <scheme val="minor"/>
    </font>
    <font>
      <name val="Calibri"/>
      <b/>
      <color rgb="FF006100"/>
      <sz val="11.000000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/>
        <bgColor theme="6"/>
      </patternFill>
    </fill>
    <fill>
      <patternFill patternType="solid">
        <fgColor rgb="FFA5A5A5"/>
        <bgColor indexed="24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2"/>
        <bgColor theme="2"/>
      </patternFill>
    </fill>
  </fills>
  <borders count="80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theme="4"/>
      </bottom>
      <diagonal/>
    </border>
    <border>
      <left/>
      <right/>
      <top style="thick">
        <color rgb="FF4472C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/>
      <diagonal/>
    </border>
    <border>
      <left style="thick">
        <color auto="1"/>
      </left>
      <right style="thin">
        <color theme="0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theme="0"/>
      </bottom>
      <diagonal/>
    </border>
    <border>
      <left style="thick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/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9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1" fillId="3" borderId="0" numFmtId="0" applyNumberFormat="0" applyFont="1" applyFill="1" applyBorder="0" applyProtection="0"/>
    <xf fontId="2" fillId="4" borderId="0" numFmtId="0" applyNumberFormat="1" applyFont="1" applyFill="1" applyBorder="0" applyProtection="0"/>
    <xf fontId="3" fillId="0" borderId="1" numFmtId="0" applyNumberFormat="1" applyFont="1" applyFill="1" applyBorder="1" applyProtection="0"/>
    <xf fontId="4" fillId="5" borderId="0" numFmtId="0" applyNumberFormat="0" applyFont="1" applyFill="1" applyBorder="0" applyProtection="0"/>
    <xf fontId="5" fillId="0" borderId="2" numFmtId="0" applyNumberFormat="0" applyFont="1" applyFill="0" applyBorder="1" applyProtection="0"/>
    <xf fontId="6" fillId="6" borderId="0" numFmtId="0" applyNumberFormat="0" applyFont="1" applyFill="1" applyBorder="0" applyProtection="0"/>
    <xf fontId="7" fillId="7" borderId="0" numFmtId="0" applyNumberFormat="0" applyFont="1" applyFill="1" applyBorder="0" applyProtection="0"/>
  </cellStyleXfs>
  <cellXfs count="214">
    <xf fontId="0" fillId="0" borderId="0" numFmtId="0" xfId="0"/>
    <xf fontId="3" fillId="0" borderId="1" numFmtId="0" xfId="4" applyFont="1" applyBorder="1" applyProtection="1"/>
    <xf fontId="0" fillId="0" borderId="3" numFmtId="0" xfId="0" applyBorder="1"/>
    <xf fontId="0" fillId="0" borderId="4" numFmtId="0" xfId="0" applyBorder="1"/>
    <xf fontId="8" fillId="4" borderId="5" numFmtId="0" xfId="3" applyFont="1" applyFill="1" applyBorder="1" applyAlignment="1" applyProtection="1">
      <alignment horizontal="center"/>
    </xf>
    <xf fontId="0" fillId="0" borderId="6" numFmtId="0" xfId="0" applyBorder="1"/>
    <xf fontId="0" fillId="0" borderId="7" numFmtId="0" xfId="0" applyBorder="1"/>
    <xf fontId="9" fillId="0" borderId="6" numFmtId="0" xfId="0" applyFont="1" applyBorder="1"/>
    <xf fontId="9" fillId="0" borderId="6" numFmtId="49" xfId="0" applyNumberFormat="1" applyFont="1" applyBorder="1"/>
    <xf fontId="9" fillId="0" borderId="0" numFmtId="0" xfId="0" applyFont="1"/>
    <xf fontId="0" fillId="0" borderId="8" numFmtId="0" xfId="0" applyBorder="1"/>
    <xf fontId="9" fillId="0" borderId="6" numFmtId="1" xfId="0" applyNumberFormat="1" applyFont="1" applyBorder="1" applyAlignment="1">
      <alignment horizontal="left"/>
    </xf>
    <xf fontId="9" fillId="0" borderId="6" numFmtId="160" xfId="0" applyNumberFormat="1" applyFont="1" applyBorder="1" applyAlignment="1">
      <alignment horizontal="left"/>
    </xf>
    <xf fontId="0" fillId="0" borderId="9" numFmtId="0" xfId="0" applyBorder="1"/>
    <xf fontId="10" fillId="0" borderId="10" numFmtId="1" xfId="0" applyNumberFormat="1" applyFont="1" applyBorder="1"/>
    <xf fontId="9" fillId="0" borderId="0" numFmtId="2" xfId="0" applyNumberFormat="1" applyFont="1" applyAlignment="1">
      <alignment horizontal="left"/>
    </xf>
    <xf fontId="0" fillId="0" borderId="11" numFmtId="0" xfId="0" applyBorder="1"/>
    <xf fontId="9" fillId="0" borderId="0" numFmtId="0" xfId="0" applyFont="1" applyAlignment="1">
      <alignment horizontal="left"/>
    </xf>
    <xf fontId="0" fillId="0" borderId="12" numFmtId="0" xfId="0" applyBorder="1"/>
    <xf fontId="9" fillId="0" borderId="4" numFmtId="0" xfId="0" applyFont="1" applyBorder="1" applyAlignment="1">
      <alignment horizontal="left"/>
    </xf>
    <xf fontId="0" fillId="0" borderId="13" numFmtId="0" xfId="0" applyBorder="1"/>
    <xf fontId="0" fillId="0" borderId="14" numFmtId="0" xfId="0" applyBorder="1" applyAlignment="1">
      <alignment horizontal="left" vertical="top"/>
    </xf>
    <xf fontId="0" fillId="0" borderId="5" numFmtId="0" xfId="0" applyBorder="1" applyAlignment="1">
      <alignment horizontal="left" vertical="top" wrapText="1"/>
    </xf>
    <xf fontId="5" fillId="0" borderId="2" numFmtId="0" xfId="6" applyFont="1" applyBorder="1"/>
    <xf fontId="11" fillId="3" borderId="14" numFmtId="0" xfId="2" applyFont="1" applyFill="1" applyBorder="1" applyAlignment="1">
      <alignment horizontal="center"/>
    </xf>
    <xf fontId="11" fillId="3" borderId="15" numFmtId="0" xfId="2" applyFont="1" applyFill="1" applyBorder="1" applyAlignment="1">
      <alignment horizontal="center"/>
    </xf>
    <xf fontId="12" fillId="0" borderId="6" numFmtId="0" xfId="0" applyFont="1" applyBorder="1"/>
    <xf fontId="12" fillId="0" borderId="6" numFmtId="1" xfId="0" applyNumberFormat="1" applyFont="1" applyBorder="1" applyAlignment="1">
      <alignment horizontal="left"/>
    </xf>
    <xf fontId="12" fillId="0" borderId="13" numFmtId="14" xfId="0" applyNumberFormat="1" applyFont="1" applyBorder="1" applyAlignment="1">
      <alignment horizontal="left"/>
    </xf>
    <xf fontId="12" fillId="0" borderId="6" numFmtId="14" xfId="0" applyNumberFormat="1" applyFont="1" applyBorder="1" applyAlignment="1">
      <alignment horizontal="left"/>
    </xf>
    <xf fontId="12" fillId="0" borderId="12" numFmtId="161" xfId="0" applyNumberFormat="1" applyFont="1" applyBorder="1" applyAlignment="1">
      <alignment horizontal="left"/>
    </xf>
    <xf fontId="12" fillId="0" borderId="14" numFmtId="0" xfId="0" applyFont="1" applyBorder="1" applyAlignment="1">
      <alignment horizontal="center"/>
    </xf>
    <xf fontId="12" fillId="0" borderId="16" numFmtId="0" xfId="0" applyFont="1" applyBorder="1" applyAlignment="1">
      <alignment horizontal="center"/>
    </xf>
    <xf fontId="12" fillId="0" borderId="15" numFmtId="0" xfId="0" applyFont="1" applyBorder="1" applyAlignment="1">
      <alignment horizontal="center"/>
    </xf>
    <xf fontId="12" fillId="0" borderId="17" numFmtId="0" xfId="0" applyFont="1" applyBorder="1" applyAlignment="1">
      <alignment horizontal="center" vertical="center"/>
    </xf>
    <xf fontId="12" fillId="0" borderId="18" numFmtId="0" xfId="0" applyFont="1" applyBorder="1" applyAlignment="1">
      <alignment horizontal="center" vertical="center"/>
    </xf>
    <xf fontId="12" fillId="0" borderId="18" numFmtId="0" xfId="0" applyFont="1" applyBorder="1" applyAlignment="1">
      <alignment horizontal="center" vertical="center" wrapText="1"/>
    </xf>
    <xf fontId="0" fillId="0" borderId="0" numFmtId="0" xfId="0" applyAlignment="1">
      <alignment vertical="center"/>
    </xf>
    <xf fontId="11" fillId="3" borderId="14" numFmtId="0" xfId="2" applyFont="1" applyFill="1" applyBorder="1"/>
    <xf fontId="11" fillId="3" borderId="16" numFmtId="0" xfId="2" applyFont="1" applyFill="1" applyBorder="1" applyAlignment="1">
      <alignment horizontal="center"/>
    </xf>
    <xf fontId="11" fillId="3" borderId="15" numFmtId="0" xfId="2" applyFont="1" applyFill="1" applyBorder="1"/>
    <xf fontId="12" fillId="0" borderId="9" numFmtId="0" xfId="0" applyFont="1" applyBorder="1" applyAlignment="1">
      <alignment horizontal="center" vertical="center"/>
    </xf>
    <xf fontId="12" fillId="0" borderId="13" numFmtId="0" xfId="0" applyFont="1" applyBorder="1" applyAlignment="1">
      <alignment horizontal="center" vertical="center"/>
    </xf>
    <xf fontId="12" fillId="0" borderId="13" numFmtId="0" xfId="0" applyFont="1" applyBorder="1" applyAlignment="1">
      <alignment horizontal="center" vertical="center" wrapText="1"/>
    </xf>
    <xf fontId="0" fillId="0" borderId="19" numFmtId="0" xfId="0" applyBorder="1" applyAlignment="1">
      <alignment horizontal="left" indent="1"/>
    </xf>
    <xf fontId="0" fillId="0" borderId="20" numFmtId="0" xfId="0" applyBorder="1"/>
    <xf fontId="0" fillId="0" borderId="21" numFmtId="0" xfId="0" applyBorder="1"/>
    <xf fontId="0" fillId="0" borderId="22" numFmtId="0" xfId="0" applyBorder="1"/>
    <xf fontId="0" fillId="0" borderId="0" numFmtId="0" xfId="0"/>
    <xf fontId="0" fillId="0" borderId="23" numFmtId="0" xfId="0" applyBorder="1"/>
    <xf fontId="0" fillId="0" borderId="24" numFmtId="0" xfId="0" applyBorder="1" applyAlignment="1">
      <alignment horizontal="left" indent="1"/>
    </xf>
    <xf fontId="0" fillId="0" borderId="25" numFmtId="0" xfId="0" applyBorder="1"/>
    <xf fontId="0" fillId="0" borderId="26" numFmtId="0" xfId="0" applyBorder="1"/>
    <xf fontId="0" fillId="0" borderId="27" numFmtId="0" xfId="0" applyBorder="1"/>
    <xf fontId="0" fillId="2" borderId="24" numFmtId="0" xfId="1" applyFill="1" applyBorder="1"/>
    <xf fontId="0" fillId="2" borderId="25" numFmtId="0" xfId="1" applyFill="1" applyBorder="1"/>
    <xf fontId="0" fillId="2" borderId="26" numFmtId="0" xfId="1" applyFill="1" applyBorder="1"/>
    <xf fontId="0" fillId="2" borderId="27" numFmtId="0" xfId="1" applyFill="1" applyBorder="1"/>
    <xf fontId="0" fillId="2" borderId="6" numFmtId="0" xfId="1" applyFill="1" applyBorder="1"/>
    <xf fontId="0" fillId="2" borderId="0" numFmtId="0" xfId="1" applyFill="1"/>
    <xf fontId="0" fillId="2" borderId="23" numFmtId="0" xfId="1" applyFill="1" applyBorder="1"/>
    <xf fontId="0" fillId="0" borderId="28" numFmtId="0" xfId="0" applyBorder="1" applyAlignment="1">
      <alignment horizontal="left" indent="1"/>
    </xf>
    <xf fontId="7" fillId="7" borderId="10" numFmtId="0" xfId="8" applyFont="1" applyFill="1" applyBorder="1" applyAlignment="1">
      <alignment horizontal="left"/>
    </xf>
    <xf fontId="7" fillId="7" borderId="0" numFmtId="0" xfId="8" applyFont="1" applyFill="1" applyAlignment="1">
      <alignment horizontal="left"/>
    </xf>
    <xf fontId="7" fillId="7" borderId="0" numFmtId="0" xfId="8" applyFont="1" applyFill="1"/>
    <xf fontId="13" fillId="7" borderId="0" numFmtId="0" xfId="8" applyFont="1" applyFill="1"/>
    <xf fontId="0" fillId="0" borderId="29" numFmtId="0" xfId="0" applyBorder="1" applyAlignment="1">
      <alignment horizontal="left" indent="1"/>
    </xf>
    <xf fontId="0" fillId="2" borderId="28" numFmtId="0" xfId="1" applyFill="1" applyBorder="1"/>
    <xf fontId="13" fillId="7" borderId="0" numFmtId="0" xfId="8" applyFont="1" applyFill="1" applyAlignment="1">
      <alignment horizontal="right"/>
    </xf>
    <xf fontId="13" fillId="7" borderId="0" numFmtId="0" xfId="8" applyFont="1" applyFill="1" applyAlignment="1">
      <alignment horizontal="left"/>
    </xf>
    <xf fontId="0" fillId="0" borderId="30" numFmtId="0" xfId="0" applyBorder="1" applyAlignment="1">
      <alignment horizontal="left" indent="1"/>
    </xf>
    <xf fontId="0" fillId="0" borderId="31" numFmtId="0" xfId="0" applyBorder="1"/>
    <xf fontId="0" fillId="0" borderId="32" numFmtId="0" xfId="0" applyBorder="1"/>
    <xf fontId="0" fillId="0" borderId="33" numFmtId="0" xfId="0" applyBorder="1"/>
    <xf fontId="0" fillId="2" borderId="34" numFmtId="0" xfId="1" applyFill="1" applyBorder="1"/>
    <xf fontId="0" fillId="2" borderId="20" numFmtId="0" xfId="1" applyFill="1" applyBorder="1"/>
    <xf fontId="0" fillId="2" borderId="21" numFmtId="0" xfId="1" applyFill="1" applyBorder="1"/>
    <xf fontId="0" fillId="2" borderId="22" numFmtId="0" xfId="1" applyFill="1" applyBorder="1"/>
    <xf fontId="0" fillId="8" borderId="26" numFmtId="0" xfId="0" applyFill="1" applyBorder="1"/>
    <xf fontId="0" fillId="8" borderId="27" numFmtId="0" xfId="0" applyFill="1" applyBorder="1"/>
    <xf fontId="7" fillId="7" borderId="10" numFmtId="0" xfId="8" applyFont="1" applyFill="1" applyBorder="1" applyAlignment="1">
      <alignment horizontal="center"/>
    </xf>
    <xf fontId="7" fillId="7" borderId="0" numFmtId="0" xfId="8" applyFont="1" applyFill="1" applyAlignment="1">
      <alignment horizontal="center"/>
    </xf>
    <xf fontId="0" fillId="0" borderId="35" numFmtId="0" xfId="0" applyBorder="1" applyAlignment="1">
      <alignment horizontal="left" indent="1"/>
    </xf>
    <xf fontId="0" fillId="0" borderId="36" numFmtId="0" xfId="0" applyBorder="1"/>
    <xf fontId="0" fillId="8" borderId="37" numFmtId="0" xfId="0" applyFill="1" applyBorder="1"/>
    <xf fontId="0" fillId="8" borderId="38" numFmtId="0" xfId="0" applyFill="1" applyBorder="1"/>
    <xf fontId="0" fillId="0" borderId="39" numFmtId="0" xfId="0" applyBorder="1"/>
    <xf fontId="0" fillId="0" borderId="11" numFmtId="0" xfId="0" applyBorder="1" applyAlignment="1">
      <alignment horizontal="left" indent="1"/>
    </xf>
    <xf fontId="6" fillId="6" borderId="17" numFmtId="0" xfId="7" applyFont="1" applyFill="1" applyBorder="1"/>
    <xf fontId="6" fillId="6" borderId="5" numFmtId="0" xfId="7" applyFont="1" applyFill="1" applyBorder="1"/>
    <xf fontId="0" fillId="0" borderId="10" numFmtId="0" xfId="0" applyBorder="1"/>
    <xf fontId="0" fillId="0" borderId="5" numFmtId="0" xfId="0" applyBorder="1"/>
    <xf fontId="0" fillId="0" borderId="16" numFmtId="0" xfId="0" applyBorder="1"/>
    <xf fontId="0" fillId="0" borderId="15" numFmtId="0" xfId="0" applyBorder="1"/>
    <xf fontId="13" fillId="7" borderId="0" numFmtId="1" xfId="8" applyNumberFormat="1" applyFont="1" applyFill="1"/>
    <xf fontId="0" fillId="0" borderId="0" numFmtId="0" xfId="0" applyAlignment="1">
      <alignment horizontal="center"/>
    </xf>
    <xf fontId="12" fillId="0" borderId="7" numFmtId="0" xfId="0" applyFont="1" applyBorder="1"/>
    <xf fontId="12" fillId="0" borderId="8" numFmtId="0" xfId="0" applyFont="1" applyBorder="1"/>
    <xf fontId="12" fillId="0" borderId="13" numFmtId="0" xfId="0" applyFont="1" applyBorder="1"/>
    <xf fontId="0" fillId="0" borderId="17" numFmtId="0" xfId="0" applyBorder="1" applyAlignment="1">
      <alignment horizontal="left" vertical="top" wrapText="1"/>
    </xf>
    <xf fontId="0" fillId="0" borderId="11" numFmtId="0" xfId="0" applyBorder="1" applyAlignment="1">
      <alignment horizontal="left" vertical="top" wrapText="1"/>
    </xf>
    <xf fontId="0" fillId="0" borderId="18" numFmtId="0" xfId="0" applyBorder="1" applyAlignment="1">
      <alignment horizontal="left" vertical="top" wrapText="1"/>
    </xf>
    <xf fontId="0" fillId="0" borderId="10" numFmtId="0" xfId="0" applyBorder="1" applyAlignment="1">
      <alignment horizontal="left" vertical="top" wrapText="1"/>
    </xf>
    <xf fontId="0" fillId="0" borderId="0" numFmtId="0" xfId="0" applyAlignment="1">
      <alignment horizontal="left" vertical="top" wrapText="1"/>
    </xf>
    <xf fontId="0" fillId="0" borderId="6" numFmtId="0" xfId="0" applyBorder="1" applyAlignment="1">
      <alignment horizontal="left" vertical="top" wrapText="1"/>
    </xf>
    <xf fontId="0" fillId="0" borderId="9" numFmtId="0" xfId="0" applyBorder="1" applyAlignment="1">
      <alignment horizontal="left" vertical="top" wrapText="1"/>
    </xf>
    <xf fontId="0" fillId="0" borderId="4" numFmtId="0" xfId="0" applyBorder="1" applyAlignment="1">
      <alignment horizontal="left" vertical="top" wrapText="1"/>
    </xf>
    <xf fontId="0" fillId="0" borderId="13" numFmtId="0" xfId="0" applyBorder="1" applyAlignment="1">
      <alignment horizontal="left" vertical="top" wrapText="1"/>
    </xf>
    <xf fontId="12" fillId="0" borderId="17" numFmtId="0" xfId="0" applyFont="1" applyBorder="1"/>
    <xf fontId="0" fillId="0" borderId="18" numFmtId="0" xfId="0" applyBorder="1"/>
    <xf fontId="0" fillId="0" borderId="8" numFmtId="0" xfId="0" applyBorder="1" applyAlignment="1">
      <alignment wrapText="1"/>
    </xf>
    <xf fontId="12" fillId="0" borderId="10" numFmtId="1" xfId="0" applyNumberFormat="1" applyFont="1" applyBorder="1" applyAlignment="1">
      <alignment horizontal="left"/>
    </xf>
    <xf fontId="12" fillId="0" borderId="10" numFmtId="14" xfId="0" applyNumberFormat="1" applyFont="1" applyBorder="1" applyAlignment="1">
      <alignment horizontal="left"/>
    </xf>
    <xf fontId="12" fillId="0" borderId="10" numFmtId="0" xfId="0" applyFont="1" applyBorder="1" applyAlignment="1">
      <alignment horizontal="left"/>
    </xf>
    <xf fontId="12" fillId="0" borderId="16" numFmtId="14" xfId="0" applyNumberFormat="1" applyFont="1" applyBorder="1" applyAlignment="1">
      <alignment horizontal="left"/>
    </xf>
    <xf fontId="12" fillId="0" borderId="17" numFmtId="14" xfId="0" applyNumberFormat="1" applyFont="1" applyBorder="1" applyAlignment="1">
      <alignment horizontal="left"/>
    </xf>
    <xf fontId="12" fillId="0" borderId="10" numFmtId="161" xfId="0" applyNumberFormat="1" applyFont="1" applyBorder="1" applyAlignment="1">
      <alignment horizontal="left"/>
    </xf>
    <xf fontId="12" fillId="0" borderId="0" numFmtId="0" xfId="0" applyFont="1" applyAlignment="1">
      <alignment horizontal="left"/>
    </xf>
    <xf fontId="12" fillId="0" borderId="4" numFmtId="0" xfId="0" applyFont="1" applyBorder="1" applyAlignment="1">
      <alignment horizontal="center"/>
    </xf>
    <xf fontId="12" fillId="0" borderId="13" numFmtId="0" xfId="0" applyFont="1" applyBorder="1" applyAlignment="1">
      <alignment horizontal="center"/>
    </xf>
    <xf fontId="12" fillId="0" borderId="40" numFmtId="0" xfId="0" applyFont="1" applyBorder="1"/>
    <xf fontId="12" fillId="0" borderId="41" numFmtId="0" xfId="0" applyFont="1" applyBorder="1"/>
    <xf fontId="12" fillId="0" borderId="42" numFmtId="0" xfId="0" applyFont="1" applyBorder="1"/>
    <xf fontId="12" fillId="0" borderId="43" numFmtId="0" xfId="0" applyFont="1" applyBorder="1"/>
    <xf fontId="0" fillId="0" borderId="44" numFmtId="20" xfId="0" applyNumberFormat="1" applyBorder="1" applyAlignment="1">
      <alignment horizontal="left"/>
    </xf>
    <xf fontId="0" fillId="0" borderId="45" numFmtId="0" xfId="0" applyBorder="1"/>
    <xf fontId="0" fillId="0" borderId="46" numFmtId="20" xfId="0" applyNumberFormat="1" applyBorder="1" applyAlignment="1">
      <alignment horizontal="left"/>
    </xf>
    <xf fontId="0" fillId="0" borderId="47" numFmtId="0" xfId="0" applyBorder="1"/>
    <xf fontId="0" fillId="0" borderId="48" numFmtId="0" xfId="0" applyBorder="1"/>
    <xf fontId="0" fillId="0" borderId="49" numFmtId="0" xfId="0" applyBorder="1"/>
    <xf fontId="0" fillId="0" borderId="50" numFmtId="0" xfId="0" applyBorder="1"/>
    <xf fontId="0" fillId="0" borderId="51" numFmtId="0" xfId="0" applyBorder="1"/>
    <xf fontId="0" fillId="0" borderId="52" numFmtId="0" xfId="0" applyBorder="1"/>
    <xf fontId="0" fillId="0" borderId="53" numFmtId="20" xfId="0" applyNumberFormat="1" applyBorder="1" applyAlignment="1">
      <alignment horizontal="left"/>
    </xf>
    <xf fontId="0" fillId="0" borderId="37" numFmtId="0" xfId="0" applyBorder="1"/>
    <xf fontId="0" fillId="0" borderId="54" numFmtId="0" xfId="0" applyBorder="1"/>
    <xf fontId="0" fillId="0" borderId="55" numFmtId="0" xfId="0" applyBorder="1"/>
    <xf fontId="0" fillId="0" borderId="56" numFmtId="20" xfId="0" applyNumberFormat="1" applyBorder="1" applyAlignment="1">
      <alignment horizontal="left"/>
    </xf>
    <xf fontId="0" fillId="0" borderId="0" numFmtId="2" xfId="0" applyNumberFormat="1"/>
    <xf fontId="0" fillId="0" borderId="17" numFmtId="0" xfId="0" applyBorder="1"/>
    <xf fontId="12" fillId="0" borderId="14" numFmtId="2" xfId="0" applyNumberFormat="1" applyFont="1" applyBorder="1"/>
    <xf fontId="0" fillId="0" borderId="57" numFmtId="0" xfId="0" applyBorder="1"/>
    <xf fontId="12" fillId="0" borderId="0" numFmtId="0" xfId="0" applyFont="1"/>
    <xf fontId="12" fillId="0" borderId="4" numFmtId="0" xfId="0" applyFont="1" applyBorder="1"/>
    <xf fontId="12" fillId="0" borderId="8" numFmtId="161" xfId="0" applyNumberFormat="1" applyFont="1" applyBorder="1" applyAlignment="1">
      <alignment horizontal="left"/>
    </xf>
    <xf fontId="12" fillId="0" borderId="8" numFmtId="2" xfId="0" applyNumberFormat="1" applyFont="1" applyBorder="1" applyAlignment="1">
      <alignment horizontal="left"/>
    </xf>
    <xf fontId="12" fillId="0" borderId="12" numFmtId="0" xfId="0" applyFont="1" applyBorder="1" applyAlignment="1">
      <alignment horizontal="left"/>
    </xf>
    <xf fontId="12" fillId="0" borderId="12" numFmtId="0" xfId="0" applyFont="1" applyBorder="1"/>
    <xf fontId="12" fillId="0" borderId="0" numFmtId="1" xfId="0" applyNumberFormat="1" applyFont="1" applyAlignment="1">
      <alignment horizontal="left"/>
    </xf>
    <xf fontId="12" fillId="0" borderId="4" numFmtId="0" xfId="0" applyFont="1" applyBorder="1" applyAlignment="1">
      <alignment horizontal="left"/>
    </xf>
    <xf fontId="0" fillId="0" borderId="58" numFmtId="0" xfId="0" applyBorder="1"/>
    <xf fontId="12" fillId="0" borderId="4" numFmtId="162" xfId="0" applyNumberFormat="1" applyFont="1" applyBorder="1"/>
    <xf fontId="7" fillId="7" borderId="10" numFmtId="0" xfId="8" applyFont="1" applyFill="1" applyBorder="1"/>
    <xf fontId="12" fillId="0" borderId="14" numFmtId="0" xfId="0" applyFont="1" applyBorder="1"/>
    <xf fontId="12" fillId="0" borderId="16" numFmtId="0" xfId="0" applyFont="1" applyBorder="1"/>
    <xf fontId="0" fillId="0" borderId="59" numFmtId="0" xfId="0" applyBorder="1"/>
    <xf fontId="0" fillId="0" borderId="60" numFmtId="163" xfId="0" applyNumberFormat="1" applyBorder="1"/>
    <xf fontId="0" fillId="0" borderId="61" numFmtId="0" xfId="0" applyBorder="1"/>
    <xf fontId="0" fillId="0" borderId="62" numFmtId="0" xfId="0" applyBorder="1" applyAlignment="1">
      <alignment horizontal="left" indent="1"/>
    </xf>
    <xf fontId="0" fillId="8" borderId="63" numFmtId="163" xfId="0" applyNumberFormat="1" applyFill="1" applyBorder="1"/>
    <xf fontId="0" fillId="0" borderId="64" numFmtId="0" xfId="0" applyBorder="1"/>
    <xf fontId="0" fillId="0" borderId="62" numFmtId="0" xfId="0" applyBorder="1"/>
    <xf fontId="0" fillId="8" borderId="63" numFmtId="0" xfId="0" applyFill="1" applyBorder="1"/>
    <xf fontId="0" fillId="0" borderId="63" numFmtId="163" xfId="0" applyNumberFormat="1" applyBorder="1"/>
    <xf fontId="0" fillId="0" borderId="65" numFmtId="0" xfId="0" applyBorder="1"/>
    <xf fontId="0" fillId="0" borderId="66" numFmtId="163" xfId="0" applyNumberFormat="1" applyBorder="1"/>
    <xf fontId="0" fillId="0" borderId="67" numFmtId="0" xfId="0" applyBorder="1"/>
    <xf fontId="0" fillId="0" borderId="0" numFmtId="163" xfId="0" applyNumberFormat="1"/>
    <xf fontId="12" fillId="0" borderId="15" numFmtId="0" xfId="0" applyFont="1" applyBorder="1"/>
    <xf fontId="12" fillId="0" borderId="10" numFmtId="49" xfId="0" applyNumberFormat="1" applyFont="1" applyBorder="1" applyAlignment="1">
      <alignment horizontal="left"/>
    </xf>
    <xf fontId="12" fillId="0" borderId="9" numFmtId="161" xfId="0" applyNumberFormat="1" applyFont="1" applyBorder="1" applyAlignment="1">
      <alignment horizontal="left"/>
    </xf>
    <xf fontId="12" fillId="0" borderId="0" numFmtId="161" xfId="0" applyNumberFormat="1" applyFont="1" applyAlignment="1">
      <alignment horizontal="left"/>
    </xf>
    <xf fontId="12" fillId="0" borderId="17" numFmtId="0" xfId="0" applyFont="1" applyBorder="1" applyAlignment="1">
      <alignment horizontal="left"/>
    </xf>
    <xf fontId="0" fillId="0" borderId="8" numFmtId="0" xfId="0" applyBorder="1" applyAlignment="1">
      <alignment horizontal="left" indent="1"/>
    </xf>
    <xf fontId="12" fillId="0" borderId="9" numFmtId="0" xfId="0" applyFont="1" applyBorder="1" applyAlignment="1">
      <alignment horizontal="left"/>
    </xf>
    <xf fontId="0" fillId="0" borderId="68" numFmtId="0" xfId="0" applyBorder="1"/>
    <xf fontId="0" fillId="8" borderId="69" numFmtId="0" xfId="0" applyFill="1" applyBorder="1" applyAlignment="1">
      <alignment horizontal="center"/>
    </xf>
    <xf fontId="0" fillId="8" borderId="70" numFmtId="0" xfId="0" applyFill="1" applyBorder="1" applyAlignment="1">
      <alignment horizontal="center"/>
    </xf>
    <xf fontId="0" fillId="8" borderId="71" numFmtId="0" xfId="0" applyFill="1" applyBorder="1" applyAlignment="1">
      <alignment horizontal="center"/>
    </xf>
    <xf fontId="0" fillId="8" borderId="72" numFmtId="0" xfId="0" applyFill="1" applyBorder="1" applyAlignment="1">
      <alignment horizontal="center"/>
    </xf>
    <xf fontId="0" fillId="8" borderId="73" numFmtId="0" xfId="0" applyFill="1" applyBorder="1" applyAlignment="1">
      <alignment horizontal="center"/>
    </xf>
    <xf fontId="0" fillId="8" borderId="74" numFmtId="0" xfId="0" applyFill="1" applyBorder="1" applyAlignment="1">
      <alignment horizontal="center"/>
    </xf>
    <xf fontId="0" fillId="0" borderId="46" numFmtId="20" xfId="0" applyNumberFormat="1" applyBorder="1" applyAlignment="1" quotePrefix="1">
      <alignment horizontal="left"/>
    </xf>
    <xf fontId="0" fillId="0" borderId="75" numFmtId="20" xfId="0" applyNumberFormat="1" applyBorder="1" applyAlignment="1">
      <alignment horizontal="left"/>
    </xf>
    <xf fontId="0" fillId="8" borderId="76" numFmtId="0" xfId="0" applyFill="1" applyBorder="1" applyAlignment="1">
      <alignment horizontal="center"/>
    </xf>
    <xf fontId="0" fillId="8" borderId="77" numFmtId="0" xfId="0" applyFill="1" applyBorder="1" applyAlignment="1">
      <alignment horizontal="center"/>
    </xf>
    <xf fontId="0" fillId="8" borderId="78" numFmtId="0" xfId="0" applyFill="1" applyBorder="1" applyAlignment="1">
      <alignment horizontal="center"/>
    </xf>
    <xf fontId="12" fillId="0" borderId="40" numFmtId="20" xfId="0" applyNumberFormat="1" applyFont="1" applyBorder="1" applyAlignment="1">
      <alignment horizontal="left"/>
    </xf>
    <xf fontId="0" fillId="0" borderId="46" numFmtId="49" xfId="0" applyNumberFormat="1" applyBorder="1" applyAlignment="1">
      <alignment horizontal="left"/>
    </xf>
    <xf fontId="0" fillId="0" borderId="21" numFmtId="0" xfId="0" applyBorder="1" applyAlignment="1">
      <alignment horizontal="center"/>
    </xf>
    <xf fontId="0" fillId="8" borderId="21" numFmtId="0" xfId="0" applyFill="1" applyBorder="1"/>
    <xf fontId="0" fillId="0" borderId="79" numFmtId="0" xfId="0" applyBorder="1" applyAlignment="1">
      <alignment horizontal="center"/>
    </xf>
    <xf fontId="0" fillId="0" borderId="0" numFmtId="49" xfId="0" applyNumberFormat="1" applyAlignment="1">
      <alignment horizontal="left"/>
    </xf>
    <xf fontId="0" fillId="0" borderId="26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50" numFmtId="49" xfId="0" applyNumberFormat="1" applyBorder="1" applyAlignment="1">
      <alignment horizontal="left"/>
    </xf>
    <xf fontId="0" fillId="0" borderId="48" numFmtId="0" xfId="0" applyBorder="1" applyAlignment="1">
      <alignment horizontal="center"/>
    </xf>
    <xf fontId="0" fillId="0" borderId="47" numFmtId="0" xfId="0" applyBorder="1" applyAlignment="1">
      <alignment horizontal="center"/>
    </xf>
    <xf fontId="0" fillId="0" borderId="74" numFmtId="0" xfId="0" applyBorder="1" applyAlignment="1">
      <alignment horizontal="center"/>
    </xf>
    <xf fontId="0" fillId="0" borderId="44" numFmtId="49" xfId="0" applyNumberFormat="1" applyBorder="1" applyAlignment="1">
      <alignment horizontal="left"/>
    </xf>
    <xf fontId="0" fillId="0" borderId="51" numFmtId="0" xfId="0" applyBorder="1" applyAlignment="1">
      <alignment horizontal="center"/>
    </xf>
    <xf fontId="0" fillId="0" borderId="37" numFmtId="0" xfId="0" applyBorder="1" applyAlignment="1">
      <alignment horizontal="center"/>
    </xf>
    <xf fontId="0" fillId="0" borderId="78" numFmtId="0" xfId="0" applyBorder="1" applyAlignment="1">
      <alignment horizontal="center"/>
    </xf>
    <xf fontId="12" fillId="0" borderId="14" numFmtId="164" xfId="0" applyNumberFormat="1" applyFont="1" applyBorder="1"/>
    <xf fontId="12" fillId="0" borderId="6" numFmtId="0" xfId="0" applyFont="1" applyBorder="1" applyAlignment="1">
      <alignment horizontal="left"/>
    </xf>
    <xf fontId="12" fillId="0" borderId="13" numFmtId="0" xfId="0" applyFont="1" applyBorder="1" applyAlignment="1">
      <alignment horizontal="left"/>
    </xf>
    <xf fontId="14" fillId="5" borderId="0" numFmtId="0" xfId="5" applyFont="1" applyFill="1" applyAlignment="1">
      <alignment horizontal="right"/>
    </xf>
    <xf fontId="14" fillId="5" borderId="0" numFmtId="1" xfId="5" applyNumberFormat="1" applyFont="1" applyFill="1" applyAlignment="1">
      <alignment horizontal="right"/>
    </xf>
    <xf fontId="14" fillId="5" borderId="0" numFmtId="162" xfId="5" applyNumberFormat="1" applyFont="1" applyFill="1" applyAlignment="1">
      <alignment horizontal="right"/>
    </xf>
    <xf fontId="14" fillId="5" borderId="0" numFmtId="2" xfId="5" applyNumberFormat="1" applyFont="1" applyFill="1" applyAlignment="1">
      <alignment horizontal="right"/>
    </xf>
    <xf fontId="14" fillId="5" borderId="0" numFmtId="161" xfId="5" applyNumberFormat="1" applyFont="1" applyFill="1" applyAlignment="1">
      <alignment horizontal="right"/>
    </xf>
    <xf fontId="0" fillId="0" borderId="0" numFmtId="1" xfId="0" applyNumberFormat="1"/>
    <xf fontId="0" fillId="0" borderId="0" numFmtId="162" xfId="0" applyNumberFormat="1"/>
    <xf fontId="0" fillId="0" borderId="0" numFmtId="161" xfId="0" applyNumberFormat="1"/>
  </cellXfs>
  <cellStyles count="9">
    <cellStyle name="40% - Accent3" xfId="1" builtinId="39"/>
    <cellStyle name="Accent3" xfId="2" builtinId="37"/>
    <cellStyle name="Excel Built-in Accent3" xfId="3"/>
    <cellStyle name="Excel Built-in Heading 1" xfId="4"/>
    <cellStyle name="Goed" xfId="5" builtinId="26"/>
    <cellStyle name="Kop 1" xfId="6" builtinId="16"/>
    <cellStyle name="Neutraal" xfId="7" builtinId="28"/>
    <cellStyle name="Ongeldig" xfId="8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20">
      <selection activeCell="B22" activeCellId="0" sqref="B22"/>
    </sheetView>
  </sheetViews>
  <sheetFormatPr defaultRowHeight="14.25"/>
  <cols>
    <col bestFit="1" customWidth="1" min="1" max="1" width="26.33203125"/>
    <col bestFit="1" customWidth="1" min="2" max="2" width="10.33203125"/>
    <col bestFit="1" customWidth="1" min="4" max="4" width="24.109375"/>
    <col bestFit="1" customWidth="1" min="5" max="5" width="28.21875"/>
    <col bestFit="1" customWidth="1" min="6" max="6" width="18.44140625"/>
  </cols>
  <sheetData>
    <row r="1" ht="20.25">
      <c r="A1" s="1" t="s">
        <v>0</v>
      </c>
    </row>
    <row r="2" ht="15.6">
      <c r="A2" s="2"/>
      <c r="D2" s="3"/>
      <c r="E2" s="3"/>
      <c r="F2" s="3"/>
    </row>
    <row r="3" ht="18" customHeight="1">
      <c r="A3" s="4" t="s">
        <v>1</v>
      </c>
      <c r="B3" s="4"/>
      <c r="C3" s="5"/>
      <c r="D3" s="4" t="s">
        <v>2</v>
      </c>
      <c r="E3" s="4"/>
      <c r="F3" s="4"/>
    </row>
    <row r="4" ht="15" customHeight="1">
      <c r="A4" s="6" t="s">
        <v>3</v>
      </c>
      <c r="B4" s="7" t="s">
        <v>4</v>
      </c>
      <c r="C4" s="8"/>
      <c r="D4" s="6" t="s">
        <v>5</v>
      </c>
      <c r="E4" s="9" t="s">
        <v>6</v>
      </c>
      <c r="F4" s="5" t="s">
        <v>7</v>
      </c>
    </row>
    <row r="5">
      <c r="A5" s="10" t="s">
        <v>8</v>
      </c>
      <c r="B5" s="11">
        <v>2</v>
      </c>
      <c r="C5" s="11"/>
      <c r="D5" s="10"/>
      <c r="E5" s="9" t="s">
        <v>9</v>
      </c>
      <c r="F5" s="5" t="s">
        <v>10</v>
      </c>
    </row>
    <row r="6">
      <c r="A6" s="10" t="s">
        <v>11</v>
      </c>
      <c r="B6" s="12">
        <v>36508</v>
      </c>
      <c r="C6" s="12"/>
      <c r="D6" s="10"/>
      <c r="E6" s="9" t="s">
        <v>12</v>
      </c>
      <c r="F6" s="5" t="s">
        <v>13</v>
      </c>
    </row>
    <row r="7" ht="15">
      <c r="A7" s="13" t="s">
        <v>14</v>
      </c>
      <c r="B7" s="14">
        <v>23</v>
      </c>
      <c r="C7" s="10"/>
      <c r="D7" s="10" t="s">
        <v>15</v>
      </c>
      <c r="E7" s="15" t="s">
        <v>16</v>
      </c>
      <c r="F7" s="5" t="s">
        <v>17</v>
      </c>
    </row>
    <row r="8" ht="15">
      <c r="B8" s="16"/>
      <c r="C8" s="5"/>
      <c r="D8" s="10" t="s">
        <v>18</v>
      </c>
      <c r="E8" s="17">
        <v>8</v>
      </c>
      <c r="F8" s="5" t="s">
        <v>19</v>
      </c>
    </row>
    <row r="9">
      <c r="C9" s="5"/>
      <c r="D9" s="10" t="s">
        <v>20</v>
      </c>
      <c r="E9" s="17">
        <v>70</v>
      </c>
      <c r="F9" s="5" t="s">
        <v>21</v>
      </c>
    </row>
    <row r="10" ht="15">
      <c r="C10" s="5"/>
      <c r="D10" s="18" t="s">
        <v>22</v>
      </c>
      <c r="E10" s="19">
        <v>3</v>
      </c>
      <c r="F10" s="20" t="s">
        <v>23</v>
      </c>
    </row>
    <row r="11" ht="15.6">
      <c r="C11" s="5"/>
      <c r="D11" s="21" t="s">
        <v>24</v>
      </c>
      <c r="E11" s="22"/>
      <c r="F11" s="22"/>
    </row>
    <row r="12" ht="15.6">
      <c r="C12" s="5"/>
      <c r="D12" s="21"/>
      <c r="E12" s="22"/>
      <c r="F12" s="22"/>
    </row>
    <row r="13" ht="15.6">
      <c r="C13" s="5"/>
      <c r="D13" s="21"/>
      <c r="E13" s="22"/>
      <c r="F13" s="22"/>
    </row>
    <row r="14" ht="15"/>
  </sheetData>
  <mergeCells count="4">
    <mergeCell ref="A3:B3"/>
    <mergeCell ref="D3:F3"/>
    <mergeCell ref="D11:D13"/>
    <mergeCell ref="E11:F1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" workbookViewId="0" zoomScale="100">
      <selection activeCell="C48" activeCellId="0" sqref="C48"/>
    </sheetView>
  </sheetViews>
  <sheetFormatPr defaultRowHeight="14.25"/>
  <cols>
    <col bestFit="1" customWidth="1" min="1" max="1" width="27.109375"/>
    <col customWidth="1" min="2" max="2" width="23.77734375"/>
    <col customWidth="1" min="3" max="4" width="10.77734375"/>
    <col customWidth="1" min="6" max="6" width="9.5546875"/>
    <col bestFit="1" customWidth="1" min="8" max="8" width="16.21875"/>
    <col bestFit="1" customWidth="1" min="10" max="10" width="16.21875"/>
    <col bestFit="1" customWidth="1" min="11" max="11" width="18.6640625"/>
    <col bestFit="1" customWidth="1" min="12" max="12" width="16.21875"/>
  </cols>
  <sheetData>
    <row r="1" ht="20.25">
      <c r="A1" s="23" t="s">
        <v>25</v>
      </c>
    </row>
    <row r="2" ht="15.6"/>
    <row r="3" ht="15.6">
      <c r="A3" s="24" t="s">
        <v>1</v>
      </c>
      <c r="B3" s="25"/>
    </row>
    <row r="4" ht="15">
      <c r="A4" s="6" t="s">
        <v>3</v>
      </c>
      <c r="B4" s="26" t="str">
        <f>'Algemene informatie'!B4</f>
        <v>T2A_40</v>
      </c>
    </row>
    <row r="5">
      <c r="A5" s="10" t="s">
        <v>8</v>
      </c>
      <c r="B5" s="27">
        <f>'Algemene informatie'!B5</f>
        <v>2</v>
      </c>
    </row>
    <row r="6" ht="15">
      <c r="A6" s="18" t="s">
        <v>11</v>
      </c>
      <c r="B6" s="28">
        <f>'Algemene informatie'!B6</f>
        <v>36508</v>
      </c>
    </row>
    <row r="7" ht="15.6"/>
    <row r="8" ht="15.6">
      <c r="A8" s="24" t="s">
        <v>26</v>
      </c>
      <c r="B8" s="25"/>
    </row>
    <row r="9" ht="15">
      <c r="A9" s="10" t="s">
        <v>27</v>
      </c>
      <c r="B9" s="29" t="s">
        <v>28</v>
      </c>
    </row>
    <row r="10">
      <c r="A10" s="10" t="s">
        <v>29</v>
      </c>
      <c r="B10" s="29" t="s">
        <v>30</v>
      </c>
    </row>
    <row r="11" ht="15">
      <c r="A11" s="18" t="s">
        <v>31</v>
      </c>
      <c r="B11" s="30">
        <v>0.54166666666666663</v>
      </c>
    </row>
    <row r="12" ht="15.6"/>
    <row r="13" ht="15.6">
      <c r="A13" s="31" t="s">
        <v>32</v>
      </c>
      <c r="B13" s="32"/>
      <c r="C13" s="32"/>
      <c r="D13" s="32"/>
      <c r="E13" s="33"/>
      <c r="F13" s="34" t="s">
        <v>33</v>
      </c>
      <c r="G13" s="35"/>
      <c r="H13" s="36" t="s">
        <v>34</v>
      </c>
      <c r="I13" s="37"/>
    </row>
    <row r="14" ht="15.6">
      <c r="A14" s="38"/>
      <c r="B14" s="39" t="s">
        <v>35</v>
      </c>
      <c r="C14" s="39" t="s">
        <v>36</v>
      </c>
      <c r="D14" s="39" t="s">
        <v>37</v>
      </c>
      <c r="E14" s="40" t="s">
        <v>38</v>
      </c>
      <c r="F14" s="41"/>
      <c r="G14" s="42"/>
      <c r="H14" s="43"/>
      <c r="I14" s="37"/>
    </row>
    <row r="15" ht="15">
      <c r="A15" s="44" t="s">
        <v>39</v>
      </c>
      <c r="B15" s="45">
        <v>65.099999999999994</v>
      </c>
      <c r="C15" s="46">
        <v>65.099999999999994</v>
      </c>
      <c r="D15" s="47"/>
      <c r="E15" s="5" t="s">
        <v>40</v>
      </c>
      <c r="F15" s="48">
        <f t="shared" ref="F15:F32" si="0">+(C15-B15)/B15</f>
        <v>0</v>
      </c>
      <c r="G15" s="5" t="str">
        <f t="shared" ref="G15:G27" si="1">IF(ABS(F15)&gt;1%,"Yes","No")</f>
        <v>No</v>
      </c>
      <c r="H15" s="49">
        <f t="shared" ref="H15:H32" si="2">IF(D15=0,AVERAGE(B15,C15),MEDIAN(B15:D15))</f>
        <v>65.099999999999994</v>
      </c>
    </row>
    <row r="16">
      <c r="A16" s="50" t="s">
        <v>41</v>
      </c>
      <c r="B16" s="51">
        <v>178.09999999999999</v>
      </c>
      <c r="C16" s="52">
        <v>178.59999999999999</v>
      </c>
      <c r="D16" s="53"/>
      <c r="E16" s="5" t="s">
        <v>42</v>
      </c>
      <c r="F16" s="48">
        <f t="shared" si="0"/>
        <v>0.002807411566535654</v>
      </c>
      <c r="G16" s="5" t="str">
        <f t="shared" si="1"/>
        <v>No</v>
      </c>
      <c r="H16" s="49">
        <f t="shared" si="2"/>
        <v>178.34999999999999</v>
      </c>
    </row>
    <row r="17">
      <c r="A17" s="54"/>
      <c r="B17" s="55"/>
      <c r="C17" s="56"/>
      <c r="D17" s="57"/>
      <c r="E17" s="58"/>
      <c r="F17" s="59"/>
      <c r="G17" s="58"/>
      <c r="H17" s="60"/>
    </row>
    <row r="18">
      <c r="A18" s="61" t="s">
        <v>43</v>
      </c>
      <c r="B18" s="51">
        <v>4.2999999999999998</v>
      </c>
      <c r="C18" s="52">
        <v>4.2000000000000002</v>
      </c>
      <c r="D18" s="53"/>
      <c r="E18" s="5" t="s">
        <v>44</v>
      </c>
      <c r="F18" s="48">
        <f t="shared" si="0"/>
        <v>-0.023255813953488292</v>
      </c>
      <c r="G18" s="5" t="str">
        <f t="shared" ref="G18:G21" si="3">IF(ABS(F18)&gt;5%,"Yes","No")</f>
        <v>No</v>
      </c>
      <c r="H18" s="49">
        <f t="shared" si="2"/>
        <v>4.25</v>
      </c>
      <c r="I18" s="62" t="s">
        <v>45</v>
      </c>
      <c r="J18" s="63"/>
      <c r="K18" s="64"/>
      <c r="L18" s="65">
        <v>34.399999999999999</v>
      </c>
      <c r="M18" s="65" t="s">
        <v>42</v>
      </c>
    </row>
    <row r="19">
      <c r="A19" s="66" t="s">
        <v>46</v>
      </c>
      <c r="B19" s="51">
        <v>11.1</v>
      </c>
      <c r="C19" s="52">
        <v>10.6</v>
      </c>
      <c r="D19" s="53"/>
      <c r="E19" s="5" t="s">
        <v>44</v>
      </c>
      <c r="F19" s="48">
        <f t="shared" si="0"/>
        <v>-0.04504504504504505</v>
      </c>
      <c r="G19" s="5" t="str">
        <f t="shared" si="3"/>
        <v>No</v>
      </c>
      <c r="H19" s="49">
        <f t="shared" si="2"/>
        <v>10.85</v>
      </c>
      <c r="I19" s="62" t="s">
        <v>47</v>
      </c>
      <c r="J19" s="63"/>
      <c r="K19" s="63"/>
      <c r="L19" s="65">
        <f>L18/2</f>
        <v>17.199999999999999</v>
      </c>
      <c r="M19" s="65" t="s">
        <v>42</v>
      </c>
    </row>
    <row r="20">
      <c r="A20" s="61" t="s">
        <v>48</v>
      </c>
      <c r="B20" s="51">
        <v>8</v>
      </c>
      <c r="C20" s="52">
        <v>8</v>
      </c>
      <c r="D20" s="53"/>
      <c r="E20" s="5" t="s">
        <v>44</v>
      </c>
      <c r="F20" s="48">
        <f t="shared" si="0"/>
        <v>0</v>
      </c>
      <c r="G20" s="5" t="str">
        <f t="shared" si="3"/>
        <v>No</v>
      </c>
      <c r="H20" s="49">
        <f t="shared" si="2"/>
        <v>8</v>
      </c>
    </row>
    <row r="21">
      <c r="A21" s="61" t="s">
        <v>49</v>
      </c>
      <c r="B21" s="51">
        <v>10</v>
      </c>
      <c r="C21" s="52">
        <v>9.5999999999999996</v>
      </c>
      <c r="D21" s="53"/>
      <c r="E21" s="5" t="s">
        <v>44</v>
      </c>
      <c r="F21" s="48">
        <f t="shared" si="0"/>
        <v>-0.040000000000000036</v>
      </c>
      <c r="G21" s="5" t="str">
        <f t="shared" si="3"/>
        <v>No</v>
      </c>
      <c r="H21" s="49">
        <f t="shared" si="2"/>
        <v>9.8000000000000007</v>
      </c>
    </row>
    <row r="22">
      <c r="A22" s="67"/>
      <c r="B22" s="55"/>
      <c r="C22" s="56"/>
      <c r="D22" s="57"/>
      <c r="E22" s="58"/>
      <c r="F22" s="59"/>
      <c r="G22" s="58"/>
      <c r="H22" s="60"/>
    </row>
    <row r="23">
      <c r="A23" s="61" t="s">
        <v>50</v>
      </c>
      <c r="B23" s="51">
        <v>47.299999999999997</v>
      </c>
      <c r="C23" s="52">
        <v>47.399999999999999</v>
      </c>
      <c r="D23" s="53"/>
      <c r="E23" s="5" t="s">
        <v>42</v>
      </c>
      <c r="F23" s="48">
        <f t="shared" si="0"/>
        <v>0.0021141649048626093</v>
      </c>
      <c r="G23" s="5" t="str">
        <f t="shared" si="1"/>
        <v>No</v>
      </c>
      <c r="H23" s="49">
        <f t="shared" si="2"/>
        <v>47.349999999999994</v>
      </c>
      <c r="I23" s="62" t="s">
        <v>51</v>
      </c>
      <c r="J23" s="63"/>
      <c r="K23" s="63"/>
      <c r="L23" s="68">
        <f>B23-(B23/2)</f>
        <v>23.649999999999999</v>
      </c>
      <c r="M23" s="69" t="s">
        <v>42</v>
      </c>
    </row>
    <row r="24">
      <c r="A24" s="70" t="s">
        <v>52</v>
      </c>
      <c r="B24" s="51">
        <v>50.700000000000003</v>
      </c>
      <c r="C24" s="52">
        <v>50.799999999999997</v>
      </c>
      <c r="D24" s="53"/>
      <c r="E24" s="5" t="s">
        <v>42</v>
      </c>
      <c r="F24" s="48">
        <f t="shared" si="0"/>
        <v>0.0019723865877710909</v>
      </c>
      <c r="G24" s="5" t="str">
        <f t="shared" si="1"/>
        <v>No</v>
      </c>
      <c r="H24" s="49">
        <f t="shared" si="2"/>
        <v>50.75</v>
      </c>
    </row>
    <row r="25">
      <c r="A25" s="67"/>
      <c r="B25" s="55"/>
      <c r="C25" s="56"/>
      <c r="D25" s="57"/>
      <c r="E25" s="58"/>
      <c r="F25" s="59"/>
      <c r="G25" s="58"/>
      <c r="H25" s="60"/>
    </row>
    <row r="26">
      <c r="A26" s="70" t="s">
        <v>53</v>
      </c>
      <c r="B26" s="51">
        <v>34.5</v>
      </c>
      <c r="C26" s="52">
        <v>34.200000000000003</v>
      </c>
      <c r="D26" s="53"/>
      <c r="E26" s="5" t="s">
        <v>42</v>
      </c>
      <c r="F26" s="48">
        <f t="shared" si="0"/>
        <v>-0.0086956521739129603</v>
      </c>
      <c r="G26" s="5" t="str">
        <f t="shared" si="1"/>
        <v>No</v>
      </c>
      <c r="H26" s="49">
        <f t="shared" si="2"/>
        <v>34.350000000000001</v>
      </c>
    </row>
    <row r="27">
      <c r="A27" s="66" t="s">
        <v>54</v>
      </c>
      <c r="B27" s="71">
        <v>39</v>
      </c>
      <c r="C27" s="72">
        <v>39.200000000000003</v>
      </c>
      <c r="D27" s="73"/>
      <c r="E27" s="5" t="s">
        <v>42</v>
      </c>
      <c r="F27" s="48">
        <f t="shared" si="0"/>
        <v>0.0051282051282052011</v>
      </c>
      <c r="G27" s="5" t="str">
        <f t="shared" si="1"/>
        <v>No</v>
      </c>
      <c r="H27" s="49">
        <f t="shared" si="2"/>
        <v>39.100000000000001</v>
      </c>
    </row>
    <row r="28">
      <c r="A28" s="74"/>
      <c r="B28" s="75"/>
      <c r="C28" s="76"/>
      <c r="D28" s="77"/>
      <c r="E28" s="58"/>
      <c r="F28" s="59"/>
      <c r="G28" s="58"/>
      <c r="H28" s="60"/>
      <c r="J28" s="48"/>
    </row>
    <row r="29">
      <c r="A29" s="61" t="s">
        <v>55</v>
      </c>
      <c r="B29" s="51"/>
      <c r="C29" s="78"/>
      <c r="D29" s="79"/>
      <c r="E29" s="5" t="s">
        <v>44</v>
      </c>
      <c r="F29" s="48" t="e">
        <f t="shared" si="0"/>
        <v>#DIV/0!</v>
      </c>
      <c r="G29" s="5" t="e">
        <f t="shared" ref="G29:G32" si="4">IF(ABS(F29)&gt;5%,"Yes","No")</f>
        <v>#DIV/0!</v>
      </c>
      <c r="H29" s="49" t="e">
        <f t="shared" si="2"/>
        <v>#DIV/0!</v>
      </c>
      <c r="I29" s="80" t="s">
        <v>56</v>
      </c>
      <c r="J29" s="81"/>
      <c r="K29" s="65" t="str">
        <f>B4&amp;"_Biceps"</f>
        <v>T2A_40_Biceps</v>
      </c>
    </row>
    <row r="30">
      <c r="A30" s="66" t="s">
        <v>57</v>
      </c>
      <c r="B30" s="51"/>
      <c r="C30" s="78"/>
      <c r="D30" s="79"/>
      <c r="E30" s="5" t="s">
        <v>44</v>
      </c>
      <c r="F30" s="48" t="e">
        <f t="shared" si="0"/>
        <v>#DIV/0!</v>
      </c>
      <c r="G30" s="5" t="e">
        <f t="shared" si="4"/>
        <v>#DIV/0!</v>
      </c>
      <c r="H30" s="49" t="e">
        <f t="shared" si="2"/>
        <v>#DIV/0!</v>
      </c>
      <c r="I30" s="80" t="s">
        <v>56</v>
      </c>
      <c r="J30" s="81"/>
      <c r="K30" s="65" t="str">
        <f>B4&amp;"_Triceps"</f>
        <v>T2A_40_Triceps</v>
      </c>
    </row>
    <row r="31">
      <c r="A31" s="61" t="s">
        <v>58</v>
      </c>
      <c r="B31" s="51"/>
      <c r="C31" s="78"/>
      <c r="D31" s="79"/>
      <c r="E31" s="5" t="s">
        <v>44</v>
      </c>
      <c r="F31" s="48" t="e">
        <f t="shared" si="0"/>
        <v>#DIV/0!</v>
      </c>
      <c r="G31" s="5" t="e">
        <f t="shared" si="4"/>
        <v>#DIV/0!</v>
      </c>
      <c r="H31" s="49" t="e">
        <f t="shared" si="2"/>
        <v>#DIV/0!</v>
      </c>
      <c r="I31" s="80" t="s">
        <v>56</v>
      </c>
      <c r="J31" s="81"/>
      <c r="K31" s="65" t="str">
        <f>B4&amp;"_Subscapular"</f>
        <v>T2A_40_Subscapular</v>
      </c>
    </row>
    <row r="32" ht="15">
      <c r="A32" s="82" t="s">
        <v>59</v>
      </c>
      <c r="B32" s="83"/>
      <c r="C32" s="84"/>
      <c r="D32" s="85"/>
      <c r="E32" s="20" t="s">
        <v>44</v>
      </c>
      <c r="F32" s="3" t="e">
        <f t="shared" si="0"/>
        <v>#DIV/0!</v>
      </c>
      <c r="G32" s="20" t="e">
        <f t="shared" si="4"/>
        <v>#DIV/0!</v>
      </c>
      <c r="H32" s="86" t="e">
        <f t="shared" si="2"/>
        <v>#DIV/0!</v>
      </c>
      <c r="I32" s="80" t="s">
        <v>56</v>
      </c>
      <c r="J32" s="81"/>
      <c r="K32" s="65" t="str">
        <f>B4&amp;"_Iliac"</f>
        <v>T2A_40_Iliac</v>
      </c>
    </row>
    <row r="33" ht="15.6">
      <c r="A33" s="87"/>
      <c r="B33" s="16"/>
      <c r="C33" s="16"/>
      <c r="D33" s="48"/>
      <c r="E33" s="48"/>
      <c r="F33" s="48"/>
      <c r="G33" s="88" t="s">
        <v>60</v>
      </c>
      <c r="H33" s="89">
        <f>SUM(H18:H21)</f>
        <v>32.900000000000006</v>
      </c>
    </row>
    <row r="34" ht="15.6">
      <c r="A34" s="24" t="s">
        <v>61</v>
      </c>
      <c r="B34" s="39"/>
      <c r="C34" s="39"/>
      <c r="D34" s="25"/>
      <c r="E34" s="90"/>
      <c r="F34" s="48"/>
      <c r="G34" s="16"/>
      <c r="H34" s="48"/>
    </row>
    <row r="35" ht="15.6">
      <c r="A35" s="31" t="s">
        <v>62</v>
      </c>
      <c r="B35" s="32"/>
      <c r="C35" s="32"/>
      <c r="D35" s="33"/>
      <c r="E35" s="48"/>
      <c r="F35" s="48"/>
      <c r="G35" s="48"/>
      <c r="H35" s="48"/>
    </row>
    <row r="36" ht="15.6">
      <c r="A36" s="91" t="s">
        <v>63</v>
      </c>
      <c r="B36" s="92" t="s">
        <v>64</v>
      </c>
      <c r="C36" s="91" t="s">
        <v>65</v>
      </c>
      <c r="D36" s="93"/>
      <c r="E36" s="80" t="s">
        <v>66</v>
      </c>
      <c r="F36" s="81"/>
      <c r="G36" s="94">
        <f>'Algemene informatie'!B7</f>
        <v>23</v>
      </c>
      <c r="H36" s="48" t="s">
        <v>23</v>
      </c>
    </row>
    <row r="37" ht="15">
      <c r="A37" s="10" t="s">
        <v>67</v>
      </c>
      <c r="B37" s="5">
        <f>(495/(1.1533-(0.0643*LOG(H33))))-450</f>
        <v>18.863529015710924</v>
      </c>
      <c r="C37" s="5">
        <f>(495/(1.1369-(0.0598*LOG(H33))))-450</f>
        <v>23.15369642873452</v>
      </c>
      <c r="D37" s="5" t="s">
        <v>68</v>
      </c>
      <c r="E37" s="48"/>
      <c r="F37" s="48"/>
      <c r="G37" s="48"/>
      <c r="H37" s="48"/>
    </row>
    <row r="38">
      <c r="A38" s="10" t="s">
        <v>69</v>
      </c>
      <c r="B38" s="5">
        <f>(495/(1.162-(0.063*LOG(H33))))-450</f>
        <v>14.171293731610319</v>
      </c>
      <c r="C38" s="5">
        <f>(495/(1.1549-(0.0678*LOG(H33))))-450</f>
        <v>20.517059736661793</v>
      </c>
      <c r="D38" s="5" t="s">
        <v>68</v>
      </c>
      <c r="E38" s="48"/>
      <c r="F38" s="48"/>
      <c r="G38" s="48"/>
      <c r="H38" s="48"/>
    </row>
    <row r="39">
      <c r="A39" s="10" t="s">
        <v>70</v>
      </c>
      <c r="B39" s="5">
        <f>(495/(1.1631-(0.0632*LOG(H33))))-450</f>
        <v>13.824839377525677</v>
      </c>
      <c r="C39" s="5">
        <f>(495/(1.1599-(0.0717*LOG(H33))))-450</f>
        <v>20.92756992306181</v>
      </c>
      <c r="D39" s="5" t="s">
        <v>68</v>
      </c>
      <c r="E39" s="48"/>
      <c r="F39" s="48"/>
      <c r="G39" s="48"/>
      <c r="H39" s="48"/>
      <c r="J39" s="48"/>
      <c r="K39" s="48"/>
    </row>
    <row r="40">
      <c r="A40" s="10" t="s">
        <v>71</v>
      </c>
      <c r="B40" s="5">
        <f>(495/(1.1422-(0.0544*LOG(H33))))-450</f>
        <v>17.128963783041229</v>
      </c>
      <c r="C40" s="5">
        <f>(495/(1.1423-(0.0632*LOG(H33))))-450</f>
        <v>23.044482709221427</v>
      </c>
      <c r="D40" s="5" t="s">
        <v>68</v>
      </c>
      <c r="E40" s="48"/>
      <c r="F40" s="48"/>
      <c r="G40" s="48"/>
      <c r="H40" s="48"/>
      <c r="J40" s="95"/>
      <c r="K40" s="95"/>
    </row>
    <row r="41">
      <c r="A41" s="10" t="s">
        <v>72</v>
      </c>
      <c r="B41" s="5">
        <f>(495/(1.162-(0.07*LOG(H33))))-450</f>
        <v>18.840443964092628</v>
      </c>
      <c r="C41" s="5">
        <f>(495/(1.1333-(0.0612*LOG(H33))))-450</f>
        <v>25.756775012068715</v>
      </c>
      <c r="D41" s="5" t="s">
        <v>68</v>
      </c>
      <c r="E41" s="48"/>
      <c r="F41" s="48"/>
      <c r="G41" s="48"/>
      <c r="H41" s="48"/>
      <c r="J41" s="95"/>
      <c r="K41" s="95"/>
    </row>
    <row r="42" ht="15">
      <c r="A42" s="18" t="s">
        <v>73</v>
      </c>
      <c r="B42" s="20">
        <f>(495/(1.1715-(0.0779*LOG(H33))))-450</f>
        <v>19.946922971368735</v>
      </c>
      <c r="C42" s="20">
        <f>(495/(1.1339-(0.0645*LOG(H33))))-450</f>
        <v>27.78038195395311</v>
      </c>
      <c r="D42" s="20" t="s">
        <v>68</v>
      </c>
      <c r="E42" s="48"/>
      <c r="F42" s="48"/>
      <c r="G42" s="48"/>
      <c r="H42" s="48"/>
    </row>
    <row r="43" ht="15.6">
      <c r="A43" s="48"/>
      <c r="B43" s="48"/>
      <c r="C43" s="48"/>
      <c r="D43" s="48"/>
      <c r="E43" s="48"/>
      <c r="F43" s="48"/>
      <c r="G43" s="48"/>
      <c r="H43" s="48"/>
    </row>
    <row r="44" ht="15.6">
      <c r="A44" s="24" t="s">
        <v>74</v>
      </c>
      <c r="B44" s="25"/>
      <c r="D44" s="48"/>
      <c r="E44" s="48"/>
      <c r="F44" s="48"/>
      <c r="G44" s="48"/>
      <c r="H44" s="48"/>
    </row>
    <row r="45" ht="15">
      <c r="A45" s="10" t="s">
        <v>75</v>
      </c>
      <c r="B45" s="96" t="str">
        <f>B4&amp;"_POST_Biceps"</f>
        <v>T2A_40_POST_Biceps</v>
      </c>
      <c r="D45" s="48"/>
      <c r="E45" s="48"/>
      <c r="F45" s="48"/>
      <c r="G45" s="48"/>
      <c r="H45" s="48"/>
    </row>
    <row r="46">
      <c r="A46" s="10"/>
      <c r="B46" s="97" t="str">
        <f>B4&amp;"_POST_Triceps"</f>
        <v>T2A_40_POST_Triceps</v>
      </c>
      <c r="D46" s="48"/>
      <c r="E46" s="48"/>
      <c r="F46" s="48"/>
      <c r="G46" s="48"/>
      <c r="H46" s="48"/>
    </row>
    <row r="47">
      <c r="A47" s="10"/>
      <c r="B47" s="97" t="str">
        <f>B4&amp;"_POST_Subscapula"</f>
        <v>T2A_40_POST_Subscapula</v>
      </c>
      <c r="D47" s="48"/>
      <c r="E47" s="48"/>
      <c r="F47" s="48"/>
      <c r="G47" s="48"/>
      <c r="H47" s="48"/>
    </row>
    <row r="48" ht="15">
      <c r="A48" s="18"/>
      <c r="B48" s="98" t="str">
        <f>B4&amp;"_POST_Crista"</f>
        <v>T2A_40_POST_Crista</v>
      </c>
      <c r="C48" s="48"/>
      <c r="D48" s="48"/>
      <c r="E48" s="48"/>
      <c r="F48" s="48"/>
      <c r="G48" s="48"/>
      <c r="H48" s="48"/>
    </row>
    <row r="49" ht="15.6"/>
    <row r="50" ht="15.6">
      <c r="A50" s="24" t="s">
        <v>76</v>
      </c>
      <c r="B50" s="39"/>
      <c r="C50" s="25"/>
    </row>
    <row r="51" ht="15">
      <c r="A51" s="99"/>
      <c r="B51" s="100"/>
      <c r="C51" s="101"/>
    </row>
    <row r="52">
      <c r="A52" s="102"/>
      <c r="B52" s="103"/>
      <c r="C52" s="104"/>
    </row>
    <row r="53">
      <c r="A53" s="102"/>
      <c r="B53" s="103"/>
      <c r="C53" s="104"/>
    </row>
    <row r="54">
      <c r="A54" s="102"/>
      <c r="B54" s="103"/>
      <c r="C54" s="104"/>
    </row>
    <row r="55" ht="15">
      <c r="A55" s="105"/>
      <c r="B55" s="106"/>
      <c r="C55" s="107"/>
    </row>
    <row r="56" ht="15"/>
  </sheetData>
  <mergeCells count="18">
    <mergeCell ref="A3:B3"/>
    <mergeCell ref="A8:B8"/>
    <mergeCell ref="A13:E13"/>
    <mergeCell ref="F13:G14"/>
    <mergeCell ref="H13:H14"/>
    <mergeCell ref="I18:J18"/>
    <mergeCell ref="I19:K19"/>
    <mergeCell ref="I23:K23"/>
    <mergeCell ref="I29:J29"/>
    <mergeCell ref="I30:J30"/>
    <mergeCell ref="I31:J31"/>
    <mergeCell ref="I32:J32"/>
    <mergeCell ref="A34:D34"/>
    <mergeCell ref="A35:D35"/>
    <mergeCell ref="E36:F36"/>
    <mergeCell ref="A44:B44"/>
    <mergeCell ref="A50:C50"/>
    <mergeCell ref="A51:C5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2" workbookViewId="0" zoomScale="100">
      <selection activeCell="B16" activeCellId="0" sqref="B16:B19"/>
    </sheetView>
  </sheetViews>
  <sheetFormatPr defaultRowHeight="14.25"/>
  <cols>
    <col customWidth="1" min="1" max="1" width="22.88671875"/>
    <col customWidth="1" min="2" max="2" width="32.6640625"/>
    <col customWidth="1" min="3" max="3" width="13.88671875"/>
    <col bestFit="1" customWidth="1" min="4" max="4" width="16.109375"/>
    <col customWidth="1" min="8" max="8" width="8.21875"/>
    <col customWidth="1" min="9" max="9" width="8.77734375"/>
  </cols>
  <sheetData>
    <row r="1" ht="20.25">
      <c r="A1" s="23" t="s">
        <v>77</v>
      </c>
    </row>
    <row r="2" ht="15.6">
      <c r="C2" s="3"/>
    </row>
    <row r="3" ht="15.6">
      <c r="A3" s="24" t="s">
        <v>1</v>
      </c>
      <c r="B3" s="39"/>
      <c r="C3" s="25"/>
    </row>
    <row r="4" ht="15">
      <c r="A4" s="6" t="s">
        <v>3</v>
      </c>
      <c r="B4" s="108" t="str">
        <f>'Algemene informatie'!B4</f>
        <v>T2A_40</v>
      </c>
      <c r="C4" s="109"/>
    </row>
    <row r="5" ht="28.5">
      <c r="A5" s="110" t="s">
        <v>8</v>
      </c>
      <c r="B5" s="111">
        <f>'Algemene informatie'!B5</f>
        <v>2</v>
      </c>
      <c r="C5" s="5"/>
    </row>
    <row r="6">
      <c r="A6" s="10" t="s">
        <v>11</v>
      </c>
      <c r="B6" s="112">
        <f>'Algemene informatie'!B6</f>
        <v>36508</v>
      </c>
      <c r="C6" s="5"/>
    </row>
    <row r="7">
      <c r="A7" s="90" t="s">
        <v>78</v>
      </c>
      <c r="B7" s="113">
        <f>'1A. Antropometrie'!H16</f>
        <v>178.34999999999999</v>
      </c>
      <c r="C7" s="5" t="s">
        <v>42</v>
      </c>
    </row>
    <row r="8" ht="15">
      <c r="A8" s="13" t="s">
        <v>79</v>
      </c>
      <c r="B8" s="113">
        <f>'1A. Antropometrie'!H15</f>
        <v>65.099999999999994</v>
      </c>
      <c r="C8" s="20" t="s">
        <v>40</v>
      </c>
    </row>
    <row r="9" ht="15.6">
      <c r="A9" s="48"/>
      <c r="B9" s="114"/>
      <c r="C9" s="92"/>
    </row>
    <row r="10" ht="15.6">
      <c r="A10" s="24" t="s">
        <v>26</v>
      </c>
      <c r="B10" s="39"/>
      <c r="C10" s="25"/>
    </row>
    <row r="11" ht="15">
      <c r="A11" s="10" t="s">
        <v>27</v>
      </c>
      <c r="B11" s="115" t="str">
        <f>'1A. Antropometrie'!B9</f>
        <v>18/12/2022</v>
      </c>
      <c r="C11" s="5"/>
    </row>
    <row r="12">
      <c r="A12" s="10" t="s">
        <v>80</v>
      </c>
      <c r="B12" s="112" t="s">
        <v>81</v>
      </c>
      <c r="C12" s="5"/>
    </row>
    <row r="13">
      <c r="A13" s="10" t="s">
        <v>31</v>
      </c>
      <c r="B13" s="116">
        <v>0.57291666666666663</v>
      </c>
      <c r="C13" s="5" t="s">
        <v>82</v>
      </c>
    </row>
    <row r="14">
      <c r="A14" s="10" t="s">
        <v>83</v>
      </c>
      <c r="B14" s="117">
        <v>17.600000000000001</v>
      </c>
      <c r="C14" s="5" t="s">
        <v>84</v>
      </c>
    </row>
    <row r="15">
      <c r="A15" s="10" t="s">
        <v>85</v>
      </c>
      <c r="B15" s="117">
        <v>28</v>
      </c>
      <c r="C15" s="5" t="s">
        <v>68</v>
      </c>
    </row>
    <row r="16">
      <c r="A16" s="5" t="s">
        <v>86</v>
      </c>
      <c r="B16" s="17">
        <v>4</v>
      </c>
      <c r="C16" s="5"/>
    </row>
    <row r="17">
      <c r="A17" s="5" t="s">
        <v>87</v>
      </c>
      <c r="B17" s="17" t="s">
        <v>88</v>
      </c>
      <c r="C17" s="5"/>
    </row>
    <row r="18">
      <c r="A18" s="5" t="s">
        <v>89</v>
      </c>
      <c r="B18" s="17" t="s">
        <v>90</v>
      </c>
      <c r="C18" s="5" t="s">
        <v>91</v>
      </c>
    </row>
    <row r="19" ht="15">
      <c r="A19" s="20" t="s">
        <v>92</v>
      </c>
      <c r="B19" s="19" t="s">
        <v>90</v>
      </c>
      <c r="C19" s="20" t="s">
        <v>93</v>
      </c>
    </row>
    <row r="20" ht="15.6">
      <c r="A20" s="3"/>
      <c r="B20" s="3"/>
      <c r="C20" s="3"/>
      <c r="D20" s="3"/>
    </row>
    <row r="21" ht="15.6">
      <c r="A21" s="24" t="s">
        <v>94</v>
      </c>
      <c r="B21" s="39"/>
      <c r="C21" s="39"/>
      <c r="D21" s="25"/>
    </row>
    <row r="22" ht="15.6">
      <c r="A22" s="118" t="s">
        <v>95</v>
      </c>
      <c r="B22" s="119"/>
      <c r="C22" s="118" t="s">
        <v>96</v>
      </c>
      <c r="D22" s="119"/>
    </row>
    <row r="23" ht="15">
      <c r="A23" s="6" t="s">
        <v>97</v>
      </c>
      <c r="B23" s="5"/>
      <c r="C23" s="6" t="s">
        <v>97</v>
      </c>
      <c r="D23" s="5"/>
    </row>
    <row r="24">
      <c r="A24" s="10" t="s">
        <v>98</v>
      </c>
      <c r="B24" s="5"/>
      <c r="C24" s="10" t="s">
        <v>98</v>
      </c>
      <c r="D24" s="5"/>
    </row>
    <row r="25">
      <c r="A25" s="10" t="s">
        <v>99</v>
      </c>
      <c r="B25" s="5"/>
      <c r="C25" s="10" t="s">
        <v>99</v>
      </c>
      <c r="D25" s="5"/>
    </row>
    <row r="26">
      <c r="A26" s="10" t="s">
        <v>100</v>
      </c>
      <c r="B26" s="5"/>
      <c r="C26" s="10" t="s">
        <v>100</v>
      </c>
      <c r="D26" s="5"/>
    </row>
    <row r="27">
      <c r="A27" s="10" t="s">
        <v>101</v>
      </c>
      <c r="B27" s="5"/>
      <c r="C27" s="10"/>
      <c r="D27" s="5"/>
    </row>
    <row r="28">
      <c r="A28" s="10" t="s">
        <v>102</v>
      </c>
      <c r="B28" s="5"/>
      <c r="C28" s="10" t="s">
        <v>102</v>
      </c>
      <c r="D28" s="5"/>
    </row>
    <row r="29" ht="15">
      <c r="A29" s="18" t="s">
        <v>103</v>
      </c>
      <c r="B29" s="20"/>
      <c r="C29" s="18" t="s">
        <v>104</v>
      </c>
      <c r="D29" s="20"/>
    </row>
    <row r="30" ht="15">
      <c r="A30" s="48"/>
      <c r="B30" s="48"/>
      <c r="C30" s="48"/>
      <c r="D30" s="48"/>
    </row>
    <row r="31" ht="15"/>
    <row r="32" ht="15.6">
      <c r="A32" s="24" t="s">
        <v>105</v>
      </c>
      <c r="B32" s="39"/>
      <c r="C32" s="39"/>
      <c r="D32" s="39"/>
      <c r="E32" s="39"/>
      <c r="F32" s="39"/>
      <c r="G32" s="25"/>
    </row>
    <row r="33" ht="15.6">
      <c r="A33" s="120" t="s">
        <v>106</v>
      </c>
      <c r="B33" s="121" t="s">
        <v>107</v>
      </c>
      <c r="C33" s="121" t="s">
        <v>108</v>
      </c>
      <c r="D33" s="121" t="s">
        <v>109</v>
      </c>
      <c r="E33" s="121" t="s">
        <v>110</v>
      </c>
      <c r="F33" s="122" t="s">
        <v>111</v>
      </c>
      <c r="G33" s="123" t="s">
        <v>112</v>
      </c>
    </row>
    <row r="34" ht="15">
      <c r="A34" s="124">
        <v>0.041666666666666664</v>
      </c>
      <c r="B34" s="46">
        <v>100</v>
      </c>
      <c r="C34" s="46">
        <v>1335</v>
      </c>
      <c r="D34" s="46">
        <v>148</v>
      </c>
      <c r="E34" s="46">
        <v>0.79000000000000004</v>
      </c>
      <c r="F34" s="125">
        <v>2</v>
      </c>
      <c r="G34" s="5">
        <v>586</v>
      </c>
    </row>
    <row r="35">
      <c r="A35" s="126">
        <v>0.083333333333333329</v>
      </c>
      <c r="B35" s="52">
        <v>100</v>
      </c>
      <c r="C35" s="52">
        <v>1708</v>
      </c>
      <c r="D35" s="52">
        <v>147</v>
      </c>
      <c r="E35" s="52">
        <v>0.88</v>
      </c>
      <c r="F35" s="52">
        <v>2</v>
      </c>
      <c r="G35" s="127">
        <v>599</v>
      </c>
    </row>
    <row r="36">
      <c r="A36" s="126">
        <v>0.125</v>
      </c>
      <c r="B36" s="52">
        <v>100</v>
      </c>
      <c r="C36" s="52">
        <v>1762</v>
      </c>
      <c r="D36" s="52">
        <v>150</v>
      </c>
      <c r="E36" s="52">
        <v>0.90000000000000002</v>
      </c>
      <c r="F36" s="52">
        <v>2</v>
      </c>
      <c r="G36" s="127">
        <v>597</v>
      </c>
    </row>
    <row r="37">
      <c r="A37" s="126">
        <v>0.16666666666666666</v>
      </c>
      <c r="B37" s="52">
        <f t="shared" ref="B37:B53" si="5">B36+25</f>
        <v>125</v>
      </c>
      <c r="C37" s="52">
        <v>1834</v>
      </c>
      <c r="D37" s="52">
        <v>158</v>
      </c>
      <c r="E37" s="52">
        <v>0.91000000000000003</v>
      </c>
      <c r="F37" s="52">
        <v>3</v>
      </c>
      <c r="G37" s="5">
        <v>604</v>
      </c>
    </row>
    <row r="38">
      <c r="A38" s="126">
        <v>0.20833333333333334</v>
      </c>
      <c r="B38" s="52">
        <f t="shared" si="5"/>
        <v>150</v>
      </c>
      <c r="C38" s="52">
        <v>1967</v>
      </c>
      <c r="D38" s="52">
        <v>165</v>
      </c>
      <c r="E38" s="52">
        <v>0.92000000000000004</v>
      </c>
      <c r="F38" s="52">
        <v>3</v>
      </c>
      <c r="G38" s="128">
        <v>611</v>
      </c>
    </row>
    <row r="39">
      <c r="A39" s="126">
        <v>0.25</v>
      </c>
      <c r="B39" s="52">
        <f t="shared" si="5"/>
        <v>175</v>
      </c>
      <c r="C39" s="52">
        <v>2210</v>
      </c>
      <c r="D39" s="52">
        <v>169</v>
      </c>
      <c r="E39" s="52">
        <v>0.92000000000000004</v>
      </c>
      <c r="F39" s="52">
        <v>3</v>
      </c>
      <c r="G39" s="127">
        <v>619</v>
      </c>
    </row>
    <row r="40">
      <c r="A40" s="126">
        <v>0.29166666666666669</v>
      </c>
      <c r="B40" s="52">
        <f t="shared" si="5"/>
        <v>200</v>
      </c>
      <c r="C40" s="52">
        <v>2420</v>
      </c>
      <c r="D40" s="52">
        <v>174</v>
      </c>
      <c r="E40" s="52">
        <v>0.93999999999999995</v>
      </c>
      <c r="F40" s="52">
        <v>4</v>
      </c>
      <c r="G40" s="5">
        <v>631</v>
      </c>
    </row>
    <row r="41">
      <c r="A41" s="126">
        <v>0.33333333333333331</v>
      </c>
      <c r="B41" s="52">
        <f t="shared" si="5"/>
        <v>225</v>
      </c>
      <c r="C41" s="52">
        <v>2439</v>
      </c>
      <c r="D41" s="52">
        <v>176</v>
      </c>
      <c r="E41" s="52">
        <v>0.96999999999999997</v>
      </c>
      <c r="F41" s="52">
        <v>5</v>
      </c>
      <c r="G41" s="128">
        <v>640</v>
      </c>
    </row>
    <row r="42">
      <c r="A42" s="126">
        <v>0.375</v>
      </c>
      <c r="B42" s="52">
        <f t="shared" si="5"/>
        <v>250</v>
      </c>
      <c r="C42" s="52">
        <v>2835</v>
      </c>
      <c r="D42" s="52">
        <v>179</v>
      </c>
      <c r="E42" s="52">
        <v>1.03</v>
      </c>
      <c r="F42" s="52">
        <v>6</v>
      </c>
      <c r="G42" s="127">
        <v>653</v>
      </c>
    </row>
    <row r="43">
      <c r="A43" s="126">
        <v>0.41666666666666669</v>
      </c>
      <c r="B43" s="52">
        <f t="shared" si="5"/>
        <v>275</v>
      </c>
      <c r="C43" s="52">
        <v>3159</v>
      </c>
      <c r="D43" s="52">
        <v>182</v>
      </c>
      <c r="E43" s="52">
        <v>1.1000000000000001</v>
      </c>
      <c r="F43" s="52">
        <v>7</v>
      </c>
      <c r="G43" s="5">
        <v>664</v>
      </c>
      <c r="K43" s="129"/>
    </row>
    <row r="44">
      <c r="A44" s="126">
        <v>0.45833333333333331</v>
      </c>
      <c r="B44" s="52">
        <f t="shared" si="5"/>
        <v>300</v>
      </c>
      <c r="C44" s="52">
        <v>3451</v>
      </c>
      <c r="D44" s="52">
        <v>186</v>
      </c>
      <c r="E44" s="52">
        <v>1.1899999999999999</v>
      </c>
      <c r="F44" s="52">
        <v>8</v>
      </c>
      <c r="G44" s="128">
        <v>672</v>
      </c>
    </row>
    <row r="45">
      <c r="A45" s="126">
        <v>0.5</v>
      </c>
      <c r="B45" s="52">
        <f t="shared" si="5"/>
        <v>325</v>
      </c>
      <c r="C45" s="52"/>
      <c r="D45" s="52"/>
      <c r="E45" s="52"/>
      <c r="F45" s="52"/>
      <c r="G45" s="128"/>
    </row>
    <row r="46">
      <c r="A46" s="126">
        <v>0.54166666666666663</v>
      </c>
      <c r="B46" s="52">
        <f t="shared" si="5"/>
        <v>350</v>
      </c>
      <c r="C46" s="52"/>
      <c r="D46" s="52"/>
      <c r="E46" s="52"/>
      <c r="F46" s="52"/>
      <c r="G46" s="127"/>
    </row>
    <row r="47">
      <c r="A47" s="126">
        <v>0.58333333333333337</v>
      </c>
      <c r="B47" s="52">
        <f t="shared" si="5"/>
        <v>375</v>
      </c>
      <c r="C47" s="52"/>
      <c r="D47" s="52"/>
      <c r="E47" s="52"/>
      <c r="F47" s="52"/>
      <c r="G47" s="127"/>
    </row>
    <row r="48">
      <c r="A48" s="124">
        <v>0.625</v>
      </c>
      <c r="B48" s="52">
        <f t="shared" si="5"/>
        <v>400</v>
      </c>
      <c r="C48" s="46"/>
      <c r="D48" s="46"/>
      <c r="E48" s="46"/>
      <c r="F48" s="46"/>
      <c r="G48" s="127"/>
    </row>
    <row r="49">
      <c r="A49" s="126">
        <v>0.66666666666666663</v>
      </c>
      <c r="B49" s="52">
        <f t="shared" si="5"/>
        <v>425</v>
      </c>
      <c r="C49" s="52"/>
      <c r="D49" s="52"/>
      <c r="E49" s="52"/>
      <c r="F49" s="52"/>
      <c r="G49" s="127"/>
    </row>
    <row r="50">
      <c r="A50" s="126">
        <v>0.70833333333333337</v>
      </c>
      <c r="B50" s="52">
        <f t="shared" si="5"/>
        <v>450</v>
      </c>
      <c r="C50" s="130"/>
      <c r="D50" s="52"/>
      <c r="E50" s="52"/>
      <c r="F50" s="52"/>
      <c r="G50" s="131"/>
      <c r="H50" s="90"/>
    </row>
    <row r="51">
      <c r="A51" s="124">
        <v>0.75</v>
      </c>
      <c r="B51" s="52">
        <f t="shared" si="5"/>
        <v>475</v>
      </c>
      <c r="C51" s="132"/>
      <c r="D51" s="46"/>
      <c r="E51" s="46"/>
      <c r="F51" s="46"/>
      <c r="G51" s="131"/>
    </row>
    <row r="52">
      <c r="A52" s="124">
        <v>0.79166666666666663</v>
      </c>
      <c r="B52" s="52">
        <f t="shared" si="5"/>
        <v>500</v>
      </c>
      <c r="C52" s="132"/>
      <c r="D52" s="46"/>
      <c r="E52" s="46"/>
      <c r="F52" s="46"/>
      <c r="G52" s="131"/>
      <c r="H52" s="90"/>
    </row>
    <row r="53" ht="15">
      <c r="A53" s="133">
        <v>0.83333333333333337</v>
      </c>
      <c r="B53" s="134">
        <f t="shared" si="5"/>
        <v>525</v>
      </c>
      <c r="C53" s="135"/>
      <c r="D53" s="136"/>
      <c r="E53" s="136"/>
      <c r="F53" s="136"/>
      <c r="G53" s="3"/>
      <c r="H53" s="90"/>
    </row>
    <row r="54" ht="15.6">
      <c r="A54" s="137"/>
      <c r="B54" s="48"/>
      <c r="C54" s="48"/>
      <c r="D54" s="16"/>
      <c r="E54" s="48"/>
      <c r="F54" s="16"/>
      <c r="G54" s="48"/>
    </row>
    <row r="55" ht="15.6">
      <c r="A55" s="24" t="s">
        <v>113</v>
      </c>
      <c r="B55" s="39"/>
      <c r="C55" s="25"/>
      <c r="D55" s="48"/>
      <c r="E55" s="48"/>
      <c r="F55" s="48"/>
      <c r="G55" s="48"/>
    </row>
    <row r="56" ht="15.6">
      <c r="A56" t="s">
        <v>114</v>
      </c>
      <c r="B56" s="138">
        <v>3253</v>
      </c>
      <c r="C56" t="s">
        <v>115</v>
      </c>
      <c r="D56" s="48"/>
      <c r="E56" s="48"/>
      <c r="F56" s="48"/>
      <c r="G56" s="48"/>
    </row>
    <row r="57" ht="15.6">
      <c r="A57" s="139" t="s">
        <v>116</v>
      </c>
      <c r="B57" s="140">
        <f>B56/B8</f>
        <v>49.969278033794168</v>
      </c>
      <c r="C57" s="93" t="s">
        <v>117</v>
      </c>
      <c r="D57" s="48"/>
      <c r="E57" s="48"/>
      <c r="F57" s="48"/>
      <c r="G57" s="48"/>
    </row>
    <row r="58" ht="15.6">
      <c r="A58" s="141"/>
      <c r="B58" s="3"/>
      <c r="C58" s="92"/>
      <c r="D58" s="48"/>
      <c r="E58" s="48"/>
      <c r="F58" s="48"/>
    </row>
    <row r="59" ht="15.6">
      <c r="A59" s="24" t="s">
        <v>74</v>
      </c>
      <c r="B59" s="39"/>
      <c r="C59" s="25"/>
      <c r="D59" s="48"/>
      <c r="E59" s="48"/>
      <c r="F59" s="48"/>
    </row>
    <row r="60" ht="15">
      <c r="A60" s="10" t="s">
        <v>118</v>
      </c>
      <c r="B60" s="142" t="str">
        <f>B4&amp;"_VO2max_POST_STEP"</f>
        <v>T2A_40_VO2max_POST_STEP</v>
      </c>
      <c r="C60" s="5" t="s">
        <v>119</v>
      </c>
      <c r="D60" s="48"/>
      <c r="E60" s="48"/>
      <c r="F60" s="48"/>
    </row>
    <row r="61" ht="15">
      <c r="A61" s="18" t="s">
        <v>118</v>
      </c>
      <c r="B61" s="143" t="str">
        <f>B60&amp;"10sec"</f>
        <v>T2A_40_VO2max_POST_STEP10sec</v>
      </c>
      <c r="C61" s="20" t="s">
        <v>120</v>
      </c>
      <c r="D61" s="48"/>
      <c r="E61" s="48"/>
      <c r="F61" s="48"/>
    </row>
    <row r="62" ht="15.6"/>
    <row r="63" ht="15.6">
      <c r="A63" s="24" t="s">
        <v>76</v>
      </c>
      <c r="B63" s="39"/>
      <c r="C63" s="25"/>
    </row>
    <row r="64" ht="15">
      <c r="A64" s="99" t="s">
        <v>121</v>
      </c>
      <c r="B64" s="100"/>
      <c r="C64" s="101"/>
      <c r="D64" s="48"/>
    </row>
    <row r="65">
      <c r="A65" s="102"/>
      <c r="B65" s="103"/>
      <c r="C65" s="104"/>
      <c r="D65" s="48"/>
    </row>
    <row r="66">
      <c r="A66" s="102"/>
      <c r="B66" s="103"/>
      <c r="C66" s="104"/>
    </row>
    <row r="67">
      <c r="A67" s="102"/>
      <c r="B67" s="103"/>
      <c r="C67" s="104"/>
    </row>
    <row r="68" ht="15">
      <c r="A68" s="105"/>
      <c r="B68" s="106"/>
      <c r="C68" s="107"/>
    </row>
    <row r="69" ht="15"/>
  </sheetData>
  <mergeCells count="10">
    <mergeCell ref="A3:C3"/>
    <mergeCell ref="A10:C10"/>
    <mergeCell ref="A21:D21"/>
    <mergeCell ref="A22:B22"/>
    <mergeCell ref="C22:D22"/>
    <mergeCell ref="A32:G32"/>
    <mergeCell ref="A55:C55"/>
    <mergeCell ref="A59:C59"/>
    <mergeCell ref="A63:C63"/>
    <mergeCell ref="A64:C6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8" activeCellId="0" sqref="D18"/>
    </sheetView>
  </sheetViews>
  <sheetFormatPr defaultRowHeight="14.25"/>
  <cols>
    <col bestFit="1" customWidth="1" min="1" max="1" width="26"/>
    <col customWidth="1" min="2" max="2" width="29.109375"/>
  </cols>
  <sheetData>
    <row r="1" ht="20.25">
      <c r="A1" s="23" t="s">
        <v>122</v>
      </c>
    </row>
    <row r="2" ht="15.6"/>
    <row r="3" ht="15.6">
      <c r="A3" s="24" t="s">
        <v>1</v>
      </c>
      <c r="B3" s="25"/>
    </row>
    <row r="4" ht="15">
      <c r="A4" s="6" t="s">
        <v>3</v>
      </c>
      <c r="B4" s="26" t="str">
        <f>'Algemene informatie'!B4</f>
        <v>T2A_40</v>
      </c>
    </row>
    <row r="5">
      <c r="A5" s="10" t="s">
        <v>8</v>
      </c>
      <c r="B5" s="27">
        <f>'Algemene informatie'!B5</f>
        <v>2</v>
      </c>
    </row>
    <row r="6" ht="15">
      <c r="A6" s="18" t="s">
        <v>11</v>
      </c>
      <c r="B6" s="28">
        <f>'Algemene informatie'!B6</f>
        <v>36508</v>
      </c>
    </row>
    <row r="7" ht="15.6"/>
    <row r="8" ht="15.6">
      <c r="A8" s="24" t="s">
        <v>26</v>
      </c>
      <c r="B8" s="25"/>
    </row>
    <row r="9" ht="15">
      <c r="A9" s="10" t="s">
        <v>27</v>
      </c>
      <c r="B9" s="29" t="s">
        <v>123</v>
      </c>
    </row>
    <row r="10">
      <c r="A10" s="10" t="s">
        <v>80</v>
      </c>
      <c r="B10" s="29" t="s">
        <v>81</v>
      </c>
    </row>
    <row r="11">
      <c r="A11" s="10" t="s">
        <v>31</v>
      </c>
      <c r="B11" s="144">
        <v>0.65625</v>
      </c>
    </row>
    <row r="12">
      <c r="A12" s="10" t="s">
        <v>124</v>
      </c>
      <c r="B12" s="145"/>
      <c r="C12" t="s">
        <v>42</v>
      </c>
    </row>
    <row r="13" ht="15">
      <c r="A13" s="18" t="s">
        <v>125</v>
      </c>
      <c r="B13" s="146"/>
      <c r="C13" s="90" t="s">
        <v>42</v>
      </c>
    </row>
    <row r="14" ht="15.6">
      <c r="A14" s="92"/>
      <c r="B14" s="92"/>
    </row>
    <row r="15" ht="15.6">
      <c r="A15" s="24" t="s">
        <v>74</v>
      </c>
      <c r="B15" s="25"/>
    </row>
    <row r="16" ht="15">
      <c r="A16" s="10" t="s">
        <v>126</v>
      </c>
      <c r="B16" s="26" t="str">
        <f>B4&amp;"_POST_3D_scan1.mhd"</f>
        <v>T2A_40_POST_3D_scan1.mhd</v>
      </c>
    </row>
    <row r="17">
      <c r="A17" s="10" t="s">
        <v>127</v>
      </c>
      <c r="B17" s="26" t="str">
        <f>B4&amp;"_POST_3D_scan2.mhd"</f>
        <v>T2A_40_POST_3D_scan2.mhd</v>
      </c>
    </row>
    <row r="18" ht="15">
      <c r="A18" s="18" t="s">
        <v>128</v>
      </c>
      <c r="B18" s="147" t="str">
        <f>B4&amp;"_POST_3D_botpunten.mhd"</f>
        <v>T2A_40_POST_3D_botpunten.mhd</v>
      </c>
      <c r="C18" s="48"/>
    </row>
    <row r="19" ht="15.6">
      <c r="A19" s="16"/>
      <c r="B19" s="16"/>
      <c r="C19" s="48"/>
      <c r="D19" s="48"/>
      <c r="E19" s="48"/>
      <c r="F19" s="48"/>
      <c r="G19" s="48"/>
    </row>
    <row r="20" ht="15.6">
      <c r="A20" s="24" t="s">
        <v>76</v>
      </c>
      <c r="B20" s="39"/>
      <c r="C20" s="25"/>
    </row>
    <row r="21" ht="15">
      <c r="A21" s="99"/>
      <c r="B21" s="100"/>
      <c r="C21" s="101"/>
    </row>
    <row r="22">
      <c r="A22" s="102"/>
      <c r="B22" s="103"/>
      <c r="C22" s="104"/>
    </row>
    <row r="23">
      <c r="A23" s="102"/>
      <c r="B23" s="103"/>
      <c r="C23" s="104"/>
    </row>
    <row r="24">
      <c r="A24" s="102"/>
      <c r="B24" s="103"/>
      <c r="C24" s="104"/>
    </row>
    <row r="25" ht="15">
      <c r="A25" s="105"/>
      <c r="B25" s="106"/>
      <c r="C25" s="107"/>
    </row>
    <row r="26" ht="15"/>
  </sheetData>
  <mergeCells count="5">
    <mergeCell ref="A3:B3"/>
    <mergeCell ref="A8:B8"/>
    <mergeCell ref="A15:B15"/>
    <mergeCell ref="A20:C20"/>
    <mergeCell ref="A21:C2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workbookViewId="0" zoomScale="100">
      <selection activeCell="H17" activeCellId="0" sqref="H17"/>
    </sheetView>
  </sheetViews>
  <sheetFormatPr defaultRowHeight="14.25"/>
  <cols>
    <col bestFit="1" customWidth="1" min="1" max="1" width="26"/>
    <col bestFit="1" customWidth="1" min="2" max="2" width="16.109375"/>
    <col bestFit="1" customWidth="1" min="3" max="3" width="11"/>
    <col bestFit="1" customWidth="1" min="4" max="4" width="10.5546875"/>
  </cols>
  <sheetData>
    <row r="1" ht="20.25">
      <c r="A1" s="23" t="s">
        <v>129</v>
      </c>
    </row>
    <row r="2" ht="15.6">
      <c r="C2" s="3"/>
    </row>
    <row r="3" ht="15.6">
      <c r="A3" s="24" t="s">
        <v>1</v>
      </c>
      <c r="B3" s="39"/>
      <c r="C3" s="25"/>
    </row>
    <row r="4" ht="15">
      <c r="A4" s="6" t="s">
        <v>3</v>
      </c>
      <c r="B4" s="142" t="str">
        <f>'Algemene informatie'!B4</f>
        <v>T2A_40</v>
      </c>
      <c r="C4" s="109"/>
    </row>
    <row r="5">
      <c r="A5" s="10" t="s">
        <v>8</v>
      </c>
      <c r="B5" s="148">
        <f>'Algemene informatie'!B5</f>
        <v>2</v>
      </c>
      <c r="C5" s="5"/>
    </row>
    <row r="6">
      <c r="A6" s="10" t="s">
        <v>11</v>
      </c>
      <c r="B6" s="112">
        <f>'Algemene informatie'!B6</f>
        <v>36508</v>
      </c>
      <c r="C6" s="5"/>
    </row>
    <row r="7">
      <c r="A7" s="10" t="s">
        <v>79</v>
      </c>
      <c r="B7" s="117">
        <f>'1A. Antropometrie'!H15</f>
        <v>65.099999999999994</v>
      </c>
      <c r="C7" s="5" t="s">
        <v>40</v>
      </c>
    </row>
    <row r="8" ht="15">
      <c r="A8" s="18" t="s">
        <v>78</v>
      </c>
      <c r="B8" s="149">
        <f>'1A. Antropometrie'!H16</f>
        <v>178.34999999999999</v>
      </c>
      <c r="C8" s="20" t="s">
        <v>42</v>
      </c>
    </row>
    <row r="9" ht="15.6">
      <c r="C9" s="3"/>
      <c r="L9" s="150"/>
    </row>
    <row r="10" ht="15.6">
      <c r="A10" s="24" t="s">
        <v>26</v>
      </c>
      <c r="B10" s="39"/>
      <c r="C10" s="25"/>
    </row>
    <row r="11" ht="15">
      <c r="A11" s="10" t="s">
        <v>27</v>
      </c>
      <c r="B11" s="115" t="str">
        <f>'2A. 3D US'!B9</f>
        <v>20/12/2022</v>
      </c>
      <c r="C11" s="5"/>
    </row>
    <row r="12">
      <c r="A12" s="10" t="s">
        <v>80</v>
      </c>
      <c r="B12" s="112" t="s">
        <v>30</v>
      </c>
      <c r="C12" s="5"/>
    </row>
    <row r="13">
      <c r="A13" s="10" t="s">
        <v>31</v>
      </c>
      <c r="B13" s="116">
        <v>0.67708333333333337</v>
      </c>
      <c r="C13" s="5"/>
    </row>
    <row r="14">
      <c r="A14" s="10" t="s">
        <v>83</v>
      </c>
      <c r="B14" s="117">
        <v>16.899999999999999</v>
      </c>
      <c r="C14" s="5" t="s">
        <v>84</v>
      </c>
    </row>
    <row r="15">
      <c r="A15" s="10" t="s">
        <v>85</v>
      </c>
      <c r="B15" s="117">
        <v>57</v>
      </c>
      <c r="C15" s="5" t="s">
        <v>68</v>
      </c>
    </row>
    <row r="16">
      <c r="A16" s="10" t="s">
        <v>87</v>
      </c>
      <c r="B16" s="142" t="str">
        <f>'1B. VO2max'!B17</f>
        <v xml:space="preserve">Look (wit) </v>
      </c>
      <c r="C16" s="5"/>
    </row>
    <row r="17">
      <c r="A17" s="10" t="s">
        <v>130</v>
      </c>
      <c r="B17" s="9">
        <v>9</v>
      </c>
      <c r="C17" s="5"/>
    </row>
    <row r="18">
      <c r="A18" s="10" t="s">
        <v>131</v>
      </c>
      <c r="B18" s="9">
        <v>2</v>
      </c>
      <c r="C18" s="5"/>
    </row>
    <row r="19">
      <c r="A19" s="10" t="s">
        <v>132</v>
      </c>
      <c r="B19" s="9" t="s">
        <v>133</v>
      </c>
      <c r="C19" s="5"/>
    </row>
    <row r="20" ht="15">
      <c r="A20" s="18" t="s">
        <v>134</v>
      </c>
      <c r="B20" s="151">
        <f>0.075*B7</f>
        <v>4.8824999999999994</v>
      </c>
      <c r="C20" s="20" t="s">
        <v>40</v>
      </c>
      <c r="D20" s="152" t="s">
        <v>135</v>
      </c>
      <c r="E20" s="64"/>
      <c r="F20" s="64"/>
      <c r="G20" s="64"/>
    </row>
    <row r="21" ht="15.6">
      <c r="A21" s="92"/>
      <c r="B21" s="92"/>
      <c r="C21" s="92"/>
    </row>
    <row r="22" ht="15.6">
      <c r="A22" s="24" t="s">
        <v>136</v>
      </c>
      <c r="B22" s="39"/>
      <c r="C22" s="25"/>
      <c r="D22" s="90"/>
      <c r="E22" s="48"/>
      <c r="F22" s="48"/>
    </row>
    <row r="23" ht="15.6">
      <c r="A23" s="153" t="s">
        <v>137</v>
      </c>
      <c r="B23" s="154" t="s">
        <v>138</v>
      </c>
      <c r="C23" s="154" t="s">
        <v>139</v>
      </c>
      <c r="D23" s="90"/>
    </row>
    <row r="24" ht="15">
      <c r="A24" s="155" t="s">
        <v>140</v>
      </c>
      <c r="B24" s="156" t="s">
        <v>141</v>
      </c>
      <c r="C24" s="157" t="s">
        <v>142</v>
      </c>
    </row>
    <row r="25">
      <c r="A25" s="158" t="s">
        <v>143</v>
      </c>
      <c r="B25" s="159"/>
      <c r="C25" s="160" t="s">
        <v>144</v>
      </c>
    </row>
    <row r="26">
      <c r="A26" s="158" t="s">
        <v>145</v>
      </c>
      <c r="B26" s="159"/>
      <c r="C26" s="160" t="s">
        <v>146</v>
      </c>
    </row>
    <row r="27">
      <c r="A27" s="158" t="s">
        <v>147</v>
      </c>
      <c r="B27" s="159"/>
      <c r="C27" s="160" t="s">
        <v>148</v>
      </c>
    </row>
    <row r="28">
      <c r="A28" s="161" t="s">
        <v>149</v>
      </c>
      <c r="B28" s="162"/>
      <c r="C28" s="160" t="s">
        <v>150</v>
      </c>
    </row>
    <row r="29">
      <c r="A29" s="161" t="s">
        <v>151</v>
      </c>
      <c r="B29" s="163">
        <v>0.074999999999999997</v>
      </c>
      <c r="C29" s="160" t="s">
        <v>152</v>
      </c>
    </row>
    <row r="30" ht="15">
      <c r="A30" s="164" t="s">
        <v>153</v>
      </c>
      <c r="B30" s="165" t="s">
        <v>141</v>
      </c>
      <c r="C30" s="166" t="s">
        <v>154</v>
      </c>
    </row>
    <row r="31" ht="15.6">
      <c r="A31" s="48"/>
      <c r="B31" s="167"/>
      <c r="C31" s="48"/>
    </row>
    <row r="32" ht="15.6">
      <c r="A32" s="24" t="s">
        <v>113</v>
      </c>
      <c r="B32" s="39"/>
      <c r="C32" s="25"/>
    </row>
    <row r="33" ht="15.6">
      <c r="A33" s="139" t="s">
        <v>155</v>
      </c>
      <c r="B33" s="140">
        <v>897.5</v>
      </c>
      <c r="C33" s="93" t="s">
        <v>156</v>
      </c>
      <c r="D33" s="90"/>
    </row>
    <row r="34" ht="15.6">
      <c r="A34" s="16" t="s">
        <v>157</v>
      </c>
      <c r="B34" s="140">
        <f>B33/B7</f>
        <v>13.786482334869433</v>
      </c>
      <c r="C34" s="48" t="s">
        <v>158</v>
      </c>
      <c r="D34" s="90"/>
    </row>
    <row r="35" ht="15.6">
      <c r="A35" s="92"/>
      <c r="B35" s="92"/>
      <c r="C35" s="92"/>
    </row>
    <row r="36" ht="15.6">
      <c r="A36" s="24" t="s">
        <v>74</v>
      </c>
      <c r="B36" s="39"/>
      <c r="C36" s="25"/>
    </row>
    <row r="37" ht="15.6">
      <c r="A37" s="18" t="s">
        <v>159</v>
      </c>
      <c r="B37" s="153" t="str">
        <f>B4&amp;"_POST_Wingate"</f>
        <v>T2A_40_POST_Wingate</v>
      </c>
      <c r="C37" s="168"/>
      <c r="D37" s="90"/>
    </row>
    <row r="38" ht="15">
      <c r="C38" s="48"/>
    </row>
    <row r="39" ht="15.6">
      <c r="A39" s="24" t="s">
        <v>76</v>
      </c>
      <c r="B39" s="39"/>
      <c r="C39" s="25"/>
    </row>
    <row r="40" ht="15">
      <c r="A40" s="99"/>
      <c r="B40" s="100"/>
      <c r="C40" s="101"/>
    </row>
    <row r="41">
      <c r="A41" s="102"/>
      <c r="B41" s="103"/>
      <c r="C41" s="104"/>
    </row>
    <row r="42">
      <c r="A42" s="102"/>
      <c r="B42" s="103"/>
      <c r="C42" s="104"/>
    </row>
    <row r="43">
      <c r="A43" s="102"/>
      <c r="B43" s="103"/>
      <c r="C43" s="104"/>
    </row>
    <row r="44" ht="15">
      <c r="A44" s="105"/>
      <c r="B44" s="106"/>
      <c r="C44" s="107"/>
    </row>
    <row r="45" ht="15"/>
    <row r="47">
      <c r="A47" s="48"/>
    </row>
  </sheetData>
  <mergeCells count="9">
    <mergeCell ref="A3:C3"/>
    <mergeCell ref="A10:C10"/>
    <mergeCell ref="D20:G20"/>
    <mergeCell ref="A22:C22"/>
    <mergeCell ref="A32:C32"/>
    <mergeCell ref="A36:C36"/>
    <mergeCell ref="B37:C37"/>
    <mergeCell ref="A39:C39"/>
    <mergeCell ref="A40:C4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workbookViewId="0" zoomScale="100">
      <selection activeCell="B30" activeCellId="0" sqref="B30"/>
    </sheetView>
  </sheetViews>
  <sheetFormatPr defaultRowHeight="14.25"/>
  <cols>
    <col bestFit="1" customWidth="1" min="1" max="1" width="26"/>
    <col customWidth="1" min="2" max="2" width="26.21875"/>
    <col customWidth="1" min="3" max="3" width="17.44140625"/>
  </cols>
  <sheetData>
    <row r="1" ht="20.25">
      <c r="A1" s="23" t="s">
        <v>160</v>
      </c>
    </row>
    <row r="2" ht="15.6">
      <c r="C2" s="3"/>
    </row>
    <row r="3" ht="15.6">
      <c r="A3" s="24" t="s">
        <v>1</v>
      </c>
      <c r="B3" s="39"/>
      <c r="C3" s="25"/>
    </row>
    <row r="4" ht="15">
      <c r="A4" s="6" t="s">
        <v>3</v>
      </c>
      <c r="B4" s="142" t="str">
        <f>'Algemene informatie'!B4</f>
        <v>T2A_40</v>
      </c>
      <c r="C4" s="109"/>
    </row>
    <row r="5">
      <c r="A5" s="10" t="s">
        <v>8</v>
      </c>
      <c r="B5" s="148">
        <f>'Algemene informatie'!B5</f>
        <v>2</v>
      </c>
      <c r="C5" s="5"/>
    </row>
    <row r="6">
      <c r="A6" s="10" t="s">
        <v>11</v>
      </c>
      <c r="B6" s="112">
        <f>'Algemene informatie'!B6</f>
        <v>36508</v>
      </c>
      <c r="C6" s="5"/>
    </row>
    <row r="7">
      <c r="A7" s="10" t="s">
        <v>79</v>
      </c>
      <c r="B7" s="117">
        <f>'1A. Antropometrie'!H15</f>
        <v>65.099999999999994</v>
      </c>
      <c r="C7" s="5" t="s">
        <v>40</v>
      </c>
    </row>
    <row r="8" ht="15">
      <c r="A8" s="18" t="s">
        <v>78</v>
      </c>
      <c r="B8" s="149">
        <f>'1A. Antropometrie'!H16</f>
        <v>178.34999999999999</v>
      </c>
      <c r="C8" s="20" t="s">
        <v>42</v>
      </c>
    </row>
    <row r="9" ht="15.6">
      <c r="C9" s="3"/>
    </row>
    <row r="10" ht="15.6">
      <c r="A10" s="24" t="s">
        <v>26</v>
      </c>
      <c r="B10" s="39"/>
      <c r="C10" s="25"/>
    </row>
    <row r="11" ht="15">
      <c r="A11" s="10" t="s">
        <v>27</v>
      </c>
      <c r="B11" s="115" t="s">
        <v>161</v>
      </c>
      <c r="C11" s="5"/>
    </row>
    <row r="12">
      <c r="A12" s="10" t="s">
        <v>80</v>
      </c>
      <c r="B12" s="169" t="s">
        <v>81</v>
      </c>
      <c r="C12" s="5"/>
    </row>
    <row r="13" ht="15">
      <c r="A13" s="10" t="s">
        <v>31</v>
      </c>
      <c r="B13" s="170">
        <v>0.73958333333333337</v>
      </c>
      <c r="C13" s="20" t="s">
        <v>82</v>
      </c>
    </row>
    <row r="14" ht="15.6">
      <c r="A14" s="16"/>
      <c r="B14" s="171"/>
      <c r="C14" s="48"/>
    </row>
    <row r="15" ht="15.6">
      <c r="A15" s="24" t="s">
        <v>162</v>
      </c>
      <c r="B15" s="39"/>
      <c r="C15" s="25"/>
    </row>
    <row r="16" ht="15">
      <c r="A16" s="10" t="s">
        <v>163</v>
      </c>
      <c r="B16" s="172"/>
      <c r="C16" s="5"/>
    </row>
    <row r="17">
      <c r="A17" s="173" t="s">
        <v>164</v>
      </c>
      <c r="B17" s="113">
        <v>34.706000000000003</v>
      </c>
      <c r="C17" s="5" t="s">
        <v>42</v>
      </c>
    </row>
    <row r="18">
      <c r="A18" s="173" t="s">
        <v>165</v>
      </c>
      <c r="B18" s="113">
        <v>35.229999999999997</v>
      </c>
      <c r="C18" s="5" t="s">
        <v>42</v>
      </c>
    </row>
    <row r="19">
      <c r="A19" s="173" t="s">
        <v>166</v>
      </c>
      <c r="B19" s="113">
        <v>34.186</v>
      </c>
      <c r="C19" s="5" t="s">
        <v>42</v>
      </c>
    </row>
    <row r="20">
      <c r="A20" s="173" t="s">
        <v>167</v>
      </c>
      <c r="B20" s="113">
        <v>35.229999999999997</v>
      </c>
      <c r="C20" s="5" t="s">
        <v>42</v>
      </c>
      <c r="I20" t="s">
        <v>168</v>
      </c>
    </row>
    <row r="21">
      <c r="A21" s="173" t="s">
        <v>169</v>
      </c>
      <c r="B21" s="113">
        <v>34.966999999999999</v>
      </c>
      <c r="C21" s="5" t="s">
        <v>42</v>
      </c>
    </row>
    <row r="22" ht="15">
      <c r="A22" s="10" t="s">
        <v>170</v>
      </c>
      <c r="B22" s="174">
        <f>MAX(B17:B21)</f>
        <v>35.229999999999997</v>
      </c>
      <c r="C22" s="20" t="s">
        <v>42</v>
      </c>
    </row>
    <row r="23" ht="15.6">
      <c r="A23" s="92"/>
    </row>
    <row r="24" ht="15.6">
      <c r="A24" s="24" t="s">
        <v>74</v>
      </c>
      <c r="B24" s="25"/>
      <c r="C24" s="90"/>
    </row>
    <row r="25" ht="15">
      <c r="A25" s="6" t="s">
        <v>171</v>
      </c>
      <c r="B25" s="142" t="s">
        <v>172</v>
      </c>
      <c r="C25" s="90" t="s">
        <v>173</v>
      </c>
      <c r="D25" s="64" t="s">
        <v>174</v>
      </c>
      <c r="E25" s="64"/>
      <c r="F25" s="64"/>
      <c r="G25" s="64"/>
      <c r="H25" s="64"/>
      <c r="I25" s="64"/>
      <c r="J25" s="64"/>
      <c r="K25" s="64"/>
      <c r="L25" s="64"/>
    </row>
    <row r="26">
      <c r="A26" s="10" t="s">
        <v>171</v>
      </c>
      <c r="B26" s="97" t="str">
        <f>B4&amp;"_POST_Leftfoot.DAT"</f>
        <v>T2A_40_POST_Leftfoot.DAT</v>
      </c>
      <c r="C26" s="90"/>
      <c r="D26" s="64" t="s">
        <v>174</v>
      </c>
      <c r="E26" s="64"/>
      <c r="F26" s="64"/>
      <c r="G26" s="64"/>
      <c r="H26" s="64"/>
      <c r="I26" s="64"/>
      <c r="J26" s="64"/>
      <c r="K26" s="64"/>
      <c r="L26" s="64"/>
    </row>
    <row r="27">
      <c r="A27" s="10" t="s">
        <v>175</v>
      </c>
      <c r="B27" s="97" t="s">
        <v>176</v>
      </c>
      <c r="C27" s="48" t="s">
        <v>173</v>
      </c>
      <c r="D27" s="48"/>
    </row>
    <row r="28">
      <c r="A28" s="10" t="s">
        <v>175</v>
      </c>
      <c r="B28" s="97" t="str">
        <f>B4&amp;"_POST_Rightfoot.DAT"</f>
        <v>T2A_40_POST_Rightfoot.DAT</v>
      </c>
      <c r="E28" s="48"/>
    </row>
    <row r="29" ht="15">
      <c r="A29" s="18" t="s">
        <v>177</v>
      </c>
      <c r="B29" s="142" t="str">
        <f>B4&amp;"_POST_Sprong"</f>
        <v>T2A_40_POST_Sprong</v>
      </c>
      <c r="C29" s="90"/>
    </row>
    <row r="30" ht="15.6">
      <c r="A30" s="92"/>
      <c r="B30" s="92"/>
    </row>
    <row r="31" ht="15.6">
      <c r="A31" s="24" t="s">
        <v>76</v>
      </c>
      <c r="B31" s="39"/>
      <c r="C31" s="25"/>
    </row>
    <row r="32" ht="15">
      <c r="A32" s="99"/>
      <c r="B32" s="100"/>
      <c r="C32" s="101"/>
    </row>
    <row r="33">
      <c r="A33" s="102"/>
      <c r="B33" s="103"/>
      <c r="C33" s="104"/>
    </row>
    <row r="34">
      <c r="A34" s="102"/>
      <c r="B34" s="103"/>
      <c r="C34" s="104"/>
    </row>
    <row r="35">
      <c r="A35" s="102"/>
      <c r="B35" s="103"/>
      <c r="C35" s="104"/>
    </row>
    <row r="36" ht="15">
      <c r="A36" s="105"/>
      <c r="B36" s="106"/>
      <c r="C36" s="107"/>
    </row>
    <row r="37" ht="15"/>
  </sheetData>
  <mergeCells count="8">
    <mergeCell ref="A3:C3"/>
    <mergeCell ref="A10:C10"/>
    <mergeCell ref="A15:C15"/>
    <mergeCell ref="A24:B24"/>
    <mergeCell ref="D25:L25"/>
    <mergeCell ref="D26:L26"/>
    <mergeCell ref="A31:C31"/>
    <mergeCell ref="A32:C3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1" workbookViewId="0" zoomScale="100">
      <selection activeCell="F79" activeCellId="0" sqref="F79"/>
    </sheetView>
  </sheetViews>
  <sheetFormatPr defaultRowHeight="14.25"/>
  <cols>
    <col bestFit="1" customWidth="1" min="1" max="1" width="27.80078125"/>
    <col bestFit="1" customWidth="1" min="2" max="2" width="13.77734375"/>
    <col bestFit="1" customWidth="1" min="3" max="3" width="13.5546875"/>
  </cols>
  <sheetData>
    <row r="1" ht="20.25">
      <c r="A1" s="23" t="s">
        <v>178</v>
      </c>
    </row>
    <row r="2" ht="15.6">
      <c r="C2" s="3"/>
    </row>
    <row r="3" ht="15.6">
      <c r="A3" s="24" t="s">
        <v>1</v>
      </c>
      <c r="B3" s="39"/>
      <c r="C3" s="25"/>
    </row>
    <row r="4" ht="15">
      <c r="A4" s="6" t="s">
        <v>3</v>
      </c>
      <c r="B4" s="108" t="str">
        <f>'Algemene informatie'!B4</f>
        <v>T2A_40</v>
      </c>
      <c r="C4" s="109"/>
    </row>
    <row r="5" ht="57.600000000000001" customHeight="1">
      <c r="A5" s="110" t="s">
        <v>8</v>
      </c>
      <c r="B5" s="111">
        <f>'Algemene informatie'!B5</f>
        <v>2</v>
      </c>
      <c r="C5" s="5"/>
    </row>
    <row r="6">
      <c r="A6" s="10" t="s">
        <v>11</v>
      </c>
      <c r="B6" s="112">
        <f>'Algemene informatie'!B6</f>
        <v>36508</v>
      </c>
      <c r="C6" s="5"/>
    </row>
    <row r="7">
      <c r="A7" s="90" t="s">
        <v>78</v>
      </c>
      <c r="B7" s="113">
        <f>'1A. Antropometrie'!H16</f>
        <v>178.34999999999999</v>
      </c>
      <c r="C7" s="5" t="s">
        <v>42</v>
      </c>
    </row>
    <row r="8" ht="15">
      <c r="A8" s="13" t="s">
        <v>79</v>
      </c>
      <c r="B8" s="113">
        <f>'1A. Antropometrie'!H15</f>
        <v>65.099999999999994</v>
      </c>
      <c r="C8" s="20" t="s">
        <v>40</v>
      </c>
    </row>
    <row r="9" ht="15.6">
      <c r="A9" s="48"/>
      <c r="B9" s="114"/>
      <c r="C9" s="92"/>
    </row>
    <row r="10" ht="15.6">
      <c r="A10" s="24" t="s">
        <v>26</v>
      </c>
      <c r="B10" s="39"/>
      <c r="C10" s="25"/>
    </row>
    <row r="11" ht="15">
      <c r="A11" s="10" t="s">
        <v>27</v>
      </c>
      <c r="B11" s="115" t="str">
        <f>'3A. Jump test'!B11</f>
        <v>22/12/22</v>
      </c>
      <c r="C11" s="5"/>
    </row>
    <row r="12">
      <c r="A12" s="10" t="s">
        <v>80</v>
      </c>
      <c r="B12" s="112" t="s">
        <v>30</v>
      </c>
      <c r="C12" s="5"/>
    </row>
    <row r="13">
      <c r="A13" s="10" t="s">
        <v>31</v>
      </c>
      <c r="B13" s="116">
        <v>0.76041666666666663</v>
      </c>
      <c r="C13" s="5" t="s">
        <v>82</v>
      </c>
    </row>
    <row r="14">
      <c r="A14" s="10" t="s">
        <v>83</v>
      </c>
      <c r="B14" s="117">
        <v>17.399999999999999</v>
      </c>
      <c r="C14" s="5" t="s">
        <v>84</v>
      </c>
    </row>
    <row r="15">
      <c r="A15" s="10" t="s">
        <v>85</v>
      </c>
      <c r="B15" s="117">
        <v>51</v>
      </c>
      <c r="C15" s="5" t="s">
        <v>68</v>
      </c>
    </row>
    <row r="16">
      <c r="A16" s="5" t="s">
        <v>86</v>
      </c>
      <c r="B16" s="117">
        <f>'1B. VO2max'!B16</f>
        <v>4</v>
      </c>
      <c r="C16" s="5"/>
    </row>
    <row r="17">
      <c r="A17" s="5" t="s">
        <v>87</v>
      </c>
      <c r="B17" s="117" t="str">
        <f>'1B. VO2max'!B17</f>
        <v xml:space="preserve">Look (wit) </v>
      </c>
      <c r="C17" s="5"/>
    </row>
    <row r="18">
      <c r="A18" s="5" t="s">
        <v>89</v>
      </c>
      <c r="B18" s="117" t="str">
        <f>'1B. VO2max'!B18</f>
        <v>S</v>
      </c>
      <c r="C18" s="5" t="s">
        <v>91</v>
      </c>
    </row>
    <row r="19" ht="15">
      <c r="A19" s="20" t="s">
        <v>92</v>
      </c>
      <c r="B19" s="149" t="str">
        <f>'1B. VO2max'!B19</f>
        <v>S</v>
      </c>
      <c r="C19" s="20" t="s">
        <v>93</v>
      </c>
    </row>
    <row r="20" ht="15.6">
      <c r="A20" s="3"/>
      <c r="B20" s="3"/>
      <c r="C20" s="3"/>
      <c r="D20" s="3"/>
    </row>
    <row r="21" ht="15.6">
      <c r="A21" s="24" t="s">
        <v>94</v>
      </c>
      <c r="B21" s="39"/>
      <c r="C21" s="39"/>
      <c r="D21" s="25"/>
    </row>
    <row r="22" ht="15.6">
      <c r="A22" s="118" t="s">
        <v>95</v>
      </c>
      <c r="B22" s="119"/>
      <c r="C22" s="118" t="s">
        <v>96</v>
      </c>
      <c r="D22" s="119"/>
    </row>
    <row r="23" ht="15">
      <c r="A23" s="6" t="s">
        <v>97</v>
      </c>
      <c r="B23" s="5"/>
      <c r="C23" s="6" t="s">
        <v>97</v>
      </c>
      <c r="D23" s="5"/>
    </row>
    <row r="24">
      <c r="A24" s="10" t="s">
        <v>98</v>
      </c>
      <c r="B24" s="5"/>
      <c r="C24" s="10" t="s">
        <v>98</v>
      </c>
      <c r="D24" s="5"/>
    </row>
    <row r="25">
      <c r="A25" s="10" t="s">
        <v>99</v>
      </c>
      <c r="B25" s="5"/>
      <c r="C25" s="10" t="s">
        <v>99</v>
      </c>
      <c r="D25" s="5"/>
    </row>
    <row r="26">
      <c r="A26" s="10" t="s">
        <v>100</v>
      </c>
      <c r="B26" s="5"/>
      <c r="C26" s="10" t="s">
        <v>100</v>
      </c>
      <c r="D26" s="5"/>
    </row>
    <row r="27">
      <c r="A27" s="10" t="s">
        <v>101</v>
      </c>
      <c r="B27" s="5"/>
      <c r="C27" s="10"/>
      <c r="D27" s="5"/>
    </row>
    <row r="28">
      <c r="A28" s="10" t="s">
        <v>102</v>
      </c>
      <c r="B28" s="5"/>
      <c r="C28" s="10" t="s">
        <v>102</v>
      </c>
      <c r="D28" s="5"/>
    </row>
    <row r="29" ht="15">
      <c r="A29" s="18" t="s">
        <v>103</v>
      </c>
      <c r="B29" s="20"/>
      <c r="C29" s="18" t="s">
        <v>104</v>
      </c>
      <c r="D29" s="20"/>
    </row>
    <row r="30" ht="15.6"/>
    <row r="31" ht="15.6">
      <c r="A31" s="24" t="s">
        <v>179</v>
      </c>
      <c r="B31" s="39"/>
      <c r="C31" s="25"/>
    </row>
    <row r="32" ht="15">
      <c r="A32" s="10" t="s">
        <v>180</v>
      </c>
      <c r="B32" s="172">
        <v>40.700000000000003</v>
      </c>
      <c r="C32" s="5" t="s">
        <v>42</v>
      </c>
    </row>
    <row r="33">
      <c r="A33" s="10" t="s">
        <v>181</v>
      </c>
      <c r="B33" s="113">
        <f>B32*(2/3)</f>
        <v>27.133333333333333</v>
      </c>
      <c r="C33" s="5" t="s">
        <v>42</v>
      </c>
    </row>
    <row r="34">
      <c r="A34" s="10" t="s">
        <v>182</v>
      </c>
      <c r="B34" s="117">
        <v>8.6999999999999993</v>
      </c>
      <c r="C34" s="5" t="s">
        <v>44</v>
      </c>
    </row>
    <row r="35">
      <c r="A35" s="10" t="s">
        <v>183</v>
      </c>
      <c r="B35" s="117">
        <v>8.5999999999999996</v>
      </c>
      <c r="C35" s="5" t="s">
        <v>44</v>
      </c>
    </row>
    <row r="36">
      <c r="A36" s="10" t="s">
        <v>184</v>
      </c>
      <c r="B36" s="117"/>
      <c r="C36" s="5" t="s">
        <v>44</v>
      </c>
    </row>
    <row r="37">
      <c r="A37" s="10" t="s">
        <v>185</v>
      </c>
      <c r="B37" s="117"/>
      <c r="C37" s="5"/>
    </row>
    <row r="38" ht="15">
      <c r="A38" s="13" t="s">
        <v>186</v>
      </c>
      <c r="B38" s="13"/>
      <c r="C38" s="3" t="s">
        <v>187</v>
      </c>
      <c r="D38" s="90"/>
    </row>
    <row r="39" ht="15.6"/>
    <row r="40" ht="15.6">
      <c r="A40" s="24" t="s">
        <v>188</v>
      </c>
      <c r="B40" s="39"/>
      <c r="C40" s="25"/>
    </row>
    <row r="41" ht="15">
      <c r="A41" s="10" t="s">
        <v>189</v>
      </c>
      <c r="B41" s="172">
        <f>(F41*0.9)/(90^2)</f>
        <v>0</v>
      </c>
      <c r="C41" s="5" t="s">
        <v>190</v>
      </c>
      <c r="D41" s="80" t="s">
        <v>191</v>
      </c>
      <c r="E41" s="81"/>
      <c r="F41" s="65"/>
      <c r="G41" s="65" t="s">
        <v>192</v>
      </c>
    </row>
    <row r="42" ht="15">
      <c r="A42" s="10" t="s">
        <v>193</v>
      </c>
      <c r="B42" s="113">
        <f>0.9*F42</f>
        <v>0</v>
      </c>
      <c r="C42" s="5" t="s">
        <v>192</v>
      </c>
      <c r="D42" s="62" t="s">
        <v>194</v>
      </c>
      <c r="E42" s="63"/>
      <c r="F42" s="65"/>
      <c r="G42" s="65" t="s">
        <v>192</v>
      </c>
    </row>
    <row r="43" ht="15.6">
      <c r="A43" s="92"/>
      <c r="B43" s="92"/>
      <c r="C43" s="16"/>
    </row>
    <row r="44" ht="15.6">
      <c r="A44" s="24" t="s">
        <v>195</v>
      </c>
      <c r="B44" s="25"/>
      <c r="C44" s="48"/>
    </row>
    <row r="45" ht="15">
      <c r="A45" s="109" t="s">
        <v>196</v>
      </c>
      <c r="B45" s="109">
        <v>38.399999999999999</v>
      </c>
      <c r="C45" s="48"/>
    </row>
    <row r="46" ht="15">
      <c r="A46" s="20" t="s">
        <v>197</v>
      </c>
      <c r="B46" s="20">
        <v>68.900000000000006</v>
      </c>
      <c r="C46" s="48"/>
    </row>
    <row r="47" ht="15.6">
      <c r="A47" s="92"/>
      <c r="B47" s="92"/>
      <c r="C47" s="3"/>
    </row>
    <row r="48" ht="15.6">
      <c r="A48" s="24" t="s">
        <v>136</v>
      </c>
      <c r="B48" s="39"/>
      <c r="C48" s="39"/>
      <c r="D48" s="39"/>
      <c r="E48" s="39"/>
      <c r="F48" s="39"/>
      <c r="G48" s="25"/>
    </row>
    <row r="49" ht="15.6">
      <c r="A49" s="120" t="s">
        <v>106</v>
      </c>
      <c r="B49" s="121" t="s">
        <v>107</v>
      </c>
      <c r="C49" s="121" t="s">
        <v>108</v>
      </c>
      <c r="D49" s="121" t="s">
        <v>109</v>
      </c>
      <c r="E49" s="121" t="s">
        <v>110</v>
      </c>
      <c r="F49" s="122" t="s">
        <v>111</v>
      </c>
      <c r="G49" s="123" t="s">
        <v>112</v>
      </c>
      <c r="J49" s="48"/>
      <c r="K49" s="48"/>
    </row>
    <row r="50" ht="15">
      <c r="A50" s="175" t="s">
        <v>198</v>
      </c>
      <c r="B50" s="176" t="s">
        <v>199</v>
      </c>
      <c r="C50" s="177"/>
      <c r="D50" s="177"/>
      <c r="E50" s="177"/>
      <c r="F50" s="177"/>
      <c r="G50" s="178"/>
      <c r="H50" s="64" t="s">
        <v>200</v>
      </c>
      <c r="I50" s="64"/>
      <c r="J50" s="64"/>
      <c r="K50" s="64"/>
      <c r="L50" s="64"/>
      <c r="M50" t="s">
        <v>201</v>
      </c>
    </row>
    <row r="51">
      <c r="A51" s="124">
        <v>0.16666666666666666</v>
      </c>
      <c r="B51" s="46" t="s">
        <v>202</v>
      </c>
      <c r="C51" s="46">
        <v>2155</v>
      </c>
      <c r="D51" s="46">
        <v>161</v>
      </c>
      <c r="E51" s="46">
        <v>0.85999999999999999</v>
      </c>
      <c r="F51" s="46"/>
      <c r="G51" s="5">
        <v>490</v>
      </c>
      <c r="H51" s="48" t="s">
        <v>203</v>
      </c>
      <c r="I51" s="48"/>
    </row>
    <row r="52">
      <c r="A52" s="126">
        <v>0.25</v>
      </c>
      <c r="B52" s="52" t="s">
        <v>202</v>
      </c>
      <c r="C52" s="52">
        <v>2337</v>
      </c>
      <c r="D52" s="52">
        <v>166</v>
      </c>
      <c r="E52" s="52">
        <v>0.93000000000000005</v>
      </c>
      <c r="F52" s="52"/>
      <c r="G52" s="127">
        <v>490</v>
      </c>
      <c r="H52" t="s">
        <v>204</v>
      </c>
    </row>
    <row r="53">
      <c r="A53" s="126">
        <v>0.33333333333333331</v>
      </c>
      <c r="B53" s="52" t="s">
        <v>202</v>
      </c>
      <c r="C53" s="52">
        <v>2541</v>
      </c>
      <c r="D53" s="52">
        <v>171</v>
      </c>
      <c r="E53" s="52">
        <v>0.96999999999999997</v>
      </c>
      <c r="F53" s="52"/>
      <c r="G53" s="127">
        <v>606</v>
      </c>
      <c r="H53" t="s">
        <v>205</v>
      </c>
    </row>
    <row r="54">
      <c r="A54" s="126" t="s">
        <v>206</v>
      </c>
      <c r="B54" s="179" t="s">
        <v>207</v>
      </c>
      <c r="C54" s="180"/>
      <c r="D54" s="180"/>
      <c r="E54" s="180"/>
      <c r="F54" s="180"/>
      <c r="G54" s="181"/>
      <c r="H54" s="64" t="s">
        <v>200</v>
      </c>
      <c r="I54" s="64"/>
      <c r="J54" s="64"/>
      <c r="K54" s="64"/>
      <c r="L54" s="64"/>
      <c r="M54" t="s">
        <v>208</v>
      </c>
    </row>
    <row r="55">
      <c r="A55" s="126">
        <v>0.66666666666666663</v>
      </c>
      <c r="B55" s="52" t="s">
        <v>202</v>
      </c>
      <c r="C55" s="52">
        <v>2363</v>
      </c>
      <c r="D55" s="52">
        <v>173</v>
      </c>
      <c r="E55" s="52">
        <v>0.85999999999999999</v>
      </c>
      <c r="F55" s="52"/>
      <c r="G55" s="128">
        <v>506</v>
      </c>
      <c r="H55" t="s">
        <v>203</v>
      </c>
    </row>
    <row r="56">
      <c r="A56" s="126">
        <v>0.75</v>
      </c>
      <c r="B56" s="52" t="s">
        <v>202</v>
      </c>
      <c r="C56" s="52">
        <v>2363</v>
      </c>
      <c r="D56" s="52">
        <v>173</v>
      </c>
      <c r="E56" s="52">
        <v>0.93999999999999995</v>
      </c>
      <c r="F56" s="52"/>
      <c r="G56" s="127">
        <v>568</v>
      </c>
      <c r="H56" t="s">
        <v>205</v>
      </c>
    </row>
    <row r="57">
      <c r="A57" s="182">
        <v>0.83333333333333337</v>
      </c>
      <c r="B57" s="52" t="s">
        <v>202</v>
      </c>
      <c r="C57" s="52">
        <v>2504</v>
      </c>
      <c r="D57" s="52">
        <v>175</v>
      </c>
      <c r="E57" s="52">
        <v>0.94999999999999996</v>
      </c>
      <c r="F57" s="52"/>
      <c r="G57" s="5">
        <v>507</v>
      </c>
      <c r="H57" s="64" t="s">
        <v>200</v>
      </c>
      <c r="I57" s="64"/>
      <c r="J57" s="64"/>
      <c r="K57" s="64"/>
      <c r="L57" s="64"/>
      <c r="M57" t="s">
        <v>209</v>
      </c>
    </row>
    <row r="58" ht="15">
      <c r="A58" s="183" t="s">
        <v>210</v>
      </c>
      <c r="B58" s="184" t="s">
        <v>211</v>
      </c>
      <c r="C58" s="185"/>
      <c r="D58" s="185"/>
      <c r="E58" s="185"/>
      <c r="F58" s="185"/>
      <c r="G58" s="186"/>
      <c r="H58" s="48" t="s">
        <v>212</v>
      </c>
      <c r="I58" s="48"/>
    </row>
    <row r="59" ht="15.6">
      <c r="A59" s="187" t="s">
        <v>106</v>
      </c>
      <c r="B59" s="121" t="s">
        <v>213</v>
      </c>
      <c r="C59" s="121" t="s">
        <v>108</v>
      </c>
      <c r="D59" s="121" t="s">
        <v>109</v>
      </c>
      <c r="E59" s="121" t="s">
        <v>110</v>
      </c>
      <c r="F59" s="121" t="s">
        <v>111</v>
      </c>
      <c r="G59" s="123" t="s">
        <v>112</v>
      </c>
    </row>
    <row r="60" ht="15">
      <c r="A60" s="188" t="s">
        <v>214</v>
      </c>
      <c r="B60" s="189">
        <v>0</v>
      </c>
      <c r="C60" s="189"/>
      <c r="D60" s="189"/>
      <c r="E60" s="189"/>
      <c r="F60" s="190"/>
      <c r="G60" s="191"/>
    </row>
    <row r="61">
      <c r="A61" s="192" t="s">
        <v>215</v>
      </c>
      <c r="B61" s="193"/>
      <c r="C61" s="193"/>
      <c r="D61" s="193"/>
      <c r="E61" s="193"/>
      <c r="F61" s="78"/>
      <c r="G61" s="194"/>
    </row>
    <row r="62">
      <c r="A62" s="195" t="s">
        <v>216</v>
      </c>
      <c r="B62" s="193"/>
      <c r="C62" s="193"/>
      <c r="D62" s="193"/>
      <c r="E62" s="193"/>
      <c r="F62" s="78"/>
      <c r="G62" s="196"/>
    </row>
    <row r="63">
      <c r="A63" s="195" t="s">
        <v>217</v>
      </c>
      <c r="B63" s="193"/>
      <c r="C63" s="193"/>
      <c r="D63" s="193"/>
      <c r="E63" s="193"/>
      <c r="F63" s="78"/>
      <c r="G63" s="196"/>
    </row>
    <row r="64">
      <c r="A64" s="188" t="s">
        <v>218</v>
      </c>
      <c r="B64" s="193"/>
      <c r="C64" s="193"/>
      <c r="D64" s="193"/>
      <c r="E64" s="193"/>
      <c r="F64" s="78"/>
      <c r="G64" s="197"/>
    </row>
    <row r="65">
      <c r="A65" s="188" t="s">
        <v>219</v>
      </c>
      <c r="B65" s="193"/>
      <c r="C65" s="193"/>
      <c r="D65" s="193"/>
      <c r="E65" s="193"/>
      <c r="F65" s="78"/>
      <c r="G65" s="197"/>
    </row>
    <row r="66">
      <c r="A66" s="188" t="s">
        <v>220</v>
      </c>
      <c r="B66" s="189"/>
      <c r="C66" s="189"/>
      <c r="D66" s="189"/>
      <c r="E66" s="189"/>
      <c r="F66" s="190"/>
      <c r="G66" s="197"/>
    </row>
    <row r="67">
      <c r="A67" s="188" t="s">
        <v>221</v>
      </c>
      <c r="B67" s="193"/>
      <c r="C67" s="193"/>
      <c r="D67" s="193"/>
      <c r="E67" s="193"/>
      <c r="F67" s="78"/>
      <c r="G67" s="198"/>
    </row>
    <row r="68">
      <c r="A68" s="199" t="s">
        <v>222</v>
      </c>
      <c r="B68" s="193"/>
      <c r="C68" s="193"/>
      <c r="D68" s="193"/>
      <c r="E68" s="193"/>
      <c r="F68" s="78"/>
      <c r="G68" s="200"/>
    </row>
    <row r="69">
      <c r="A69" s="188" t="s">
        <v>223</v>
      </c>
      <c r="B69" s="189"/>
      <c r="C69" s="189"/>
      <c r="D69" s="189"/>
      <c r="E69" s="189"/>
      <c r="F69" s="190"/>
      <c r="G69" s="200"/>
    </row>
    <row r="70">
      <c r="A70" s="188" t="s">
        <v>224</v>
      </c>
      <c r="B70" s="189"/>
      <c r="C70" s="189"/>
      <c r="D70" s="189"/>
      <c r="E70" s="189"/>
      <c r="F70" s="190"/>
      <c r="G70" s="200"/>
    </row>
    <row r="71" ht="15">
      <c r="A71" s="199" t="s">
        <v>225</v>
      </c>
      <c r="B71" s="201"/>
      <c r="C71" s="201"/>
      <c r="D71" s="201"/>
      <c r="E71" s="201"/>
      <c r="F71" s="84"/>
      <c r="G71" s="202"/>
    </row>
    <row r="72" ht="15.6">
      <c r="A72" s="16"/>
    </row>
    <row r="73" ht="15.6">
      <c r="A73" s="24" t="s">
        <v>113</v>
      </c>
      <c r="B73" s="39"/>
      <c r="C73" s="25"/>
    </row>
    <row r="74" ht="15.6">
      <c r="A74" s="91" t="s">
        <v>226</v>
      </c>
      <c r="B74" s="203">
        <v>0.26597222222222222</v>
      </c>
      <c r="C74" s="48" t="s">
        <v>227</v>
      </c>
      <c r="D74" s="90"/>
    </row>
    <row r="75" ht="15.6">
      <c r="A75" s="3"/>
      <c r="C75" s="92"/>
    </row>
    <row r="76" ht="15.6">
      <c r="A76" s="24" t="s">
        <v>74</v>
      </c>
      <c r="B76" s="39"/>
      <c r="C76" s="25"/>
    </row>
    <row r="77" ht="15">
      <c r="A77" s="10" t="s">
        <v>228</v>
      </c>
      <c r="B77" s="113" t="str">
        <f>B4&amp;"_POST_NIRS"</f>
        <v>T2A_40_POST_NIRS</v>
      </c>
      <c r="C77" s="204"/>
    </row>
    <row r="78">
      <c r="A78" s="10" t="s">
        <v>229</v>
      </c>
      <c r="B78" s="113" t="str">
        <f>B4&amp;"_POST_TT_Bike"</f>
        <v>T2A_40_POST_TT_Bike</v>
      </c>
      <c r="C78" s="204"/>
    </row>
    <row r="79">
      <c r="A79" s="90" t="s">
        <v>230</v>
      </c>
      <c r="B79" s="113" t="str">
        <f>B4&amp;"_POST_TT_CPET"</f>
        <v>T2A_40_POST_TT_CPET</v>
      </c>
      <c r="C79" s="204"/>
    </row>
    <row r="80" ht="15">
      <c r="A80" s="18" t="s">
        <v>231</v>
      </c>
      <c r="B80" s="174" t="str">
        <f>B79&amp;"_10sec"</f>
        <v>T2A_40_POST_TT_CPET_10sec</v>
      </c>
      <c r="C80" s="205"/>
    </row>
    <row r="82" ht="15.6">
      <c r="A82" s="24" t="s">
        <v>76</v>
      </c>
      <c r="B82" s="39"/>
      <c r="C82" s="25"/>
    </row>
    <row r="83" ht="15">
      <c r="A83" s="99" t="s">
        <v>232</v>
      </c>
      <c r="B83" s="100"/>
      <c r="C83" s="101"/>
    </row>
    <row r="84">
      <c r="A84" s="102"/>
      <c r="B84" s="103"/>
      <c r="C84" s="104"/>
    </row>
    <row r="85">
      <c r="A85" s="102"/>
      <c r="B85" s="103"/>
      <c r="C85" s="104"/>
    </row>
    <row r="86">
      <c r="A86" s="102"/>
      <c r="B86" s="103"/>
      <c r="C86" s="104"/>
    </row>
    <row r="87" ht="15">
      <c r="A87" s="105"/>
      <c r="B87" s="106"/>
      <c r="C87" s="107"/>
    </row>
    <row r="88" ht="15"/>
  </sheetData>
  <mergeCells count="22">
    <mergeCell ref="A3:C3"/>
    <mergeCell ref="A10:C10"/>
    <mergeCell ref="A21:D21"/>
    <mergeCell ref="A22:B22"/>
    <mergeCell ref="C22:D22"/>
    <mergeCell ref="A31:C31"/>
    <mergeCell ref="A40:C40"/>
    <mergeCell ref="D41:E41"/>
    <mergeCell ref="D42:E42"/>
    <mergeCell ref="A44:B44"/>
    <mergeCell ref="A48:G48"/>
    <mergeCell ref="B50:G50"/>
    <mergeCell ref="B54:G54"/>
    <mergeCell ref="B58:G58"/>
    <mergeCell ref="A73:C73"/>
    <mergeCell ref="A76:C76"/>
    <mergeCell ref="B77:C77"/>
    <mergeCell ref="B78:C78"/>
    <mergeCell ref="B79:C79"/>
    <mergeCell ref="B80:C80"/>
    <mergeCell ref="A82:C82"/>
    <mergeCell ref="A83:C8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4.25"/>
  <cols>
    <col customWidth="1" min="2" max="10" width="17.77734375"/>
    <col customWidth="1" min="11" max="11" width="8.77734375"/>
  </cols>
  <sheetData>
    <row r="2">
      <c r="B2" s="142" t="s">
        <v>233</v>
      </c>
      <c r="C2" s="206" t="str">
        <f>'Algemene informatie'!B4</f>
        <v>T2A_40</v>
      </c>
    </row>
    <row r="3">
      <c r="B3" s="142" t="s">
        <v>63</v>
      </c>
      <c r="C3" s="207">
        <f>'Algemene informatie'!B7</f>
        <v>23</v>
      </c>
      <c r="D3" t="s">
        <v>23</v>
      </c>
    </row>
    <row r="4">
      <c r="B4" s="142" t="s">
        <v>234</v>
      </c>
      <c r="C4" s="207">
        <f>'Algemene informatie'!B5</f>
        <v>2</v>
      </c>
      <c r="D4" t="s">
        <v>235</v>
      </c>
    </row>
    <row r="5">
      <c r="B5" s="142" t="s">
        <v>39</v>
      </c>
      <c r="C5" s="208">
        <f>'1A. Antropometrie'!H15</f>
        <v>65.099999999999994</v>
      </c>
      <c r="D5" t="s">
        <v>40</v>
      </c>
    </row>
    <row r="6">
      <c r="B6" s="142" t="s">
        <v>41</v>
      </c>
      <c r="C6" s="207">
        <f>'1A. Antropometrie'!H16</f>
        <v>178.34999999999999</v>
      </c>
      <c r="D6" t="s">
        <v>42</v>
      </c>
    </row>
    <row r="7">
      <c r="B7" s="142" t="s">
        <v>236</v>
      </c>
      <c r="C7" s="208">
        <v>20.92756992306181</v>
      </c>
      <c r="D7" t="s">
        <v>68</v>
      </c>
    </row>
    <row r="8">
      <c r="B8" s="142" t="s">
        <v>237</v>
      </c>
      <c r="C8" s="209">
        <f>'1B. VO2max'!B57</f>
        <v>49.969278033794168</v>
      </c>
      <c r="D8" t="s">
        <v>117</v>
      </c>
    </row>
    <row r="9">
      <c r="B9" s="142" t="s">
        <v>238</v>
      </c>
      <c r="C9" s="209">
        <f>'2B. Wingate'!B34</f>
        <v>13.786482334869433</v>
      </c>
      <c r="D9" t="s">
        <v>158</v>
      </c>
    </row>
    <row r="10">
      <c r="B10" s="142" t="s">
        <v>239</v>
      </c>
      <c r="C10" s="210">
        <f>'3B. NIRS+Time Trial'!B74</f>
        <v>0.26597222222222222</v>
      </c>
      <c r="D10" t="s">
        <v>227</v>
      </c>
    </row>
    <row r="13">
      <c r="B13" s="142" t="s">
        <v>233</v>
      </c>
      <c r="C13" s="142" t="s">
        <v>63</v>
      </c>
      <c r="D13" s="142" t="s">
        <v>234</v>
      </c>
      <c r="E13" s="142" t="s">
        <v>39</v>
      </c>
      <c r="F13" s="142" t="s">
        <v>41</v>
      </c>
      <c r="G13" s="142" t="s">
        <v>236</v>
      </c>
      <c r="H13" s="142" t="s">
        <v>237</v>
      </c>
      <c r="I13" s="142" t="s">
        <v>238</v>
      </c>
      <c r="J13" s="142" t="s">
        <v>240</v>
      </c>
    </row>
    <row r="14">
      <c r="B14" t="str">
        <f>C2</f>
        <v>T2A_40</v>
      </c>
      <c r="C14" s="211">
        <f>C3</f>
        <v>23</v>
      </c>
      <c r="D14" s="211">
        <f>C4</f>
        <v>2</v>
      </c>
      <c r="E14" s="212">
        <f>C5</f>
        <v>65.099999999999994</v>
      </c>
      <c r="F14" s="211">
        <f>C6</f>
        <v>178.34999999999999</v>
      </c>
      <c r="G14" s="212">
        <f>C7</f>
        <v>20.92756992306181</v>
      </c>
      <c r="H14" s="138">
        <f>C8</f>
        <v>49.969278033794168</v>
      </c>
      <c r="I14" s="138">
        <f>C9</f>
        <v>13.786482334869433</v>
      </c>
      <c r="J14" s="213">
        <f>C10</f>
        <v>0.26597222222222222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vos</dc:creator>
  <cp:lastModifiedBy>L. Vos</cp:lastModifiedBy>
  <cp:revision>5</cp:revision>
  <dcterms:created xsi:type="dcterms:W3CDTF">2022-07-15T14:05:02Z</dcterms:created>
  <dcterms:modified xsi:type="dcterms:W3CDTF">2022-12-23T11:25:11Z</dcterms:modified>
</cp:coreProperties>
</file>