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<sst xmlns="http://schemas.openxmlformats.org/spreadsheetml/2006/main" count="241" uniqueCount="241">
  <si>
    <t xml:space="preserve">Algemene informatie</t>
  </si>
  <si>
    <t xml:space="preserve">Persoonlijke gegevens</t>
  </si>
  <si>
    <t xml:space="preserve">Informatie over wielrennen</t>
  </si>
  <si>
    <t>Proefpersooncode:</t>
  </si>
  <si>
    <t>T2A_54</t>
  </si>
  <si>
    <t>Type:</t>
  </si>
  <si>
    <t xml:space="preserve">Triatleet wedstrijd</t>
  </si>
  <si>
    <t>Recreatief/Wedstrijd</t>
  </si>
  <si>
    <t xml:space="preserve">Geslacht (man = 1; vrouw = 2):</t>
  </si>
  <si>
    <t xml:space="preserve">Verschillende ondergronden. Ook mountainbike</t>
  </si>
  <si>
    <t>Weg/Baan</t>
  </si>
  <si>
    <t>Geboortedatum:</t>
  </si>
  <si>
    <t>8/30/1970</t>
  </si>
  <si>
    <t xml:space="preserve">Vooral kort</t>
  </si>
  <si>
    <t xml:space="preserve">Korte/Lange afstand</t>
  </si>
  <si>
    <t>Leeftijd:</t>
  </si>
  <si>
    <t xml:space="preserve">Training frequentie:</t>
  </si>
  <si>
    <t xml:space="preserve">3x fietsen maart t/m sep. Daarnaast minder</t>
  </si>
  <si>
    <t>keer/wk</t>
  </si>
  <si>
    <t xml:space="preserve">Training duur:</t>
  </si>
  <si>
    <t>uur/wk</t>
  </si>
  <si>
    <t xml:space="preserve">Training afstand:</t>
  </si>
  <si>
    <t xml:space="preserve">50 tot 60km</t>
  </si>
  <si>
    <t>km/wk</t>
  </si>
  <si>
    <t>Fietservaring:</t>
  </si>
  <si>
    <t>jaar</t>
  </si>
  <si>
    <t>Opmerkingen:</t>
  </si>
  <si>
    <t xml:space="preserve">Meestal tijdritten. Vermogensmeter op tijdritfiets en Tax.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</si>
  <si>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</si>
  <si>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</si>
  <si>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</si>
  <si>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</si>
  <si>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</si>
  <si>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</si>
  <si>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</si>
  <si>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</si>
  <si>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</si>
  <si>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</si>
  <si>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</si>
  <si>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</si>
  <si>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</si>
  <si>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</si>
  <si>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</si>
  <si>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</si>
  <si>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</si>
  <si>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</si>
  <si>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</si>
  <si>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</si>
  <si>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</si>
  <si>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</si>
  <si>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</si>
  <si>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</si>
  <si>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</si>
  <si>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</si>
  <si>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</si>
  <si>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</si>
  <si>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</si>
  <si>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</si>
  <si>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</si>
  <si>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</si>
  <si>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</si>
  <si>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</si>
  <si>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</si>
  <si>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</si>
  <si>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</si>
  <si>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</si>
  <si>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</si>
  <si>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</si>
  <si>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</si>
  <si>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</si>
  <si>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</si>
  <si>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</si>
  <si>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</si>
  <si>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</si>
  <si>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</si>
  <si>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</si>
  <si>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</si>
  <si>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</si>
  <si>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</si>
  <si>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</si>
  <si>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</si>
  <si>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</si>
  <si>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</si>
  <si>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</si>
  <si>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</si>
  <si>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</si>
  <si>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</si>
  <si>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</si>
  <si>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</si>
  <si>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</si>
  <si>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zwart</t>
  </si>
  <si>
    <t xml:space="preserve">Maat van zuurstofmasker:</t>
  </si>
  <si>
    <t>M</t>
  </si>
  <si>
    <t>S/M/L</t>
  </si>
  <si>
    <t xml:space="preserve">Maat van hoofdband:</t>
  </si>
  <si>
    <t>L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</si>
  <si>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</si>
  <si>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</si>
  <si>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</si>
  <si>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</si>
  <si>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</si>
  <si>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</si>
  <si>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</si>
  <si>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</si>
  <si>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</si>
  <si>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</si>
  <si>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</si>
  <si>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</si>
  <si>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</si>
  <si>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</si>
  <si>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</si>
  <si>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</si>
  <si>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</si>
  <si>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</si>
  <si>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</si>
  <si>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</si>
  <si>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</si>
  <si>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</si>
  <si>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</si>
  <si>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</si>
  <si>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</si>
  <si>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</si>
  <si>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</si>
  <si>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</si>
  <si>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</si>
  <si>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</si>
  <si>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</si>
  <si>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</si>
  <si>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</si>
  <si>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</si>
  <si>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</si>
  <si>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</si>
  <si>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</si>
  <si>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</si>
  <si>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</si>
  <si>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</si>
  <si>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</si>
  <si>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</si>
  <si>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</si>
  <si>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</si>
  <si>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</si>
  <si>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</si>
  <si>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</si>
  <si>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</si>
  <si>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</si>
  <si>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</si>
  <si>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</si>
  <si>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</si>
  <si>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</si>
  <si>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</si>
  <si>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</si>
  <si>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</si>
  <si>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</si>
  <si>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</si>
  <si>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</si>
  <si>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</si>
  <si>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</si>
  <si>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</si>
  <si>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</si>
  <si>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</si>
  <si>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</si>
  <si>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</si>
  <si>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</si>
  <si>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</si>
  <si>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</si>
  <si>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</si>
  <si>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</si>
  <si>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</si>
  <si>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</si>
  <si>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</si>
  <si>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</si>
  <si>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</si>
  <si>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</si>
  <si>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</si>
  <si>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</si>
  <si>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</si>
  <si>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</si>
  <si>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</si>
  <si>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</si>
  <si>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</si>
  <si>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</si>
  <si>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</si>
  <si>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</si>
  <si>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</si>
  <si>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</si>
  <si>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</si>
  <si>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</si>
  <si>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</si>
  <si>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</si>
  <si>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</si>
  <si>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</si>
  <si>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</si>
  <si>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</si>
  <si>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</si>
  <si>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</si>
  <si>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</si>
  <si>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</si>
  <si>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</si>
  <si>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</si>
  <si>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</si>
  <si>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</si>
  <si>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rond de 53</t>
  </si>
  <si>
    <t>90%GET</t>
  </si>
  <si>
    <t xml:space="preserve">NIRS = rond 40</t>
  </si>
  <si>
    <t xml:space="preserve">NIRS = rond 39</t>
  </si>
  <si>
    <t xml:space="preserve">NIRS = rond 44</t>
  </si>
  <si>
    <t>9:00-15:00</t>
  </si>
  <si>
    <t xml:space="preserve">6 min 20W</t>
  </si>
  <si>
    <t xml:space="preserve">NIRS = rond 57</t>
  </si>
  <si>
    <t xml:space="preserve">NIRS = rond 39 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</si>
  <si>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</si>
  <si>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</si>
  <si>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</si>
  <si>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</si>
  <si>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</si>
  <si>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</si>
  <si>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</si>
  <si>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</si>
  <si>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</si>
  <si>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</si>
  <si>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</si>
  <si>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</si>
  <si>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</si>
  <si>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</si>
  <si>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</si>
  <si>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</si>
  <si>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6:23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</si>
  <si>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</si>
  <si>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</si>
  <si>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</si>
  <si>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</si>
  <si>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</si>
  <si>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NIRS geeft rode lampjes!!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</si>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</sst>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5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36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 applyAlignment="1">
      <alignment wrapText="1"/>
    </xf>
    <xf fontId="7" fillId="0" borderId="12" numFmtId="0" xfId="0" applyFont="1" applyBorder="1"/>
    <xf fontId="9" fillId="0" borderId="13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 wrapText="1"/>
    </xf>
    <xf fontId="7" fillId="0" borderId="15" numFmtId="0" xfId="0" applyFont="1" applyBorder="1"/>
    <xf fontId="9" fillId="0" borderId="13" numFmtId="0" xfId="0" applyFont="1" applyBorder="1" applyAlignment="1">
      <alignment horizontal="left"/>
    </xf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5" numFmtId="49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4" fillId="5" borderId="0" numFmtId="0" xfId="4" applyFont="1" applyFill="1" applyAlignment="1">
      <alignment horizontal="right"/>
    </xf>
    <xf fontId="14" fillId="5" borderId="0" numFmtId="1" xfId="4" applyNumberFormat="1" applyFont="1" applyFill="1" applyAlignment="1">
      <alignment horizontal="right"/>
    </xf>
    <xf fontId="14" fillId="5" borderId="0" numFmtId="161" xfId="4" applyNumberFormat="1" applyFont="1" applyFill="1" applyAlignment="1">
      <alignment horizontal="right"/>
    </xf>
    <xf fontId="14" fillId="5" borderId="0" numFmtId="2" xfId="4" applyNumberFormat="1" applyFont="1" applyFill="1" applyAlignment="1">
      <alignment horizontal="right"/>
    </xf>
    <xf fontId="14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 ht="28.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8" t="s">
        <v>13</v>
      </c>
      <c r="F6" s="17" t="s">
        <v>14</v>
      </c>
    </row>
    <row r="7" ht="28.5">
      <c r="A7" s="19" t="s">
        <v>15</v>
      </c>
      <c r="B7" s="20">
        <v>52</v>
      </c>
      <c r="C7" s="7"/>
      <c r="D7" s="7" t="s">
        <v>16</v>
      </c>
      <c r="E7" s="21" t="s">
        <v>17</v>
      </c>
      <c r="F7" s="17" t="s">
        <v>18</v>
      </c>
    </row>
    <row r="8" ht="15">
      <c r="A8" s="2"/>
      <c r="B8" s="22"/>
      <c r="C8" s="17"/>
      <c r="D8" s="7" t="s">
        <v>19</v>
      </c>
      <c r="E8" s="23"/>
      <c r="F8" s="17" t="s">
        <v>20</v>
      </c>
    </row>
    <row r="9">
      <c r="A9" s="2"/>
      <c r="B9" s="2"/>
      <c r="C9" s="17"/>
      <c r="D9" s="7" t="s">
        <v>21</v>
      </c>
      <c r="E9" s="23" t="s">
        <v>22</v>
      </c>
      <c r="F9" s="17" t="s">
        <v>23</v>
      </c>
    </row>
    <row r="10" ht="15">
      <c r="A10" s="2"/>
      <c r="B10" s="2"/>
      <c r="C10" s="17"/>
      <c r="D10" s="19" t="s">
        <v>24</v>
      </c>
      <c r="E10" s="24">
        <v>10</v>
      </c>
      <c r="F10" s="25" t="s">
        <v>25</v>
      </c>
    </row>
    <row r="11" ht="15">
      <c r="A11" s="2"/>
      <c r="B11" s="2"/>
      <c r="C11" s="17"/>
      <c r="D11" s="26" t="s">
        <v>26</v>
      </c>
      <c r="E11" s="27" t="s">
        <v>27</v>
      </c>
      <c r="F11" s="28"/>
    </row>
    <row r="12">
      <c r="A12" s="2"/>
      <c r="B12" s="2"/>
      <c r="C12" s="17"/>
      <c r="D12" s="29"/>
      <c r="E12" s="30"/>
      <c r="F12" s="31"/>
    </row>
    <row r="13" ht="15">
      <c r="A13" s="2"/>
      <c r="B13" s="2"/>
      <c r="C13" s="17"/>
      <c r="D13" s="32"/>
      <c r="E13" s="33"/>
      <c r="F13" s="34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5" t="s">
        <v>28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T2A_54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8/30/1970</v>
      </c>
    </row>
    <row r="7" ht="15.6"/>
    <row r="8" ht="15.6">
      <c r="A8" s="36" t="s">
        <v>29</v>
      </c>
      <c r="B8" s="37"/>
    </row>
    <row r="9" ht="15">
      <c r="A9" s="40" t="s">
        <v>30</v>
      </c>
      <c r="B9" s="44">
        <v>44907</v>
      </c>
    </row>
    <row r="10">
      <c r="A10" s="40" t="s">
        <v>31</v>
      </c>
      <c r="B10" s="44" t="s">
        <v>32</v>
      </c>
    </row>
    <row r="11" ht="15">
      <c r="A11" s="42" t="s">
        <v>33</v>
      </c>
      <c r="B11" s="45">
        <v>0.34375</v>
      </c>
    </row>
    <row r="12" ht="15.6"/>
    <row r="13" ht="15.6">
      <c r="A13" s="46" t="s">
        <v>34</v>
      </c>
      <c r="B13" s="47"/>
      <c r="C13" s="47"/>
      <c r="D13" s="47"/>
      <c r="E13" s="48"/>
      <c r="F13" s="49" t="s">
        <v>35</v>
      </c>
      <c r="G13" s="50"/>
      <c r="H13" s="51" t="s">
        <v>36</v>
      </c>
      <c r="I13" s="52"/>
    </row>
    <row r="14" ht="15.6">
      <c r="A14" s="53"/>
      <c r="B14" s="54" t="s">
        <v>37</v>
      </c>
      <c r="C14" s="54" t="s">
        <v>38</v>
      </c>
      <c r="D14" s="54" t="s">
        <v>39</v>
      </c>
      <c r="E14" s="55" t="s">
        <v>40</v>
      </c>
      <c r="F14" s="56"/>
      <c r="G14" s="57"/>
      <c r="H14" s="58"/>
      <c r="I14" s="52"/>
    </row>
    <row r="15" ht="15">
      <c r="A15" s="59" t="s">
        <v>41</v>
      </c>
      <c r="B15" s="60">
        <v>75.647000000000006</v>
      </c>
      <c r="C15" s="61">
        <v>75.653999999999996</v>
      </c>
      <c r="D15" s="62"/>
      <c r="E15" s="63" t="s">
        <v>42</v>
      </c>
      <c r="F15" s="64">
        <f t="shared" ref="F15:F32" si="0">+(C15-B15)/B15</f>
        <v>9.2535064179554921e-05</v>
      </c>
      <c r="G15" s="63" t="str">
        <f t="shared" ref="G15:G27" si="1">IF(ABS(F15)&gt;1%,"Yes","No")</f>
        <v>No</v>
      </c>
      <c r="H15" s="65">
        <f t="shared" ref="H15:H32" si="2">IF(D15=0,AVERAGE(B15,C15),MEDIAN(B15:D15))</f>
        <v>75.650499999999994</v>
      </c>
    </row>
    <row r="16">
      <c r="A16" s="66" t="s">
        <v>43</v>
      </c>
      <c r="B16" s="67">
        <v>181.19999999999999</v>
      </c>
      <c r="C16" s="68">
        <v>181.40000000000001</v>
      </c>
      <c r="D16" s="69"/>
      <c r="E16" s="63" t="s">
        <v>44</v>
      </c>
      <c r="F16" s="64">
        <f t="shared" si="0"/>
        <v>0.0011037527593819926</v>
      </c>
      <c r="G16" s="63" t="str">
        <f t="shared" si="1"/>
        <v>No</v>
      </c>
      <c r="H16" s="65">
        <f t="shared" si="2"/>
        <v>181.30000000000001</v>
      </c>
    </row>
    <row r="17">
      <c r="A17" s="70"/>
      <c r="B17" s="71"/>
      <c r="C17" s="72"/>
      <c r="D17" s="73"/>
      <c r="E17" s="74"/>
      <c r="F17" s="75"/>
      <c r="G17" s="74"/>
      <c r="H17" s="76"/>
    </row>
    <row r="18">
      <c r="A18" s="77" t="s">
        <v>45</v>
      </c>
      <c r="B18" s="67">
        <v>5.0999999999999996</v>
      </c>
      <c r="C18" s="68">
        <v>5</v>
      </c>
      <c r="D18" s="69"/>
      <c r="E18" s="63" t="s">
        <v>46</v>
      </c>
      <c r="F18" s="64">
        <f t="shared" si="0"/>
        <v>-0.019607843137254832</v>
      </c>
      <c r="G18" s="63" t="str">
        <f t="shared" ref="G18:G21" si="3">IF(ABS(F18)&gt;5%,"Yes","No")</f>
        <v>No</v>
      </c>
      <c r="H18" s="65">
        <f t="shared" si="2"/>
        <v>5.0499999999999998</v>
      </c>
      <c r="I18" s="78" t="s">
        <v>47</v>
      </c>
      <c r="J18" s="79"/>
      <c r="K18" s="80"/>
      <c r="L18" s="81">
        <v>35.5</v>
      </c>
      <c r="M18" s="81" t="s">
        <v>44</v>
      </c>
    </row>
    <row r="19">
      <c r="A19" s="82" t="s">
        <v>48</v>
      </c>
      <c r="B19" s="67">
        <v>10.1</v>
      </c>
      <c r="C19" s="68">
        <v>10.800000000000001</v>
      </c>
      <c r="D19" s="69">
        <v>10.800000000000001</v>
      </c>
      <c r="E19" s="63" t="s">
        <v>46</v>
      </c>
      <c r="F19" s="64">
        <f t="shared" si="0"/>
        <v>0.06930693069306941</v>
      </c>
      <c r="G19" s="63" t="str">
        <f t="shared" si="3"/>
        <v>Yes</v>
      </c>
      <c r="H19" s="65">
        <f t="shared" si="2"/>
        <v>10.800000000000001</v>
      </c>
      <c r="I19" s="78" t="s">
        <v>49</v>
      </c>
      <c r="J19" s="79"/>
      <c r="K19" s="79"/>
      <c r="L19" s="81">
        <f>L18/2</f>
        <v>17.75</v>
      </c>
      <c r="M19" s="81" t="s">
        <v>44</v>
      </c>
    </row>
    <row r="20">
      <c r="A20" s="77" t="s">
        <v>50</v>
      </c>
      <c r="B20" s="67">
        <v>8.8000000000000007</v>
      </c>
      <c r="C20" s="68">
        <v>9</v>
      </c>
      <c r="D20" s="69"/>
      <c r="E20" s="63" t="s">
        <v>46</v>
      </c>
      <c r="F20" s="64">
        <f t="shared" si="0"/>
        <v>0.022727272727272645</v>
      </c>
      <c r="G20" s="63" t="str">
        <f t="shared" si="3"/>
        <v>No</v>
      </c>
      <c r="H20" s="65">
        <f t="shared" si="2"/>
        <v>8.9000000000000004</v>
      </c>
    </row>
    <row r="21">
      <c r="A21" s="77" t="s">
        <v>51</v>
      </c>
      <c r="B21" s="67">
        <v>11.5</v>
      </c>
      <c r="C21" s="68">
        <v>10.9</v>
      </c>
      <c r="D21" s="69">
        <v>11.300000000000001</v>
      </c>
      <c r="E21" s="63" t="s">
        <v>46</v>
      </c>
      <c r="F21" s="64">
        <f t="shared" si="0"/>
        <v>-0.05217391304347823</v>
      </c>
      <c r="G21" s="63" t="str">
        <f t="shared" si="3"/>
        <v>Yes</v>
      </c>
      <c r="H21" s="65">
        <f t="shared" si="2"/>
        <v>11.300000000000001</v>
      </c>
    </row>
    <row r="22">
      <c r="A22" s="83"/>
      <c r="B22" s="71"/>
      <c r="C22" s="72"/>
      <c r="D22" s="73"/>
      <c r="E22" s="74"/>
      <c r="F22" s="75"/>
      <c r="G22" s="74"/>
      <c r="H22" s="76"/>
    </row>
    <row r="23">
      <c r="A23" s="77" t="s">
        <v>52</v>
      </c>
      <c r="B23" s="67">
        <v>45.5</v>
      </c>
      <c r="C23" s="68">
        <v>45.799999999999997</v>
      </c>
      <c r="D23" s="69"/>
      <c r="E23" s="63" t="s">
        <v>44</v>
      </c>
      <c r="F23" s="64">
        <f t="shared" si="0"/>
        <v>0.006593406593406531</v>
      </c>
      <c r="G23" s="63" t="str">
        <f t="shared" si="1"/>
        <v>No</v>
      </c>
      <c r="H23" s="65">
        <f t="shared" si="2"/>
        <v>45.649999999999999</v>
      </c>
      <c r="I23" s="78" t="s">
        <v>53</v>
      </c>
      <c r="J23" s="79"/>
      <c r="K23" s="79"/>
      <c r="L23" s="84">
        <f>B23-(B23/2)</f>
        <v>22.75</v>
      </c>
      <c r="M23" s="85" t="s">
        <v>44</v>
      </c>
    </row>
    <row r="24">
      <c r="A24" s="86" t="s">
        <v>54</v>
      </c>
      <c r="B24" s="67">
        <v>52.700000000000003</v>
      </c>
      <c r="C24" s="68">
        <v>51.899999999999999</v>
      </c>
      <c r="D24" s="69">
        <v>52.100000000000001</v>
      </c>
      <c r="E24" s="63" t="s">
        <v>44</v>
      </c>
      <c r="F24" s="64">
        <f t="shared" si="0"/>
        <v>-0.015180265654649036</v>
      </c>
      <c r="G24" s="63" t="str">
        <f t="shared" si="1"/>
        <v>Yes</v>
      </c>
      <c r="H24" s="65">
        <f t="shared" si="2"/>
        <v>52.100000000000001</v>
      </c>
    </row>
    <row r="25">
      <c r="A25" s="83"/>
      <c r="B25" s="71"/>
      <c r="C25" s="72"/>
      <c r="D25" s="73"/>
      <c r="E25" s="74"/>
      <c r="F25" s="75"/>
      <c r="G25" s="74"/>
      <c r="H25" s="76"/>
    </row>
    <row r="26">
      <c r="A26" s="86" t="s">
        <v>55</v>
      </c>
      <c r="B26" s="67">
        <v>36.700000000000003</v>
      </c>
      <c r="C26" s="68">
        <v>36.600000000000001</v>
      </c>
      <c r="D26" s="69"/>
      <c r="E26" s="63" t="s">
        <v>44</v>
      </c>
      <c r="F26" s="64">
        <f t="shared" si="0"/>
        <v>-0.002724795640327014</v>
      </c>
      <c r="G26" s="63" t="str">
        <f t="shared" si="1"/>
        <v>No</v>
      </c>
      <c r="H26" s="65">
        <f t="shared" si="2"/>
        <v>36.650000000000006</v>
      </c>
    </row>
    <row r="27">
      <c r="A27" s="82" t="s">
        <v>56</v>
      </c>
      <c r="B27" s="87">
        <v>41.5</v>
      </c>
      <c r="C27" s="88">
        <v>40.899999999999999</v>
      </c>
      <c r="D27" s="89">
        <v>41</v>
      </c>
      <c r="E27" s="63" t="s">
        <v>44</v>
      </c>
      <c r="F27" s="64">
        <f t="shared" si="0"/>
        <v>-0.01445783132530124</v>
      </c>
      <c r="G27" s="63" t="str">
        <f t="shared" si="1"/>
        <v>Yes</v>
      </c>
      <c r="H27" s="65">
        <f t="shared" si="2"/>
        <v>41</v>
      </c>
    </row>
    <row r="28">
      <c r="A28" s="90"/>
      <c r="B28" s="91"/>
      <c r="C28" s="92"/>
      <c r="D28" s="93"/>
      <c r="E28" s="74"/>
      <c r="F28" s="75"/>
      <c r="G28" s="74"/>
      <c r="H28" s="76"/>
      <c r="J28" s="64"/>
    </row>
    <row r="29">
      <c r="A29" s="77" t="s">
        <v>57</v>
      </c>
      <c r="B29" s="67"/>
      <c r="C29" s="94"/>
      <c r="D29" s="95"/>
      <c r="E29" s="63" t="s">
        <v>46</v>
      </c>
      <c r="F29" s="64" t="e">
        <f t="shared" si="0"/>
        <v>#DIV/0!</v>
      </c>
      <c r="G29" s="63" t="e">
        <f t="shared" ref="G29:G32" si="4">IF(ABS(F29)&gt;5%,"Yes","No")</f>
        <v>#DIV/0!</v>
      </c>
      <c r="H29" s="65" t="e">
        <f t="shared" si="2"/>
        <v>#DIV/0!</v>
      </c>
      <c r="I29" s="96" t="s">
        <v>58</v>
      </c>
      <c r="J29" s="97"/>
      <c r="K29" s="81" t="str">
        <f>B4&amp;"_Biceps"</f>
        <v>T2A_54_Biceps</v>
      </c>
    </row>
    <row r="30">
      <c r="A30" s="82" t="s">
        <v>59</v>
      </c>
      <c r="B30" s="67"/>
      <c r="C30" s="94"/>
      <c r="D30" s="95"/>
      <c r="E30" s="63" t="s">
        <v>46</v>
      </c>
      <c r="F30" s="64" t="e">
        <f t="shared" si="0"/>
        <v>#DIV/0!</v>
      </c>
      <c r="G30" s="63" t="e">
        <f t="shared" si="4"/>
        <v>#DIV/0!</v>
      </c>
      <c r="H30" s="65" t="e">
        <f t="shared" si="2"/>
        <v>#DIV/0!</v>
      </c>
      <c r="I30" s="96" t="s">
        <v>58</v>
      </c>
      <c r="J30" s="97"/>
      <c r="K30" s="81" t="str">
        <f>B4&amp;"_Triceps"</f>
        <v>T2A_54_Triceps</v>
      </c>
    </row>
    <row r="31">
      <c r="A31" s="77" t="s">
        <v>60</v>
      </c>
      <c r="B31" s="67"/>
      <c r="C31" s="94"/>
      <c r="D31" s="95"/>
      <c r="E31" s="63" t="s">
        <v>46</v>
      </c>
      <c r="F31" s="64" t="e">
        <f t="shared" si="0"/>
        <v>#DIV/0!</v>
      </c>
      <c r="G31" s="63" t="e">
        <f t="shared" si="4"/>
        <v>#DIV/0!</v>
      </c>
      <c r="H31" s="65" t="e">
        <f t="shared" si="2"/>
        <v>#DIV/0!</v>
      </c>
      <c r="I31" s="96" t="s">
        <v>58</v>
      </c>
      <c r="J31" s="97"/>
      <c r="K31" s="81" t="str">
        <f>B4&amp;"_Subscapular"</f>
        <v>T2A_54_Subscapular</v>
      </c>
    </row>
    <row r="32" ht="15">
      <c r="A32" s="98" t="s">
        <v>61</v>
      </c>
      <c r="B32" s="99"/>
      <c r="C32" s="100"/>
      <c r="D32" s="101"/>
      <c r="E32" s="102" t="s">
        <v>46</v>
      </c>
      <c r="F32" s="103" t="e">
        <f t="shared" si="0"/>
        <v>#DIV/0!</v>
      </c>
      <c r="G32" s="102" t="e">
        <f t="shared" si="4"/>
        <v>#DIV/0!</v>
      </c>
      <c r="H32" s="104" t="e">
        <f t="shared" si="2"/>
        <v>#DIV/0!</v>
      </c>
      <c r="I32" s="96" t="s">
        <v>58</v>
      </c>
      <c r="J32" s="97"/>
      <c r="K32" s="81" t="str">
        <f>B4&amp;"_Iliac"</f>
        <v>T2A_54_Iliac</v>
      </c>
    </row>
    <row r="33" ht="15.6">
      <c r="A33" s="105"/>
      <c r="B33" s="106"/>
      <c r="C33" s="106"/>
      <c r="D33" s="64"/>
      <c r="E33" s="64"/>
      <c r="F33" s="64"/>
      <c r="G33" s="107" t="s">
        <v>62</v>
      </c>
      <c r="H33" s="108">
        <f>SUM(H18:H21)</f>
        <v>36.049999999999997</v>
      </c>
    </row>
    <row r="34" ht="15.6">
      <c r="A34" s="36" t="s">
        <v>63</v>
      </c>
      <c r="B34" s="54"/>
      <c r="C34" s="54"/>
      <c r="D34" s="37"/>
      <c r="E34" s="109"/>
      <c r="F34" s="64"/>
      <c r="G34" s="106"/>
      <c r="H34" s="64"/>
    </row>
    <row r="35" ht="15.6">
      <c r="A35" s="46" t="s">
        <v>64</v>
      </c>
      <c r="B35" s="47"/>
      <c r="C35" s="47"/>
      <c r="D35" s="48"/>
      <c r="E35" s="64"/>
      <c r="F35" s="64"/>
      <c r="G35" s="64"/>
      <c r="H35" s="64"/>
    </row>
    <row r="36" ht="15.6">
      <c r="A36" s="110" t="s">
        <v>65</v>
      </c>
      <c r="B36" s="111" t="s">
        <v>66</v>
      </c>
      <c r="C36" s="110" t="s">
        <v>67</v>
      </c>
      <c r="D36" s="112"/>
      <c r="E36" s="96" t="s">
        <v>68</v>
      </c>
      <c r="F36" s="97"/>
      <c r="G36" s="113">
        <f>'Algemene informatie'!B7</f>
        <v>52</v>
      </c>
      <c r="H36" s="64" t="s">
        <v>25</v>
      </c>
    </row>
    <row r="37" ht="15">
      <c r="A37" s="40" t="s">
        <v>69</v>
      </c>
      <c r="B37" s="63">
        <f>(495/(1.1533-(0.0643*LOG(H33))))-450</f>
        <v>20.00022231117299</v>
      </c>
      <c r="C37" s="63">
        <f>(495/(1.1369-(0.0598*LOG(H33))))-450</f>
        <v>24.230112960176882</v>
      </c>
      <c r="D37" s="63" t="s">
        <v>70</v>
      </c>
      <c r="E37" s="64"/>
      <c r="F37" s="64"/>
      <c r="G37" s="64"/>
      <c r="H37" s="64"/>
    </row>
    <row r="38">
      <c r="A38" s="40" t="s">
        <v>71</v>
      </c>
      <c r="B38" s="63">
        <f>(495/(1.162-(0.063*LOG(H33))))-450</f>
        <v>15.262746427462901</v>
      </c>
      <c r="C38" s="63">
        <f>(495/(1.1549-(0.0678*LOG(H33))))-450</f>
        <v>21.724264929196579</v>
      </c>
      <c r="D38" s="63" t="s">
        <v>70</v>
      </c>
      <c r="E38" s="64"/>
      <c r="F38" s="64"/>
      <c r="G38" s="64"/>
      <c r="H38" s="64"/>
    </row>
    <row r="39">
      <c r="A39" s="40" t="s">
        <v>72</v>
      </c>
      <c r="B39" s="63">
        <f>(495/(1.1631-(0.0632*LOG(H33))))-450</f>
        <v>14.918129370405779</v>
      </c>
      <c r="C39" s="63">
        <f>(495/(1.1599-(0.0717*LOG(H33))))-450</f>
        <v>22.206636553326632</v>
      </c>
      <c r="D39" s="63" t="s">
        <v>70</v>
      </c>
      <c r="E39" s="64"/>
      <c r="F39" s="64"/>
      <c r="G39" s="64"/>
      <c r="H39" s="64"/>
      <c r="J39" s="64"/>
      <c r="K39" s="64"/>
    </row>
    <row r="40">
      <c r="A40" s="40" t="s">
        <v>73</v>
      </c>
      <c r="B40" s="63">
        <f>(495/(1.1422-(0.0544*LOG(H33))))-450</f>
        <v>18.08317944569842</v>
      </c>
      <c r="C40" s="63">
        <f>(495/(1.1423-(0.0632*LOG(H33))))-450</f>
        <v>24.181721536742771</v>
      </c>
      <c r="D40" s="63" t="s">
        <v>70</v>
      </c>
      <c r="E40" s="64"/>
      <c r="F40" s="64"/>
      <c r="G40" s="64"/>
      <c r="H40" s="64"/>
      <c r="J40" s="114"/>
      <c r="K40" s="114"/>
    </row>
    <row r="41">
      <c r="A41" s="40" t="s">
        <v>74</v>
      </c>
      <c r="B41" s="63">
        <f>(495/(1.162-(0.07*LOG(H33))))-450</f>
        <v>20.078045635265255</v>
      </c>
      <c r="C41" s="63">
        <f>(495/(1.1333-(0.0612*LOG(H33))))-450</f>
        <v>26.870620064803575</v>
      </c>
      <c r="D41" s="63" t="s">
        <v>70</v>
      </c>
      <c r="E41" s="64"/>
      <c r="F41" s="64"/>
      <c r="G41" s="64"/>
      <c r="H41" s="64"/>
      <c r="J41" s="114"/>
      <c r="K41" s="114"/>
    </row>
    <row r="42" ht="15">
      <c r="A42" s="42" t="s">
        <v>75</v>
      </c>
      <c r="B42" s="102">
        <f>(495/(1.1715-(0.0779*LOG(H33))))-450</f>
        <v>21.331127290882307</v>
      </c>
      <c r="C42" s="102">
        <f>(495/(1.1339-(0.0645*LOG(H33))))-450</f>
        <v>28.96445671541386</v>
      </c>
      <c r="D42" s="102" t="s">
        <v>70</v>
      </c>
      <c r="E42" s="64"/>
      <c r="F42" s="64"/>
      <c r="G42" s="64"/>
      <c r="H42" s="64"/>
    </row>
    <row r="43" ht="15.6">
      <c r="A43" s="64"/>
      <c r="B43" s="64"/>
      <c r="C43" s="64"/>
      <c r="D43" s="64"/>
      <c r="E43" s="64"/>
      <c r="F43" s="64"/>
      <c r="G43" s="64"/>
      <c r="H43" s="64"/>
    </row>
    <row r="44" ht="15.6">
      <c r="A44" s="36" t="s">
        <v>76</v>
      </c>
      <c r="B44" s="37"/>
      <c r="D44" s="64"/>
      <c r="E44" s="64"/>
      <c r="F44" s="64"/>
      <c r="G44" s="64"/>
      <c r="H44" s="64"/>
    </row>
    <row r="45" ht="15">
      <c r="A45" s="40" t="s">
        <v>77</v>
      </c>
      <c r="B45" s="115" t="str">
        <f>B4&amp;"_POST_Biceps"</f>
        <v>T2A_54_POST_Biceps</v>
      </c>
      <c r="D45" s="64"/>
      <c r="E45" s="64"/>
      <c r="F45" s="64"/>
      <c r="G45" s="64"/>
      <c r="H45" s="64"/>
    </row>
    <row r="46">
      <c r="A46" s="40"/>
      <c r="B46" s="116" t="str">
        <f>B4&amp;"_POST_Triceps"</f>
        <v>T2A_54_POST_Triceps</v>
      </c>
      <c r="D46" s="64"/>
      <c r="E46" s="64"/>
      <c r="F46" s="64"/>
      <c r="G46" s="64"/>
      <c r="H46" s="64"/>
    </row>
    <row r="47">
      <c r="A47" s="40"/>
      <c r="B47" s="116" t="str">
        <f>B4&amp;"_POST_Subscapula"</f>
        <v>T2A_54_POST_Subscapula</v>
      </c>
      <c r="D47" s="64"/>
      <c r="E47" s="64"/>
      <c r="F47" s="64"/>
      <c r="G47" s="64"/>
      <c r="H47" s="64"/>
    </row>
    <row r="48" ht="15">
      <c r="A48" s="42"/>
      <c r="B48" s="117" t="str">
        <f>B4&amp;"_POST_Crista"</f>
        <v>T2A_54_POST_Crista</v>
      </c>
      <c r="C48" s="64"/>
      <c r="D48" s="64"/>
      <c r="E48" s="64"/>
      <c r="F48" s="64"/>
      <c r="G48" s="64"/>
      <c r="H48" s="64"/>
    </row>
    <row r="49" ht="15.6"/>
    <row r="50" ht="15.6">
      <c r="A50" s="36" t="s">
        <v>78</v>
      </c>
      <c r="B50" s="54"/>
      <c r="C50" s="37"/>
    </row>
    <row r="51" ht="15">
      <c r="A51" s="118"/>
      <c r="B51" s="119"/>
      <c r="C51" s="120"/>
    </row>
    <row r="52">
      <c r="A52" s="121"/>
      <c r="B52" s="122"/>
      <c r="C52" s="123"/>
    </row>
    <row r="53">
      <c r="A53" s="121"/>
      <c r="B53" s="122"/>
      <c r="C53" s="123"/>
    </row>
    <row r="54">
      <c r="A54" s="121"/>
      <c r="B54" s="122"/>
      <c r="C54" s="123"/>
    </row>
    <row r="55" ht="15">
      <c r="A55" s="124"/>
      <c r="B55" s="125"/>
      <c r="C55" s="126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workbookViewId="0" zoomScale="100">
      <selection activeCell="D18" activeCellId="0" sqref="D18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5" t="s">
        <v>79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T2A_54</v>
      </c>
      <c r="C4" s="128"/>
    </row>
    <row r="5" ht="28.5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8/30/1970</v>
      </c>
      <c r="C6" s="63"/>
    </row>
    <row r="7">
      <c r="A7" s="109" t="s">
        <v>80</v>
      </c>
      <c r="B7" s="132">
        <f>'1A. Antropometrie'!H16</f>
        <v>181.30000000000001</v>
      </c>
      <c r="C7" s="63" t="s">
        <v>44</v>
      </c>
    </row>
    <row r="8" ht="15">
      <c r="A8" s="133" t="s">
        <v>81</v>
      </c>
      <c r="B8" s="132">
        <f>'1A. Antropometrie'!H15</f>
        <v>75.650499999999994</v>
      </c>
      <c r="C8" s="102" t="s">
        <v>42</v>
      </c>
    </row>
    <row r="9" ht="15.6">
      <c r="A9" s="64"/>
      <c r="B9" s="134"/>
      <c r="C9" s="111"/>
    </row>
    <row r="10" ht="15.6">
      <c r="A10" s="36" t="s">
        <v>29</v>
      </c>
      <c r="B10" s="54"/>
      <c r="C10" s="37"/>
    </row>
    <row r="11" ht="15">
      <c r="A11" s="40" t="s">
        <v>30</v>
      </c>
      <c r="B11" s="135">
        <f>'1A. Antropometrie'!B9</f>
        <v>44907</v>
      </c>
      <c r="C11" s="63"/>
    </row>
    <row r="12">
      <c r="A12" s="40" t="s">
        <v>82</v>
      </c>
      <c r="B12" s="131" t="s">
        <v>83</v>
      </c>
      <c r="C12" s="63"/>
    </row>
    <row r="13">
      <c r="A13" s="40" t="s">
        <v>33</v>
      </c>
      <c r="B13" s="136">
        <v>0.36458333333333331</v>
      </c>
      <c r="C13" s="63" t="s">
        <v>84</v>
      </c>
    </row>
    <row r="14">
      <c r="A14" s="40" t="s">
        <v>85</v>
      </c>
      <c r="B14" s="137">
        <v>16.800000000000001</v>
      </c>
      <c r="C14" s="63" t="s">
        <v>86</v>
      </c>
    </row>
    <row r="15">
      <c r="A15" s="40" t="s">
        <v>87</v>
      </c>
      <c r="B15" s="137">
        <v>29</v>
      </c>
      <c r="C15" s="63" t="s">
        <v>70</v>
      </c>
    </row>
    <row r="16">
      <c r="A16" s="17" t="s">
        <v>88</v>
      </c>
      <c r="B16" s="138">
        <v>4</v>
      </c>
      <c r="C16" s="17"/>
    </row>
    <row r="17">
      <c r="A17" s="17" t="s">
        <v>89</v>
      </c>
      <c r="B17" s="138" t="s">
        <v>90</v>
      </c>
      <c r="C17" s="17"/>
    </row>
    <row r="18">
      <c r="A18" s="17" t="s">
        <v>91</v>
      </c>
      <c r="B18" s="138" t="s">
        <v>92</v>
      </c>
      <c r="C18" s="17" t="s">
        <v>93</v>
      </c>
    </row>
    <row r="19" ht="15">
      <c r="A19" s="25" t="s">
        <v>94</v>
      </c>
      <c r="B19" s="139" t="s">
        <v>95</v>
      </c>
      <c r="C19" s="25" t="s">
        <v>96</v>
      </c>
      <c r="D19" s="103"/>
    </row>
    <row r="20" ht="15.6">
      <c r="A20" s="36" t="s">
        <v>97</v>
      </c>
      <c r="B20" s="54"/>
      <c r="C20" s="54"/>
      <c r="D20" s="37"/>
    </row>
    <row r="21" ht="15.6">
      <c r="A21" s="140" t="s">
        <v>98</v>
      </c>
      <c r="B21" s="141"/>
      <c r="C21" s="140" t="s">
        <v>99</v>
      </c>
      <c r="D21" s="141"/>
    </row>
    <row r="22" ht="15">
      <c r="A22" s="38" t="s">
        <v>100</v>
      </c>
      <c r="B22" s="63"/>
      <c r="C22" s="38" t="s">
        <v>100</v>
      </c>
      <c r="D22" s="63"/>
    </row>
    <row r="23">
      <c r="A23" s="40" t="s">
        <v>101</v>
      </c>
      <c r="B23" s="63"/>
      <c r="C23" s="40" t="s">
        <v>101</v>
      </c>
      <c r="D23" s="63"/>
    </row>
    <row r="24">
      <c r="A24" s="40" t="s">
        <v>102</v>
      </c>
      <c r="B24" s="63"/>
      <c r="C24" s="40" t="s">
        <v>102</v>
      </c>
      <c r="D24" s="63"/>
    </row>
    <row r="25">
      <c r="A25" s="40" t="s">
        <v>103</v>
      </c>
      <c r="B25" s="63"/>
      <c r="C25" s="40" t="s">
        <v>103</v>
      </c>
      <c r="D25" s="63"/>
    </row>
    <row r="26">
      <c r="A26" s="40" t="s">
        <v>104</v>
      </c>
      <c r="B26" s="63"/>
      <c r="C26" s="40"/>
      <c r="D26" s="63"/>
    </row>
    <row r="27">
      <c r="A27" s="40" t="s">
        <v>105</v>
      </c>
      <c r="B27" s="63"/>
      <c r="C27" s="40" t="s">
        <v>105</v>
      </c>
      <c r="D27" s="63"/>
    </row>
    <row r="28" ht="15">
      <c r="A28" s="42" t="s">
        <v>106</v>
      </c>
      <c r="B28" s="102"/>
      <c r="C28" s="42" t="s">
        <v>107</v>
      </c>
      <c r="D28" s="102"/>
    </row>
    <row r="29" ht="15">
      <c r="A29" s="64"/>
      <c r="B29" s="64"/>
      <c r="C29" s="64"/>
      <c r="D29" s="64"/>
    </row>
    <row r="30" ht="15"/>
    <row r="31" ht="15.6">
      <c r="A31" s="36" t="s">
        <v>108</v>
      </c>
      <c r="B31" s="54"/>
      <c r="C31" s="54"/>
      <c r="D31" s="54"/>
      <c r="E31" s="54"/>
      <c r="F31" s="54"/>
      <c r="G31" s="37"/>
    </row>
    <row r="32" ht="15.6">
      <c r="A32" s="142" t="s">
        <v>109</v>
      </c>
      <c r="B32" s="143" t="s">
        <v>110</v>
      </c>
      <c r="C32" s="143" t="s">
        <v>111</v>
      </c>
      <c r="D32" s="143" t="s">
        <v>112</v>
      </c>
      <c r="E32" s="143" t="s">
        <v>113</v>
      </c>
      <c r="F32" s="144" t="s">
        <v>114</v>
      </c>
      <c r="G32" s="145" t="s">
        <v>115</v>
      </c>
    </row>
    <row r="33" ht="15">
      <c r="A33" s="146">
        <v>0.041666666666666664</v>
      </c>
      <c r="B33" s="61">
        <v>100</v>
      </c>
      <c r="C33" s="61">
        <v>1772</v>
      </c>
      <c r="D33" s="61">
        <v>108</v>
      </c>
      <c r="E33" s="61">
        <v>0.80000000000000004</v>
      </c>
      <c r="F33" s="147">
        <v>2</v>
      </c>
      <c r="G33" s="63">
        <v>453</v>
      </c>
    </row>
    <row r="34">
      <c r="A34" s="148">
        <v>0.083333333333333329</v>
      </c>
      <c r="B34" s="68">
        <v>100</v>
      </c>
      <c r="C34" s="68">
        <v>1907</v>
      </c>
      <c r="D34" s="68">
        <v>119</v>
      </c>
      <c r="E34" s="68">
        <v>0.92000000000000004</v>
      </c>
      <c r="F34" s="68">
        <v>2</v>
      </c>
      <c r="G34" s="149">
        <v>458</v>
      </c>
    </row>
    <row r="35">
      <c r="A35" s="148">
        <v>0.125</v>
      </c>
      <c r="B35" s="68">
        <v>100</v>
      </c>
      <c r="C35" s="68">
        <v>2317</v>
      </c>
      <c r="D35" s="68">
        <v>118</v>
      </c>
      <c r="E35" s="68">
        <v>0.92000000000000004</v>
      </c>
      <c r="F35" s="68">
        <v>2</v>
      </c>
      <c r="G35" s="149">
        <v>528</v>
      </c>
    </row>
    <row r="36">
      <c r="A36" s="148">
        <v>0.16666666666666666</v>
      </c>
      <c r="B36" s="68">
        <f t="shared" ref="B36:B52" si="5">B35+25</f>
        <v>125</v>
      </c>
      <c r="C36" s="68">
        <v>1971</v>
      </c>
      <c r="D36" s="68">
        <v>121</v>
      </c>
      <c r="E36" s="68">
        <v>0.92000000000000004</v>
      </c>
      <c r="F36" s="68">
        <v>2</v>
      </c>
      <c r="G36" s="63">
        <v>530</v>
      </c>
    </row>
    <row r="37">
      <c r="A37" s="148">
        <v>0.20833333333333334</v>
      </c>
      <c r="B37" s="68">
        <f t="shared" si="5"/>
        <v>150</v>
      </c>
      <c r="C37" s="68">
        <v>2503</v>
      </c>
      <c r="D37" s="68">
        <v>128</v>
      </c>
      <c r="E37" s="68">
        <v>0.92000000000000004</v>
      </c>
      <c r="F37" s="68">
        <v>2</v>
      </c>
      <c r="G37" s="150">
        <v>537</v>
      </c>
    </row>
    <row r="38">
      <c r="A38" s="148">
        <v>0.25</v>
      </c>
      <c r="B38" s="68">
        <f t="shared" si="5"/>
        <v>175</v>
      </c>
      <c r="C38" s="68">
        <v>2537</v>
      </c>
      <c r="D38" s="68">
        <v>133</v>
      </c>
      <c r="E38" s="68">
        <v>0.95999999999999996</v>
      </c>
      <c r="F38" s="68">
        <v>3</v>
      </c>
      <c r="G38" s="149">
        <v>546</v>
      </c>
    </row>
    <row r="39">
      <c r="A39" s="148">
        <v>0.29166666666666669</v>
      </c>
      <c r="B39" s="68">
        <f t="shared" si="5"/>
        <v>200</v>
      </c>
      <c r="C39" s="68">
        <v>2775</v>
      </c>
      <c r="D39" s="68">
        <v>141</v>
      </c>
      <c r="E39" s="68">
        <v>1</v>
      </c>
      <c r="F39" s="68">
        <v>3</v>
      </c>
      <c r="G39" s="63">
        <v>555</v>
      </c>
    </row>
    <row r="40">
      <c r="A40" s="148">
        <v>0.33333333333333331</v>
      </c>
      <c r="B40" s="68">
        <f t="shared" si="5"/>
        <v>225</v>
      </c>
      <c r="C40" s="68">
        <v>3088</v>
      </c>
      <c r="D40" s="68">
        <v>146</v>
      </c>
      <c r="E40" s="68">
        <v>1.03</v>
      </c>
      <c r="F40" s="68">
        <v>5</v>
      </c>
      <c r="G40" s="150">
        <v>560</v>
      </c>
    </row>
    <row r="41">
      <c r="A41" s="148">
        <v>0.375</v>
      </c>
      <c r="B41" s="68">
        <f t="shared" si="5"/>
        <v>250</v>
      </c>
      <c r="C41" s="68">
        <v>3198</v>
      </c>
      <c r="D41" s="68">
        <v>152</v>
      </c>
      <c r="E41" s="68">
        <v>1.0600000000000001</v>
      </c>
      <c r="F41" s="68">
        <v>6</v>
      </c>
      <c r="G41" s="149">
        <v>564</v>
      </c>
    </row>
    <row r="42">
      <c r="A42" s="148">
        <v>0.41666666666666669</v>
      </c>
      <c r="B42" s="68">
        <f t="shared" si="5"/>
        <v>275</v>
      </c>
      <c r="C42" s="68">
        <v>3463</v>
      </c>
      <c r="D42" s="68">
        <v>158</v>
      </c>
      <c r="E42" s="68">
        <v>1.1100000000000001</v>
      </c>
      <c r="F42" s="68">
        <v>7</v>
      </c>
      <c r="G42" s="63">
        <v>594</v>
      </c>
      <c r="K42" s="151"/>
    </row>
    <row r="43">
      <c r="A43" s="148">
        <v>0.45833333333333331</v>
      </c>
      <c r="B43" s="68">
        <f t="shared" si="5"/>
        <v>300</v>
      </c>
      <c r="C43" s="68">
        <v>3622</v>
      </c>
      <c r="D43" s="68">
        <v>163</v>
      </c>
      <c r="E43" s="68">
        <v>1.1899999999999999</v>
      </c>
      <c r="F43" s="68">
        <v>9</v>
      </c>
      <c r="G43" s="150"/>
    </row>
    <row r="44">
      <c r="A44" s="148">
        <v>0.5</v>
      </c>
      <c r="B44" s="68">
        <f t="shared" si="5"/>
        <v>325</v>
      </c>
      <c r="C44" s="68">
        <v>3712</v>
      </c>
      <c r="D44" s="68">
        <v>167</v>
      </c>
      <c r="E44" s="68"/>
      <c r="F44" s="68">
        <v>9</v>
      </c>
      <c r="G44" s="150"/>
    </row>
    <row r="45">
      <c r="A45" s="148">
        <v>0.54166666666666663</v>
      </c>
      <c r="B45" s="68">
        <f t="shared" si="5"/>
        <v>350</v>
      </c>
      <c r="C45" s="68"/>
      <c r="D45" s="68"/>
      <c r="E45" s="68"/>
      <c r="F45" s="68"/>
      <c r="G45" s="149"/>
    </row>
    <row r="46">
      <c r="A46" s="148">
        <v>0.58333333333333337</v>
      </c>
      <c r="B46" s="68">
        <f t="shared" si="5"/>
        <v>375</v>
      </c>
      <c r="C46" s="68"/>
      <c r="D46" s="68"/>
      <c r="E46" s="68"/>
      <c r="F46" s="68"/>
      <c r="G46" s="149"/>
    </row>
    <row r="47">
      <c r="A47" s="146">
        <v>0.625</v>
      </c>
      <c r="B47" s="68">
        <f t="shared" si="5"/>
        <v>400</v>
      </c>
      <c r="C47" s="61"/>
      <c r="D47" s="61"/>
      <c r="E47" s="61"/>
      <c r="F47" s="61"/>
      <c r="G47" s="149"/>
    </row>
    <row r="48">
      <c r="A48" s="148">
        <v>0.66666666666666663</v>
      </c>
      <c r="B48" s="68">
        <f t="shared" si="5"/>
        <v>425</v>
      </c>
      <c r="C48" s="68"/>
      <c r="D48" s="68"/>
      <c r="E48" s="68"/>
      <c r="F48" s="68"/>
      <c r="G48" s="149"/>
    </row>
    <row r="49">
      <c r="A49" s="148">
        <v>0.70833333333333337</v>
      </c>
      <c r="B49" s="68">
        <f t="shared" si="5"/>
        <v>450</v>
      </c>
      <c r="C49" s="152"/>
      <c r="D49" s="68"/>
      <c r="E49" s="68"/>
      <c r="F49" s="68"/>
      <c r="G49" s="153"/>
      <c r="H49" s="109"/>
    </row>
    <row r="50">
      <c r="A50" s="146">
        <v>0.75</v>
      </c>
      <c r="B50" s="68">
        <f t="shared" si="5"/>
        <v>475</v>
      </c>
      <c r="C50" s="154"/>
      <c r="D50" s="61"/>
      <c r="E50" s="61"/>
      <c r="F50" s="61"/>
      <c r="G50" s="153"/>
    </row>
    <row r="51">
      <c r="A51" s="146">
        <v>0.79166666666666663</v>
      </c>
      <c r="B51" s="68">
        <f t="shared" si="5"/>
        <v>500</v>
      </c>
      <c r="C51" s="154"/>
      <c r="D51" s="61"/>
      <c r="E51" s="61"/>
      <c r="F51" s="61"/>
      <c r="G51" s="153"/>
      <c r="H51" s="109"/>
    </row>
    <row r="52" ht="15">
      <c r="A52" s="155">
        <v>0.83333333333333337</v>
      </c>
      <c r="B52" s="156">
        <f t="shared" si="5"/>
        <v>525</v>
      </c>
      <c r="C52" s="157"/>
      <c r="D52" s="158"/>
      <c r="E52" s="158"/>
      <c r="F52" s="158"/>
      <c r="G52" s="103"/>
      <c r="H52" s="109"/>
    </row>
    <row r="53" ht="15.6">
      <c r="A53" s="159"/>
      <c r="B53" s="64"/>
      <c r="C53" s="64"/>
      <c r="D53" s="106"/>
      <c r="E53" s="64"/>
      <c r="F53" s="106"/>
      <c r="G53" s="64"/>
    </row>
    <row r="54" ht="15.6">
      <c r="A54" s="36" t="s">
        <v>116</v>
      </c>
      <c r="B54" s="54"/>
      <c r="C54" s="37"/>
      <c r="D54" s="64"/>
      <c r="E54" s="64"/>
      <c r="F54" s="64"/>
      <c r="G54" s="64"/>
    </row>
    <row r="55" ht="15.6">
      <c r="A55" t="s">
        <v>117</v>
      </c>
      <c r="B55" s="160">
        <v>3615</v>
      </c>
      <c r="C55" t="s">
        <v>118</v>
      </c>
      <c r="D55" s="64"/>
      <c r="E55" s="64"/>
      <c r="F55" s="64"/>
      <c r="G55" s="64"/>
    </row>
    <row r="56" ht="15.6">
      <c r="A56" s="161" t="s">
        <v>119</v>
      </c>
      <c r="B56" s="162">
        <f>B55/B8</f>
        <v>47.785540082352398</v>
      </c>
      <c r="C56" s="112" t="s">
        <v>120</v>
      </c>
      <c r="D56" s="64"/>
      <c r="E56" s="64"/>
      <c r="F56" s="64"/>
      <c r="G56" s="64"/>
    </row>
    <row r="57" ht="15.6">
      <c r="A57" s="163"/>
      <c r="B57" s="103"/>
      <c r="C57" s="111"/>
      <c r="D57" s="64"/>
      <c r="E57" s="64"/>
      <c r="F57" s="64"/>
    </row>
    <row r="58" ht="15.6">
      <c r="A58" s="36" t="s">
        <v>76</v>
      </c>
      <c r="B58" s="54"/>
      <c r="C58" s="37"/>
      <c r="D58" s="64"/>
      <c r="E58" s="64"/>
      <c r="F58" s="64"/>
    </row>
    <row r="59" ht="15">
      <c r="A59" s="40" t="s">
        <v>121</v>
      </c>
      <c r="B59" s="164" t="str">
        <f>B4&amp;"_VO2max_POST_STEP"</f>
        <v>T2A_54_VO2max_POST_STEP</v>
      </c>
      <c r="C59" s="63" t="s">
        <v>122</v>
      </c>
      <c r="D59" s="64"/>
      <c r="E59" s="64"/>
      <c r="F59" s="64"/>
    </row>
    <row r="60" ht="15">
      <c r="A60" s="42" t="s">
        <v>121</v>
      </c>
      <c r="B60" s="165" t="str">
        <f>B59&amp;"10sec"</f>
        <v>T2A_54_VO2max_POST_STEP10sec</v>
      </c>
      <c r="C60" s="102" t="s">
        <v>123</v>
      </c>
      <c r="D60" s="64"/>
      <c r="E60" s="64"/>
      <c r="F60" s="64"/>
    </row>
    <row r="61" ht="15.6"/>
    <row r="62" ht="15.6">
      <c r="A62" s="36" t="s">
        <v>78</v>
      </c>
      <c r="B62" s="54"/>
      <c r="C62" s="37"/>
    </row>
    <row r="63" ht="15">
      <c r="A63" s="118"/>
      <c r="B63" s="119"/>
      <c r="C63" s="120"/>
      <c r="D63" s="64"/>
    </row>
    <row r="64">
      <c r="A64" s="121"/>
      <c r="B64" s="122"/>
      <c r="C64" s="123"/>
      <c r="D64" s="64"/>
    </row>
    <row r="65">
      <c r="A65" s="121"/>
      <c r="B65" s="122"/>
      <c r="C65" s="123"/>
    </row>
    <row r="66">
      <c r="A66" s="121"/>
      <c r="B66" s="122"/>
      <c r="C66" s="123"/>
    </row>
    <row r="67" ht="15">
      <c r="A67" s="124"/>
      <c r="B67" s="125"/>
      <c r="C67" s="126"/>
    </row>
    <row r="68" ht="15"/>
  </sheetData>
  <mergeCells count="10">
    <mergeCell ref="A3:C3"/>
    <mergeCell ref="A10:C10"/>
    <mergeCell ref="A20:D20"/>
    <mergeCell ref="A21:B21"/>
    <mergeCell ref="C21:D21"/>
    <mergeCell ref="A31:G31"/>
    <mergeCell ref="A54:C54"/>
    <mergeCell ref="A58:C58"/>
    <mergeCell ref="A62:C62"/>
    <mergeCell ref="A63:C6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5" t="s">
        <v>124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T2A_54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8/30/1970</v>
      </c>
    </row>
    <row r="7" ht="15.6"/>
    <row r="8" ht="15.6">
      <c r="A8" s="36" t="s">
        <v>29</v>
      </c>
      <c r="B8" s="37"/>
    </row>
    <row r="9" ht="15">
      <c r="A9" s="40" t="s">
        <v>30</v>
      </c>
      <c r="B9" s="44" t="s">
        <v>125</v>
      </c>
    </row>
    <row r="10">
      <c r="A10" s="40" t="s">
        <v>82</v>
      </c>
      <c r="B10" s="44" t="s">
        <v>32</v>
      </c>
    </row>
    <row r="11">
      <c r="A11" s="40" t="s">
        <v>33</v>
      </c>
      <c r="B11" s="166">
        <v>0.33333333333333331</v>
      </c>
    </row>
    <row r="12">
      <c r="A12" s="40" t="s">
        <v>126</v>
      </c>
      <c r="B12" s="167"/>
      <c r="C12" t="s">
        <v>44</v>
      </c>
    </row>
    <row r="13" ht="15">
      <c r="A13" s="42" t="s">
        <v>127</v>
      </c>
      <c r="B13" s="168"/>
      <c r="C13" s="109" t="s">
        <v>44</v>
      </c>
    </row>
    <row r="14" ht="15.6">
      <c r="A14" s="111"/>
      <c r="B14" s="111"/>
    </row>
    <row r="15" ht="15.6">
      <c r="A15" s="36" t="s">
        <v>76</v>
      </c>
      <c r="B15" s="37"/>
    </row>
    <row r="16" ht="15">
      <c r="A16" s="40" t="s">
        <v>128</v>
      </c>
      <c r="B16" s="39" t="str">
        <f>B4&amp;"_POST_3D_scan1.mhd"</f>
        <v>T2A_54_POST_3D_scan1.mhd</v>
      </c>
    </row>
    <row r="17">
      <c r="A17" s="40" t="s">
        <v>129</v>
      </c>
      <c r="B17" s="39" t="str">
        <f>B4&amp;"_POST_3D_scan2.mhd"</f>
        <v>T2A_54_POST_3D_scan2.mhd</v>
      </c>
    </row>
    <row r="18" ht="15">
      <c r="A18" s="42" t="s">
        <v>130</v>
      </c>
      <c r="B18" s="169" t="str">
        <f>B4&amp;"_POST_3D_botpunten.mhd"</f>
        <v>T2A_54_POST_3D_botpunten.mhd</v>
      </c>
      <c r="C18" s="64"/>
    </row>
    <row r="19" ht="15.6">
      <c r="A19" s="106"/>
      <c r="B19" s="106"/>
      <c r="C19" s="64"/>
      <c r="D19" s="64"/>
      <c r="E19" s="64"/>
      <c r="F19" s="64"/>
      <c r="G19" s="64"/>
    </row>
    <row r="20" ht="15.6">
      <c r="A20" s="36" t="s">
        <v>78</v>
      </c>
      <c r="B20" s="54"/>
      <c r="C20" s="37"/>
    </row>
    <row r="21" ht="15">
      <c r="A21" s="118"/>
      <c r="B21" s="119"/>
      <c r="C21" s="120"/>
    </row>
    <row r="22">
      <c r="A22" s="121"/>
      <c r="B22" s="122"/>
      <c r="C22" s="123"/>
    </row>
    <row r="23">
      <c r="A23" s="121"/>
      <c r="B23" s="122"/>
      <c r="C23" s="123"/>
    </row>
    <row r="24">
      <c r="A24" s="121"/>
      <c r="B24" s="122"/>
      <c r="C24" s="123"/>
    </row>
    <row r="25" ht="15">
      <c r="A25" s="124"/>
      <c r="B25" s="125"/>
      <c r="C25" s="126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5" t="s">
        <v>131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T2A_54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8/30/1970</v>
      </c>
      <c r="C6" s="63"/>
    </row>
    <row r="7">
      <c r="A7" s="40" t="s">
        <v>81</v>
      </c>
      <c r="B7" s="137">
        <f>'1A. Antropometrie'!H15</f>
        <v>75.650499999999994</v>
      </c>
      <c r="C7" s="63" t="s">
        <v>42</v>
      </c>
    </row>
    <row r="8" ht="15">
      <c r="A8" s="42" t="s">
        <v>80</v>
      </c>
      <c r="B8" s="171">
        <f>'1A. Antropometrie'!H16</f>
        <v>181.30000000000001</v>
      </c>
      <c r="C8" s="102" t="s">
        <v>44</v>
      </c>
    </row>
    <row r="9" ht="15.6">
      <c r="C9" s="103"/>
      <c r="L9" s="172"/>
    </row>
    <row r="10" ht="15.6">
      <c r="A10" s="36" t="s">
        <v>29</v>
      </c>
      <c r="B10" s="54"/>
      <c r="C10" s="37"/>
    </row>
    <row r="11" ht="15">
      <c r="A11" s="40" t="s">
        <v>30</v>
      </c>
      <c r="B11" s="135" t="str">
        <f>'2A. 3D US'!B9</f>
        <v>14/12/2022</v>
      </c>
      <c r="C11" s="63"/>
    </row>
    <row r="12">
      <c r="A12" s="40" t="s">
        <v>82</v>
      </c>
      <c r="B12" s="131" t="s">
        <v>83</v>
      </c>
      <c r="C12" s="63"/>
    </row>
    <row r="13">
      <c r="A13" s="40" t="s">
        <v>33</v>
      </c>
      <c r="B13" s="136">
        <v>0.36458333333333331</v>
      </c>
      <c r="C13" s="63"/>
    </row>
    <row r="14">
      <c r="A14" s="40" t="s">
        <v>85</v>
      </c>
      <c r="B14" s="137">
        <v>17</v>
      </c>
      <c r="C14" s="63" t="s">
        <v>86</v>
      </c>
    </row>
    <row r="15">
      <c r="A15" s="40" t="s">
        <v>87</v>
      </c>
      <c r="B15" s="137">
        <v>23</v>
      </c>
      <c r="C15" s="63" t="s">
        <v>70</v>
      </c>
    </row>
    <row r="16">
      <c r="A16" s="40" t="s">
        <v>89</v>
      </c>
      <c r="B16" s="164" t="str">
        <f>'1B. VO2max'!B17</f>
        <v xml:space="preserve">Look zwart</v>
      </c>
      <c r="C16" s="63"/>
    </row>
    <row r="17">
      <c r="A17" s="40" t="s">
        <v>132</v>
      </c>
      <c r="B17" s="164">
        <v>11</v>
      </c>
      <c r="C17" s="63"/>
    </row>
    <row r="18">
      <c r="A18" s="40" t="s">
        <v>133</v>
      </c>
      <c r="B18" s="164"/>
      <c r="C18" s="63"/>
    </row>
    <row r="19">
      <c r="A19" s="40" t="s">
        <v>134</v>
      </c>
      <c r="B19" s="164" t="s">
        <v>135</v>
      </c>
      <c r="C19" s="63"/>
    </row>
    <row r="20" ht="15">
      <c r="A20" s="42" t="s">
        <v>136</v>
      </c>
      <c r="B20" s="173">
        <f>0.075*B7</f>
        <v>5.6737874999999995</v>
      </c>
      <c r="C20" s="102" t="s">
        <v>42</v>
      </c>
      <c r="D20" s="174" t="s">
        <v>137</v>
      </c>
      <c r="E20" s="80"/>
      <c r="F20" s="80"/>
      <c r="G20" s="80"/>
    </row>
    <row r="21" ht="15.6">
      <c r="A21" s="111"/>
      <c r="B21" s="111"/>
      <c r="C21" s="111"/>
    </row>
    <row r="22" ht="15.6">
      <c r="A22" s="36" t="s">
        <v>138</v>
      </c>
      <c r="B22" s="54"/>
      <c r="C22" s="37"/>
      <c r="D22" s="109"/>
      <c r="E22" s="64"/>
      <c r="F22" s="64"/>
    </row>
    <row r="23" ht="15.6">
      <c r="A23" s="175" t="s">
        <v>139</v>
      </c>
      <c r="B23" s="176" t="s">
        <v>140</v>
      </c>
      <c r="C23" s="176" t="s">
        <v>141</v>
      </c>
      <c r="D23" s="109"/>
    </row>
    <row r="24" ht="15">
      <c r="A24" s="177" t="s">
        <v>142</v>
      </c>
      <c r="B24" s="178" t="s">
        <v>143</v>
      </c>
      <c r="C24" s="179" t="s">
        <v>144</v>
      </c>
    </row>
    <row r="25">
      <c r="A25" s="180" t="s">
        <v>145</v>
      </c>
      <c r="B25" s="181"/>
      <c r="C25" s="182" t="s">
        <v>146</v>
      </c>
    </row>
    <row r="26">
      <c r="A26" s="180" t="s">
        <v>147</v>
      </c>
      <c r="B26" s="181"/>
      <c r="C26" s="182" t="s">
        <v>148</v>
      </c>
    </row>
    <row r="27">
      <c r="A27" s="180" t="s">
        <v>149</v>
      </c>
      <c r="B27" s="181"/>
      <c r="C27" s="182" t="s">
        <v>150</v>
      </c>
    </row>
    <row r="28">
      <c r="A28" s="183" t="s">
        <v>151</v>
      </c>
      <c r="B28" s="184"/>
      <c r="C28" s="182" t="s">
        <v>152</v>
      </c>
    </row>
    <row r="29">
      <c r="A29" s="183" t="s">
        <v>153</v>
      </c>
      <c r="B29" s="185">
        <v>0.074999999999999997</v>
      </c>
      <c r="C29" s="182" t="s">
        <v>154</v>
      </c>
    </row>
    <row r="30" ht="15">
      <c r="A30" s="186" t="s">
        <v>155</v>
      </c>
      <c r="B30" s="187" t="s">
        <v>143</v>
      </c>
      <c r="C30" s="188" t="s">
        <v>156</v>
      </c>
    </row>
    <row r="31" ht="15.6">
      <c r="A31" s="64"/>
      <c r="B31" s="189"/>
      <c r="C31" s="64"/>
    </row>
    <row r="32" ht="15.6">
      <c r="A32" s="36" t="s">
        <v>116</v>
      </c>
      <c r="B32" s="54"/>
      <c r="C32" s="37"/>
    </row>
    <row r="33" ht="15.6">
      <c r="A33" s="161" t="s">
        <v>157</v>
      </c>
      <c r="B33" s="162">
        <v>1104</v>
      </c>
      <c r="C33" s="112" t="s">
        <v>158</v>
      </c>
      <c r="D33" s="109"/>
    </row>
    <row r="34" ht="15.6">
      <c r="A34" s="106" t="s">
        <v>159</v>
      </c>
      <c r="B34" s="162">
        <f>B33/B7</f>
        <v>14.593426348801398</v>
      </c>
      <c r="C34" s="64" t="s">
        <v>160</v>
      </c>
      <c r="D34" s="109"/>
    </row>
    <row r="35" ht="15.6">
      <c r="A35" s="111"/>
      <c r="B35" s="111"/>
      <c r="C35" s="111"/>
    </row>
    <row r="36" ht="15.6">
      <c r="A36" s="36" t="s">
        <v>76</v>
      </c>
      <c r="B36" s="54"/>
      <c r="C36" s="37"/>
    </row>
    <row r="37" ht="15.6">
      <c r="A37" s="42" t="s">
        <v>161</v>
      </c>
      <c r="B37" s="175" t="str">
        <f>B4&amp;"_POST_Wingate"</f>
        <v>T2A_54_POST_Wingate</v>
      </c>
      <c r="C37" s="190"/>
      <c r="D37" s="109"/>
    </row>
    <row r="38" ht="15">
      <c r="C38" s="64"/>
    </row>
    <row r="39" ht="15.6">
      <c r="A39" s="36" t="s">
        <v>78</v>
      </c>
      <c r="B39" s="54"/>
      <c r="C39" s="37"/>
    </row>
    <row r="40" ht="15">
      <c r="A40" s="118"/>
      <c r="B40" s="119"/>
      <c r="C40" s="120"/>
    </row>
    <row r="41">
      <c r="A41" s="121"/>
      <c r="B41" s="122"/>
      <c r="C41" s="123"/>
    </row>
    <row r="42">
      <c r="A42" s="121"/>
      <c r="B42" s="122"/>
      <c r="C42" s="123"/>
    </row>
    <row r="43">
      <c r="A43" s="121"/>
      <c r="B43" s="122"/>
      <c r="C43" s="123"/>
    </row>
    <row r="44" ht="15">
      <c r="A44" s="124"/>
      <c r="B44" s="125"/>
      <c r="C44" s="126"/>
    </row>
    <row r="45" ht="15"/>
    <row r="47">
      <c r="A47" s="64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5" t="s">
        <v>162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T2A_54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8/30/1970</v>
      </c>
      <c r="C6" s="63"/>
    </row>
    <row r="7">
      <c r="A7" s="40" t="s">
        <v>81</v>
      </c>
      <c r="B7" s="137">
        <f>'1A. Antropometrie'!H15</f>
        <v>75.650499999999994</v>
      </c>
      <c r="C7" s="63" t="s">
        <v>42</v>
      </c>
    </row>
    <row r="8" ht="15">
      <c r="A8" s="42" t="s">
        <v>80</v>
      </c>
      <c r="B8" s="171">
        <f>'1A. Antropometrie'!H16</f>
        <v>181.30000000000001</v>
      </c>
      <c r="C8" s="102" t="s">
        <v>44</v>
      </c>
    </row>
    <row r="9" ht="15.6">
      <c r="C9" s="103"/>
    </row>
    <row r="10" ht="15.6">
      <c r="A10" s="36" t="s">
        <v>29</v>
      </c>
      <c r="B10" s="54"/>
      <c r="C10" s="37"/>
    </row>
    <row r="11" ht="15">
      <c r="A11" s="40" t="s">
        <v>30</v>
      </c>
      <c r="B11" s="135"/>
      <c r="C11" s="63"/>
    </row>
    <row r="12">
      <c r="A12" s="40" t="s">
        <v>82</v>
      </c>
      <c r="B12" s="191"/>
      <c r="C12" s="63"/>
    </row>
    <row r="13" ht="15">
      <c r="A13" s="40" t="s">
        <v>33</v>
      </c>
      <c r="B13" s="192"/>
      <c r="C13" s="102" t="s">
        <v>84</v>
      </c>
    </row>
    <row r="14" ht="15.6">
      <c r="A14" s="106"/>
      <c r="B14" s="193"/>
      <c r="C14" s="64"/>
    </row>
    <row r="15" ht="15.6">
      <c r="A15" s="36" t="s">
        <v>163</v>
      </c>
      <c r="B15" s="54"/>
      <c r="C15" s="37"/>
    </row>
    <row r="16" ht="15">
      <c r="A16" s="40" t="s">
        <v>164</v>
      </c>
      <c r="B16" s="194"/>
      <c r="C16" s="63"/>
    </row>
    <row r="17">
      <c r="A17" s="195" t="s">
        <v>165</v>
      </c>
      <c r="B17" s="132">
        <v>29.442299999999999</v>
      </c>
      <c r="C17" s="63" t="s">
        <v>44</v>
      </c>
    </row>
    <row r="18">
      <c r="A18" s="195" t="s">
        <v>166</v>
      </c>
      <c r="B18" s="132">
        <v>30.4115</v>
      </c>
      <c r="C18" s="63" t="s">
        <v>44</v>
      </c>
    </row>
    <row r="19">
      <c r="A19" s="195" t="s">
        <v>167</v>
      </c>
      <c r="B19" s="132">
        <v>29.924900000000001</v>
      </c>
      <c r="C19" s="63" t="s">
        <v>44</v>
      </c>
    </row>
    <row r="20">
      <c r="A20" s="195" t="s">
        <v>168</v>
      </c>
      <c r="B20" s="132">
        <v>29.6831</v>
      </c>
      <c r="C20" s="63" t="s">
        <v>44</v>
      </c>
      <c r="I20" t="s">
        <v>169</v>
      </c>
    </row>
    <row r="21">
      <c r="A21" s="195" t="s">
        <v>170</v>
      </c>
      <c r="B21" s="132">
        <v>29.6831</v>
      </c>
      <c r="C21" s="63" t="s">
        <v>44</v>
      </c>
    </row>
    <row r="22" ht="15">
      <c r="A22" s="40" t="s">
        <v>171</v>
      </c>
      <c r="B22" s="196">
        <f>MAX(B17:B21)</f>
        <v>30.4115</v>
      </c>
      <c r="C22" s="102" t="s">
        <v>44</v>
      </c>
    </row>
    <row r="23" ht="15.6">
      <c r="A23" s="111"/>
    </row>
    <row r="24" ht="15.6">
      <c r="A24" s="36" t="s">
        <v>76</v>
      </c>
      <c r="B24" s="37"/>
      <c r="C24" s="109"/>
    </row>
    <row r="25" ht="15">
      <c r="A25" s="38" t="s">
        <v>172</v>
      </c>
      <c r="B25" s="164" t="s">
        <v>173</v>
      </c>
      <c r="C25" s="109" t="s">
        <v>174</v>
      </c>
      <c r="D25" s="80" t="s">
        <v>175</v>
      </c>
      <c r="E25" s="80"/>
      <c r="F25" s="80"/>
      <c r="G25" s="80"/>
      <c r="H25" s="80"/>
      <c r="I25" s="80"/>
      <c r="J25" s="80"/>
      <c r="K25" s="80"/>
      <c r="L25" s="80"/>
    </row>
    <row r="26">
      <c r="A26" s="40" t="s">
        <v>172</v>
      </c>
      <c r="B26" s="116" t="str">
        <f>B4&amp;"_POST_Leftfoot.DAT"</f>
        <v>T2A_54_POST_Leftfoot.DAT</v>
      </c>
      <c r="C26" s="109"/>
      <c r="D26" s="80" t="s">
        <v>175</v>
      </c>
      <c r="E26" s="80"/>
      <c r="F26" s="80"/>
      <c r="G26" s="80"/>
      <c r="H26" s="80"/>
      <c r="I26" s="80"/>
      <c r="J26" s="80"/>
      <c r="K26" s="80"/>
      <c r="L26" s="80"/>
    </row>
    <row r="27">
      <c r="A27" s="40" t="s">
        <v>176</v>
      </c>
      <c r="B27" s="116" t="s">
        <v>173</v>
      </c>
      <c r="C27" s="64" t="s">
        <v>174</v>
      </c>
      <c r="D27" s="64"/>
    </row>
    <row r="28">
      <c r="A28" s="40" t="s">
        <v>176</v>
      </c>
      <c r="B28" s="116" t="str">
        <f>B4&amp;"_POST_Rightfoot.DAT"</f>
        <v>T2A_54_POST_Rightfoot.DAT</v>
      </c>
      <c r="E28" s="64"/>
    </row>
    <row r="29" ht="15">
      <c r="A29" s="42" t="s">
        <v>177</v>
      </c>
      <c r="B29" s="164" t="str">
        <f>B4&amp;"_POST_Sprong"</f>
        <v>T2A_54_POST_Sprong</v>
      </c>
      <c r="C29" s="109"/>
    </row>
    <row r="30" ht="15.6">
      <c r="A30" s="111"/>
      <c r="B30" s="111"/>
    </row>
    <row r="31" ht="15.6">
      <c r="A31" s="36" t="s">
        <v>78</v>
      </c>
      <c r="B31" s="54"/>
      <c r="C31" s="37"/>
    </row>
    <row r="32" ht="15">
      <c r="A32" s="118"/>
      <c r="B32" s="119"/>
      <c r="C32" s="120"/>
    </row>
    <row r="33">
      <c r="A33" s="121"/>
      <c r="B33" s="122"/>
      <c r="C33" s="123"/>
    </row>
    <row r="34">
      <c r="A34" s="121"/>
      <c r="B34" s="122"/>
      <c r="C34" s="123"/>
    </row>
    <row r="35">
      <c r="A35" s="121"/>
      <c r="B35" s="122"/>
      <c r="C35" s="123"/>
    </row>
    <row r="36" ht="15">
      <c r="A36" s="124"/>
      <c r="B36" s="125"/>
      <c r="C36" s="126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6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5" t="s">
        <v>178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T2A_54</v>
      </c>
      <c r="C4" s="128"/>
    </row>
    <row r="5" ht="57.600000000000001" customHeight="1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8/30/1970</v>
      </c>
      <c r="C6" s="63"/>
    </row>
    <row r="7">
      <c r="A7" s="109" t="s">
        <v>80</v>
      </c>
      <c r="B7" s="132">
        <f>'1A. Antropometrie'!H16</f>
        <v>181.30000000000001</v>
      </c>
      <c r="C7" s="63" t="s">
        <v>44</v>
      </c>
    </row>
    <row r="8" ht="15">
      <c r="A8" s="133" t="s">
        <v>81</v>
      </c>
      <c r="B8" s="132">
        <f>'1A. Antropometrie'!H15</f>
        <v>75.650499999999994</v>
      </c>
      <c r="C8" s="102" t="s">
        <v>42</v>
      </c>
    </row>
    <row r="9" ht="15.6">
      <c r="A9" s="64"/>
      <c r="B9" s="134"/>
      <c r="C9" s="111"/>
    </row>
    <row r="10" ht="15.6">
      <c r="A10" s="36" t="s">
        <v>29</v>
      </c>
      <c r="B10" s="54"/>
      <c r="C10" s="37"/>
    </row>
    <row r="11" ht="15">
      <c r="A11" s="40" t="s">
        <v>30</v>
      </c>
      <c r="B11" s="135">
        <f>'3A. Jump test'!B11</f>
        <v>0</v>
      </c>
      <c r="C11" s="63"/>
    </row>
    <row r="12">
      <c r="A12" s="40" t="s">
        <v>82</v>
      </c>
      <c r="B12" s="131"/>
      <c r="C12" s="63"/>
    </row>
    <row r="13">
      <c r="A13" s="40" t="s">
        <v>33</v>
      </c>
      <c r="B13" s="136"/>
      <c r="C13" s="63" t="s">
        <v>84</v>
      </c>
    </row>
    <row r="14">
      <c r="A14" s="40" t="s">
        <v>85</v>
      </c>
      <c r="B14" s="137"/>
      <c r="C14" s="63" t="s">
        <v>86</v>
      </c>
    </row>
    <row r="15">
      <c r="A15" s="40" t="s">
        <v>87</v>
      </c>
      <c r="B15" s="137"/>
      <c r="C15" s="63" t="s">
        <v>70</v>
      </c>
    </row>
    <row r="16">
      <c r="A16" s="63" t="s">
        <v>88</v>
      </c>
      <c r="B16" s="137" t="e">
        <f>#REF!</f>
        <v>#REF!</v>
      </c>
      <c r="C16" s="63"/>
    </row>
    <row r="17">
      <c r="A17" s="63" t="s">
        <v>89</v>
      </c>
      <c r="B17" s="137">
        <f>'1B. VO2max'!B16</f>
        <v>4</v>
      </c>
      <c r="C17" s="63"/>
    </row>
    <row r="18">
      <c r="A18" s="63" t="s">
        <v>91</v>
      </c>
      <c r="B18" s="137" t="str">
        <f>'1B. VO2max'!B17</f>
        <v xml:space="preserve">Look zwart</v>
      </c>
      <c r="C18" s="63" t="s">
        <v>93</v>
      </c>
    </row>
    <row r="19" ht="15">
      <c r="A19" s="102" t="s">
        <v>94</v>
      </c>
      <c r="B19" s="171" t="str">
        <f>'1B. VO2max'!B18</f>
        <v>M</v>
      </c>
      <c r="C19" s="102" t="s">
        <v>96</v>
      </c>
    </row>
    <row r="20" ht="15.6">
      <c r="A20" s="103"/>
      <c r="B20" s="103"/>
      <c r="C20" s="103"/>
      <c r="D20" s="103"/>
    </row>
    <row r="21" ht="15.6">
      <c r="A21" s="36" t="s">
        <v>97</v>
      </c>
      <c r="B21" s="54"/>
      <c r="C21" s="54"/>
      <c r="D21" s="37"/>
    </row>
    <row r="22" ht="15.6">
      <c r="A22" s="140" t="s">
        <v>98</v>
      </c>
      <c r="B22" s="141"/>
      <c r="C22" s="140" t="s">
        <v>99</v>
      </c>
      <c r="D22" s="141"/>
    </row>
    <row r="23" ht="15">
      <c r="A23" s="38" t="s">
        <v>100</v>
      </c>
      <c r="B23" s="63"/>
      <c r="C23" s="38" t="s">
        <v>100</v>
      </c>
      <c r="D23" s="63"/>
    </row>
    <row r="24">
      <c r="A24" s="40" t="s">
        <v>101</v>
      </c>
      <c r="B24" s="63"/>
      <c r="C24" s="40" t="s">
        <v>101</v>
      </c>
      <c r="D24" s="63"/>
    </row>
    <row r="25">
      <c r="A25" s="40" t="s">
        <v>102</v>
      </c>
      <c r="B25" s="63"/>
      <c r="C25" s="40" t="s">
        <v>102</v>
      </c>
      <c r="D25" s="63"/>
    </row>
    <row r="26">
      <c r="A26" s="40" t="s">
        <v>103</v>
      </c>
      <c r="B26" s="63"/>
      <c r="C26" s="40" t="s">
        <v>103</v>
      </c>
      <c r="D26" s="63"/>
    </row>
    <row r="27">
      <c r="A27" s="40" t="s">
        <v>104</v>
      </c>
      <c r="B27" s="63"/>
      <c r="C27" s="40"/>
      <c r="D27" s="63"/>
    </row>
    <row r="28">
      <c r="A28" s="40" t="s">
        <v>105</v>
      </c>
      <c r="B28" s="63"/>
      <c r="C28" s="40" t="s">
        <v>105</v>
      </c>
      <c r="D28" s="63"/>
    </row>
    <row r="29" ht="15">
      <c r="A29" s="42" t="s">
        <v>106</v>
      </c>
      <c r="B29" s="102"/>
      <c r="C29" s="42" t="s">
        <v>107</v>
      </c>
      <c r="D29" s="102"/>
    </row>
    <row r="30" ht="15.6"/>
    <row r="31" ht="15.6">
      <c r="A31" s="36" t="s">
        <v>179</v>
      </c>
      <c r="B31" s="54"/>
      <c r="C31" s="37"/>
    </row>
    <row r="32" ht="15">
      <c r="A32" s="40" t="s">
        <v>180</v>
      </c>
      <c r="B32" s="194">
        <v>42.200000000000003</v>
      </c>
      <c r="C32" s="63" t="s">
        <v>44</v>
      </c>
    </row>
    <row r="33">
      <c r="A33" s="40" t="s">
        <v>181</v>
      </c>
      <c r="B33" s="132">
        <f>B32*(2/3)</f>
        <v>28.133333333333333</v>
      </c>
      <c r="C33" s="63" t="s">
        <v>44</v>
      </c>
    </row>
    <row r="34">
      <c r="A34" s="40" t="s">
        <v>182</v>
      </c>
      <c r="B34" s="137">
        <v>3.6000000000000001</v>
      </c>
      <c r="C34" s="63" t="s">
        <v>46</v>
      </c>
    </row>
    <row r="35">
      <c r="A35" s="40" t="s">
        <v>183</v>
      </c>
      <c r="B35" s="137">
        <v>3.5</v>
      </c>
      <c r="C35" s="63" t="s">
        <v>46</v>
      </c>
    </row>
    <row r="36">
      <c r="A36" s="40" t="s">
        <v>184</v>
      </c>
      <c r="B36" s="137"/>
      <c r="C36" s="63" t="s">
        <v>46</v>
      </c>
    </row>
    <row r="37">
      <c r="A37" s="40" t="s">
        <v>185</v>
      </c>
      <c r="B37" s="137">
        <v>2</v>
      </c>
      <c r="C37" s="63"/>
    </row>
    <row r="38" ht="15">
      <c r="A38" s="133" t="s">
        <v>186</v>
      </c>
      <c r="B38" s="133"/>
      <c r="C38" s="103" t="s">
        <v>187</v>
      </c>
      <c r="D38" s="109"/>
    </row>
    <row r="39" ht="15.6"/>
    <row r="40" ht="15.6">
      <c r="A40" s="36" t="s">
        <v>188</v>
      </c>
      <c r="B40" s="54"/>
      <c r="C40" s="37"/>
    </row>
    <row r="41" ht="15">
      <c r="A41" s="40" t="s">
        <v>189</v>
      </c>
      <c r="B41" s="194">
        <f>(F41*0.9)/(90^2)</f>
        <v>0</v>
      </c>
      <c r="C41" s="63" t="s">
        <v>190</v>
      </c>
      <c r="D41" s="96" t="s">
        <v>191</v>
      </c>
      <c r="E41" s="97"/>
      <c r="F41" s="81"/>
      <c r="G41" s="81" t="s">
        <v>192</v>
      </c>
    </row>
    <row r="42" ht="15">
      <c r="A42" s="40" t="s">
        <v>193</v>
      </c>
      <c r="B42" s="132">
        <f>0.9*F42</f>
        <v>0</v>
      </c>
      <c r="C42" s="63" t="s">
        <v>192</v>
      </c>
      <c r="D42" s="78" t="s">
        <v>194</v>
      </c>
      <c r="E42" s="79"/>
      <c r="F42" s="81"/>
      <c r="G42" s="81" t="s">
        <v>192</v>
      </c>
    </row>
    <row r="43" ht="15.6">
      <c r="A43" s="111"/>
      <c r="B43" s="111"/>
      <c r="C43" s="106"/>
    </row>
    <row r="44" ht="15.6">
      <c r="A44" s="36" t="s">
        <v>195</v>
      </c>
      <c r="B44" s="37"/>
      <c r="C44" s="64"/>
    </row>
    <row r="45" ht="15">
      <c r="A45" s="128" t="s">
        <v>196</v>
      </c>
      <c r="B45" s="128">
        <v>25.899999999999999</v>
      </c>
      <c r="C45" s="64"/>
    </row>
    <row r="46" ht="15">
      <c r="A46" s="102" t="s">
        <v>197</v>
      </c>
      <c r="B46" s="102">
        <v>70.159999999999997</v>
      </c>
      <c r="C46" s="64"/>
    </row>
    <row r="47" ht="15.6">
      <c r="A47" s="111"/>
      <c r="B47" s="111"/>
      <c r="C47" s="103"/>
    </row>
    <row r="48" ht="15.6">
      <c r="A48" s="36" t="s">
        <v>138</v>
      </c>
      <c r="B48" s="54"/>
      <c r="C48" s="54"/>
      <c r="D48" s="54"/>
      <c r="E48" s="54"/>
      <c r="F48" s="54"/>
      <c r="G48" s="37"/>
    </row>
    <row r="49" ht="15.6">
      <c r="A49" s="142" t="s">
        <v>109</v>
      </c>
      <c r="B49" s="143" t="s">
        <v>110</v>
      </c>
      <c r="C49" s="143" t="s">
        <v>111</v>
      </c>
      <c r="D49" s="143" t="s">
        <v>112</v>
      </c>
      <c r="E49" s="143" t="s">
        <v>113</v>
      </c>
      <c r="F49" s="144" t="s">
        <v>114</v>
      </c>
      <c r="G49" s="145" t="s">
        <v>115</v>
      </c>
      <c r="J49" s="64"/>
      <c r="K49" s="64"/>
    </row>
    <row r="50" ht="15">
      <c r="A50" s="197" t="s">
        <v>198</v>
      </c>
      <c r="B50" s="198" t="s">
        <v>199</v>
      </c>
      <c r="C50" s="199"/>
      <c r="D50" s="199"/>
      <c r="E50" s="199"/>
      <c r="F50" s="199"/>
      <c r="G50" s="200"/>
      <c r="H50" s="80" t="s">
        <v>200</v>
      </c>
      <c r="I50" s="80"/>
      <c r="J50" s="80"/>
      <c r="K50" s="80"/>
      <c r="L50" s="80"/>
      <c r="M50" t="s">
        <v>201</v>
      </c>
    </row>
    <row r="51">
      <c r="A51" s="146">
        <v>0.16666666666666666</v>
      </c>
      <c r="B51" s="61" t="s">
        <v>202</v>
      </c>
      <c r="C51" s="61">
        <v>2332</v>
      </c>
      <c r="D51" s="61">
        <v>121</v>
      </c>
      <c r="E51" s="61">
        <v>0.87</v>
      </c>
      <c r="F51" s="61"/>
      <c r="G51" s="63">
        <v>534</v>
      </c>
      <c r="H51" s="64" t="s">
        <v>203</v>
      </c>
      <c r="I51" s="64"/>
    </row>
    <row r="52">
      <c r="A52" s="148">
        <v>0.25</v>
      </c>
      <c r="B52" s="68" t="s">
        <v>202</v>
      </c>
      <c r="C52" s="68">
        <v>2486</v>
      </c>
      <c r="D52" s="68">
        <v>124</v>
      </c>
      <c r="E52" s="68">
        <v>0.89000000000000001</v>
      </c>
      <c r="F52" s="68"/>
      <c r="G52" s="149">
        <v>540</v>
      </c>
      <c r="H52" t="s">
        <v>204</v>
      </c>
    </row>
    <row r="53">
      <c r="A53" s="148">
        <v>0.33333333333333331</v>
      </c>
      <c r="B53" s="68" t="s">
        <v>202</v>
      </c>
      <c r="C53" s="68">
        <v>2306</v>
      </c>
      <c r="D53" s="68">
        <v>127</v>
      </c>
      <c r="E53" s="68">
        <v>0.91000000000000003</v>
      </c>
      <c r="F53" s="68"/>
      <c r="G53" s="149">
        <v>547</v>
      </c>
      <c r="H53" t="s">
        <v>205</v>
      </c>
    </row>
    <row r="54">
      <c r="A54" s="148" t="s">
        <v>206</v>
      </c>
      <c r="B54" s="201" t="s">
        <v>207</v>
      </c>
      <c r="C54" s="202"/>
      <c r="D54" s="202"/>
      <c r="E54" s="202"/>
      <c r="F54" s="202"/>
      <c r="G54" s="203"/>
      <c r="H54" s="80" t="s">
        <v>200</v>
      </c>
      <c r="I54" s="80"/>
      <c r="J54" s="80"/>
      <c r="K54" s="80"/>
      <c r="L54" s="80"/>
      <c r="M54" t="s">
        <v>208</v>
      </c>
    </row>
    <row r="55">
      <c r="A55" s="148">
        <v>0.66666666666666663</v>
      </c>
      <c r="B55" s="68" t="s">
        <v>202</v>
      </c>
      <c r="C55" s="68">
        <v>2342</v>
      </c>
      <c r="D55" s="68">
        <v>123</v>
      </c>
      <c r="E55" s="68">
        <v>0.87</v>
      </c>
      <c r="F55" s="68"/>
      <c r="G55" s="150">
        <v>569</v>
      </c>
      <c r="H55" t="s">
        <v>209</v>
      </c>
    </row>
    <row r="56">
      <c r="A56" s="148">
        <v>0.75</v>
      </c>
      <c r="B56" s="68" t="s">
        <v>202</v>
      </c>
      <c r="C56" s="68">
        <v>2605</v>
      </c>
      <c r="D56" s="68">
        <v>130</v>
      </c>
      <c r="E56" s="68">
        <v>0.92000000000000004</v>
      </c>
      <c r="F56" s="68"/>
      <c r="G56" s="149">
        <v>576</v>
      </c>
      <c r="H56" t="s">
        <v>203</v>
      </c>
    </row>
    <row r="57">
      <c r="A57" s="204">
        <v>0.83333333333333337</v>
      </c>
      <c r="B57" s="68" t="s">
        <v>202</v>
      </c>
      <c r="C57" s="68"/>
      <c r="D57" s="68"/>
      <c r="E57" s="68"/>
      <c r="F57" s="68"/>
      <c r="G57" s="63"/>
      <c r="H57" s="80" t="s">
        <v>200</v>
      </c>
      <c r="I57" s="80"/>
      <c r="J57" s="80"/>
      <c r="K57" s="80"/>
      <c r="L57" s="80"/>
      <c r="M57" t="s">
        <v>204</v>
      </c>
    </row>
    <row r="58" ht="15">
      <c r="A58" s="205" t="s">
        <v>210</v>
      </c>
      <c r="B58" s="206" t="s">
        <v>211</v>
      </c>
      <c r="C58" s="207"/>
      <c r="D58" s="207"/>
      <c r="E58" s="207"/>
      <c r="F58" s="207"/>
      <c r="G58" s="208"/>
      <c r="H58" s="64"/>
      <c r="I58" s="64"/>
    </row>
    <row r="59" ht="15.6">
      <c r="A59" s="209" t="s">
        <v>109</v>
      </c>
      <c r="B59" s="143" t="s">
        <v>212</v>
      </c>
      <c r="C59" s="143" t="s">
        <v>111</v>
      </c>
      <c r="D59" s="143" t="s">
        <v>112</v>
      </c>
      <c r="E59" s="143" t="s">
        <v>113</v>
      </c>
      <c r="F59" s="143" t="s">
        <v>114</v>
      </c>
      <c r="G59" s="145" t="s">
        <v>115</v>
      </c>
    </row>
    <row r="60" ht="15">
      <c r="A60" s="210" t="s">
        <v>213</v>
      </c>
      <c r="B60" s="211">
        <v>0</v>
      </c>
      <c r="C60" s="211"/>
      <c r="D60" s="211"/>
      <c r="E60" s="211"/>
      <c r="F60" s="212"/>
      <c r="G60" s="213"/>
    </row>
    <row r="61">
      <c r="A61" s="214" t="s">
        <v>214</v>
      </c>
      <c r="B61" s="215"/>
      <c r="C61" s="215"/>
      <c r="D61" s="215"/>
      <c r="E61" s="215"/>
      <c r="F61" s="94"/>
      <c r="G61" s="216"/>
    </row>
    <row r="62">
      <c r="A62" s="217" t="s">
        <v>215</v>
      </c>
      <c r="B62" s="215"/>
      <c r="C62" s="215"/>
      <c r="D62" s="215"/>
      <c r="E62" s="215"/>
      <c r="F62" s="94"/>
      <c r="G62" s="218"/>
    </row>
    <row r="63">
      <c r="A63" s="217" t="s">
        <v>216</v>
      </c>
      <c r="B63" s="215"/>
      <c r="C63" s="215"/>
      <c r="D63" s="215"/>
      <c r="E63" s="215"/>
      <c r="F63" s="94"/>
      <c r="G63" s="218"/>
    </row>
    <row r="64">
      <c r="A64" s="210" t="s">
        <v>217</v>
      </c>
      <c r="B64" s="215"/>
      <c r="C64" s="215"/>
      <c r="D64" s="215"/>
      <c r="E64" s="215"/>
      <c r="F64" s="94"/>
      <c r="G64" s="219"/>
    </row>
    <row r="65">
      <c r="A65" s="210" t="s">
        <v>218</v>
      </c>
      <c r="B65" s="215"/>
      <c r="C65" s="215"/>
      <c r="D65" s="215"/>
      <c r="E65" s="215"/>
      <c r="F65" s="94"/>
      <c r="G65" s="219"/>
    </row>
    <row r="66">
      <c r="A66" s="210" t="s">
        <v>219</v>
      </c>
      <c r="B66" s="211"/>
      <c r="C66" s="211"/>
      <c r="D66" s="211"/>
      <c r="E66" s="211"/>
      <c r="F66" s="212"/>
      <c r="G66" s="219"/>
    </row>
    <row r="67">
      <c r="A67" s="210" t="s">
        <v>220</v>
      </c>
      <c r="B67" s="215"/>
      <c r="C67" s="215"/>
      <c r="D67" s="215"/>
      <c r="E67" s="215"/>
      <c r="F67" s="94"/>
      <c r="G67" s="220"/>
    </row>
    <row r="68">
      <c r="A68" s="221" t="s">
        <v>221</v>
      </c>
      <c r="B68" s="215"/>
      <c r="C68" s="215"/>
      <c r="D68" s="215"/>
      <c r="E68" s="215"/>
      <c r="F68" s="94"/>
      <c r="G68" s="222"/>
    </row>
    <row r="69">
      <c r="A69" s="210" t="s">
        <v>222</v>
      </c>
      <c r="B69" s="211"/>
      <c r="C69" s="211"/>
      <c r="D69" s="211"/>
      <c r="E69" s="211"/>
      <c r="F69" s="212"/>
      <c r="G69" s="222"/>
    </row>
    <row r="70">
      <c r="A70" s="210" t="s">
        <v>223</v>
      </c>
      <c r="B70" s="211"/>
      <c r="C70" s="211"/>
      <c r="D70" s="211"/>
      <c r="E70" s="211"/>
      <c r="F70" s="212"/>
      <c r="G70" s="222"/>
    </row>
    <row r="71" ht="15">
      <c r="A71" s="221" t="s">
        <v>224</v>
      </c>
      <c r="B71" s="223"/>
      <c r="C71" s="223"/>
      <c r="D71" s="223"/>
      <c r="E71" s="223"/>
      <c r="F71" s="100"/>
      <c r="G71" s="224"/>
    </row>
    <row r="72" ht="15.6">
      <c r="A72" s="106"/>
    </row>
    <row r="73" ht="15.6">
      <c r="A73" s="36" t="s">
        <v>116</v>
      </c>
      <c r="B73" s="54"/>
      <c r="C73" s="37"/>
    </row>
    <row r="74" ht="15.6">
      <c r="A74" s="110" t="s">
        <v>225</v>
      </c>
      <c r="B74" s="225" t="s">
        <v>226</v>
      </c>
      <c r="C74" s="64" t="s">
        <v>227</v>
      </c>
      <c r="D74" s="109"/>
    </row>
    <row r="75" ht="15.6">
      <c r="A75" s="103"/>
      <c r="C75" s="111"/>
    </row>
    <row r="76" ht="15.6">
      <c r="A76" s="36" t="s">
        <v>76</v>
      </c>
      <c r="B76" s="54"/>
      <c r="C76" s="37"/>
    </row>
    <row r="77" ht="15">
      <c r="A77" s="40" t="s">
        <v>228</v>
      </c>
      <c r="B77" s="132" t="str">
        <f>B4&amp;"_POST_NIRS"</f>
        <v>T2A_54_POST_NIRS</v>
      </c>
      <c r="C77" s="226"/>
    </row>
    <row r="78">
      <c r="A78" s="40" t="s">
        <v>229</v>
      </c>
      <c r="B78" s="132" t="str">
        <f>B4&amp;"_POST_TT_Bike"</f>
        <v>T2A_54_POST_TT_Bike</v>
      </c>
      <c r="C78" s="226"/>
    </row>
    <row r="79">
      <c r="A79" s="109" t="s">
        <v>230</v>
      </c>
      <c r="B79" s="132" t="str">
        <f>B4&amp;"_POST_TT_CPET"</f>
        <v>T2A_54_POST_TT_CPET</v>
      </c>
      <c r="C79" s="226"/>
    </row>
    <row r="80" ht="15">
      <c r="A80" s="42" t="s">
        <v>231</v>
      </c>
      <c r="B80" s="196" t="str">
        <f>B79&amp;"_10sec"</f>
        <v>T2A_54_POST_TT_CPET_10sec</v>
      </c>
      <c r="C80" s="227"/>
    </row>
    <row r="82" ht="15.6">
      <c r="A82" s="36" t="s">
        <v>78</v>
      </c>
      <c r="B82" s="54"/>
      <c r="C82" s="37"/>
    </row>
    <row r="83" ht="15">
      <c r="A83" s="118" t="s">
        <v>232</v>
      </c>
      <c r="B83" s="119"/>
      <c r="C83" s="120"/>
    </row>
    <row r="84">
      <c r="A84" s="121"/>
      <c r="B84" s="122"/>
      <c r="C84" s="123"/>
    </row>
    <row r="85">
      <c r="A85" s="121"/>
      <c r="B85" s="122"/>
      <c r="C85" s="123"/>
    </row>
    <row r="86">
      <c r="A86" s="121"/>
      <c r="B86" s="122"/>
      <c r="C86" s="123"/>
    </row>
    <row r="87" ht="15">
      <c r="A87" s="124"/>
      <c r="B87" s="125"/>
      <c r="C87" s="126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4" t="s">
        <v>233</v>
      </c>
      <c r="C2" s="228" t="str">
        <f>'Algemene informatie'!B4</f>
        <v>T2A_54</v>
      </c>
    </row>
    <row r="3">
      <c r="B3" s="164" t="s">
        <v>65</v>
      </c>
      <c r="C3" s="229">
        <f>'Algemene informatie'!B7</f>
        <v>52</v>
      </c>
      <c r="D3" t="s">
        <v>25</v>
      </c>
    </row>
    <row r="4">
      <c r="B4" s="164" t="s">
        <v>234</v>
      </c>
      <c r="C4" s="229">
        <f>'Algemene informatie'!B5</f>
        <v>1</v>
      </c>
      <c r="D4" t="s">
        <v>235</v>
      </c>
    </row>
    <row r="5">
      <c r="B5" s="164" t="s">
        <v>41</v>
      </c>
      <c r="C5" s="230">
        <f>'1A. Antropometrie'!H15</f>
        <v>75.650499999999994</v>
      </c>
      <c r="D5" t="s">
        <v>42</v>
      </c>
    </row>
    <row r="6">
      <c r="B6" s="164" t="s">
        <v>43</v>
      </c>
      <c r="C6" s="229">
        <f>'1A. Antropometrie'!H16</f>
        <v>181.30000000000001</v>
      </c>
      <c r="D6" t="s">
        <v>44</v>
      </c>
    </row>
    <row r="7">
      <c r="B7" s="164" t="s">
        <v>236</v>
      </c>
      <c r="C7" s="230">
        <v>21.329999999999998</v>
      </c>
      <c r="D7" t="s">
        <v>70</v>
      </c>
    </row>
    <row r="8">
      <c r="B8" s="164" t="s">
        <v>237</v>
      </c>
      <c r="C8" s="231">
        <f>'1B. VO2max'!B56</f>
        <v>47.785540082352398</v>
      </c>
      <c r="D8" t="s">
        <v>120</v>
      </c>
    </row>
    <row r="9">
      <c r="B9" s="164" t="s">
        <v>238</v>
      </c>
      <c r="C9" s="231">
        <f>'2B. Wingate'!B34</f>
        <v>14.593426348801398</v>
      </c>
      <c r="D9" t="s">
        <v>160</v>
      </c>
    </row>
    <row r="10">
      <c r="B10" s="164" t="s">
        <v>239</v>
      </c>
      <c r="C10" s="232" t="str">
        <f>'3B. NIRS+Time Trial'!B74</f>
        <v>6:23</v>
      </c>
      <c r="D10" t="s">
        <v>227</v>
      </c>
    </row>
    <row r="13">
      <c r="B13" s="164" t="s">
        <v>233</v>
      </c>
      <c r="C13" s="164" t="s">
        <v>65</v>
      </c>
      <c r="D13" s="164" t="s">
        <v>234</v>
      </c>
      <c r="E13" s="164" t="s">
        <v>41</v>
      </c>
      <c r="F13" s="164" t="s">
        <v>43</v>
      </c>
      <c r="G13" s="164" t="s">
        <v>236</v>
      </c>
      <c r="H13" s="164" t="s">
        <v>237</v>
      </c>
      <c r="I13" s="164" t="s">
        <v>238</v>
      </c>
      <c r="J13" s="164" t="s">
        <v>240</v>
      </c>
    </row>
    <row r="14">
      <c r="B14" t="str">
        <f>C2</f>
        <v>T2A_54</v>
      </c>
      <c r="C14" s="233">
        <f>C3</f>
        <v>52</v>
      </c>
      <c r="D14" s="233">
        <f>C4</f>
        <v>1</v>
      </c>
      <c r="E14" s="234">
        <f>C5</f>
        <v>75.650499999999994</v>
      </c>
      <c r="F14" s="233">
        <f>C6</f>
        <v>181.30000000000001</v>
      </c>
      <c r="G14" s="234">
        <v>21.331127290882307</v>
      </c>
      <c r="H14" s="160">
        <f>C8</f>
        <v>47.785540082352398</v>
      </c>
      <c r="I14" s="160">
        <f>C9</f>
        <v>14.593426348801398</v>
      </c>
      <c r="J14" s="235" t="str">
        <f>C10</f>
        <v>6:23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8</cp:revision>
  <dcterms:created xsi:type="dcterms:W3CDTF">2022-07-15T14:05:02Z</dcterms:created>
  <dcterms:modified xsi:type="dcterms:W3CDTF">2022-12-23T11:17:56Z</dcterms:modified>
</cp:coreProperties>
</file>