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2 September\"/>
    </mc:Choice>
  </mc:AlternateContent>
  <xr:revisionPtr revIDLastSave="0" documentId="13_ncr:1_{FFA6A111-0A87-461A-BFBB-EF1EFFE5825D}" xr6:coauthVersionLast="47" xr6:coauthVersionMax="47" xr10:uidLastSave="{00000000-0000-0000-0000-000000000000}"/>
  <bookViews>
    <workbookView xWindow="-108" yWindow="-108" windowWidth="23256" windowHeight="12456" firstSheet="2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7" i="8"/>
  <c r="L23" i="2"/>
  <c r="G14" i="8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6" i="4" l="1"/>
  <c r="B17" i="4"/>
  <c r="B18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38" i="2" s="1"/>
  <c r="B61" i="3"/>
  <c r="B7" i="7"/>
  <c r="B8" i="6"/>
  <c r="B8" i="5"/>
  <c r="B8" i="7"/>
  <c r="B7" i="6"/>
  <c r="B7" i="5"/>
  <c r="B37" i="2" l="1"/>
  <c r="C39" i="2"/>
  <c r="B42" i="2"/>
  <c r="B40" i="2"/>
  <c r="C37" i="2"/>
  <c r="C40" i="2"/>
  <c r="C41" i="2"/>
  <c r="B38" i="2"/>
  <c r="B41" i="2"/>
  <c r="C42" i="2"/>
  <c r="B39" i="2"/>
  <c r="B20" i="5"/>
  <c r="B34" i="5"/>
</calcChain>
</file>

<file path=xl/sharedStrings.xml><?xml version="1.0" encoding="utf-8"?>
<sst xmlns="http://schemas.openxmlformats.org/spreadsheetml/2006/main" count="433" uniqueCount="233">
  <si>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</si>
  <si>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</si>
  <si>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</si>
  <si>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</si>
  <si>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</si>
  <si>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</si>
  <si>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</si>
  <si>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</si>
  <si>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</si>
  <si>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</si>
  <si>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</si>
  <si>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</si>
  <si>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</si>
  <si>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</si>
  <si>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</si>
  <si>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</si>
  <si>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</si>
  <si>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</si>
  <si>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</si>
  <si>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</si>
  <si>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</si>
  <si>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</si>
  <si>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</si>
  <si>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</si>
  <si>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</si>
  <si>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</si>
  <si>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</si>
  <si>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</si>
  <si>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</si>
  <si>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</si>
  <si>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</si>
  <si>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</si>
  <si>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</si>
  <si>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</si>
  <si>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</si>
  <si>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</si>
  <si>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</si>
  <si>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</si>
  <si>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</si>
  <si>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</si>
  <si>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</si>
  <si>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</si>
  <si>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</si>
  <si>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</si>
  <si>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</si>
  <si>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</si>
  <si>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</si>
  <si>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</si>
  <si>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</si>
  <si>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</si>
  <si>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</si>
  <si>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</si>
  <si>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</si>
  <si>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</si>
  <si>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</si>
  <si>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</si>
  <si>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</si>
  <si>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</si>
  <si>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</si>
  <si>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</si>
  <si>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</si>
  <si>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</si>
  <si>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</si>
  <si>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</si>
  <si>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</si>
  <si>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</si>
  <si>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</si>
  <si>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</si>
  <si>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</si>
  <si>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</si>
  <si>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</si>
  <si>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</si>
  <si>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</si>
  <si>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</si>
  <si>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</si>
  <si>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</si>
  <si>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</si>
  <si>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</si>
  <si>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</si>
  <si>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</si>
  <si>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</si>
  <si>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</si>
  <si>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</si>
  <si>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</si>
  <si>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</si>
  <si>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</si>
  <si>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</si>
  <si>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</si>
  <si>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</si>
  <si>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</si>
  <si>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</si>
  <si>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</si>
  <si>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</si>
  <si>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</si>
  <si>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</si>
  <si>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</si>
  <si>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</si>
  <si>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</si>
  <si>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</si>
  <si>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</si>
  <si>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</si>
  <si>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</si>
  <si>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</si>
  <si>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</si>
  <si>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</si>
  <si>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</si>
  <si>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</si>
  <si>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</si>
  <si>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</si>
  <si>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</si>
  <si>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</si>
  <si>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</si>
  <si>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</si>
  <si>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</si>
  <si>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</si>
  <si>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</si>
  <si>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</si>
  <si>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</si>
  <si>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</si>
  <si>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</si>
  <si>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</si>
  <si>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</si>
  <si>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</si>
  <si>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</si>
  <si>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</si>
  <si>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</si>
  <si>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</si>
  <si>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</si>
  <si>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</si>
  <si>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</si>
  <si>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</si>
  <si>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</si>
  <si>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</si>
  <si>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</si>
  <si>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</si>
  <si>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</si>
  <si>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</si>
  <si>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</si>
  <si>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</si>
  <si>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</si>
  <si>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</si>
  <si>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</si>
  <si>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</si>
  <si>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</si>
  <si>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</si>
  <si>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</si>
  <si>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</si>
  <si>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</si>
  <si>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</si>
  <si>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</si>
  <si>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</si>
  <si>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</si>
  <si>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</si>
  <si>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</si>
  <si>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</si>
  <si>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</si>
  <si>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</si>
  <si>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</si>
  <si>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</si>
  <si>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</si>
  <si>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</si>
  <si>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</si>
  <si>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</si>
  <si>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</si>
  <si>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</si>
  <si>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</si>
  <si>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</si>
  <si>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</si>
  <si>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</si>
  <si>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</si>
  <si>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</si>
  <si>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</si>
  <si>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</si>
  <si>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</si>
  <si>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</si>
  <si>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</si>
  <si>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</si>
  <si>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</si>
  <si>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</si>
  <si>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</si>
  <si>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</si>
  <si>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</si>
  <si>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</si>
  <si>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</si>
  <si>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</si>
  <si>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</si>
  <si>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</si>
  <si>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</si>
  <si>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</si>
  <si>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</si>
  <si>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</si>
  <si>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</si>
  <si>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</si>
  <si>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</si>
  <si>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</si>
  <si>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</si>
  <si>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</si>
  <si>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</si>
  <si>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</si>
  <si>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</si>
  <si>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</si>
  <si>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</si>
  <si>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</si>
  <si>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</si>
  <si>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</si>
  <si>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</si>
  <si>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</si>
  <si>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</si>
  <si>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</si>
  <si>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</si>
  <si>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</si>
  <si>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</si>
  <si>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</si>
  <si>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</si>
  <si>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</si>
  <si>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</si>
  <si>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</si>
  <si>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T2A_08</t>
  </si>
  <si>
    <t>Recreatief</t>
  </si>
  <si>
    <t>Weg/graffelsoms binnen</t>
  </si>
  <si>
    <t>Verschillend. Fiets naar werk 32km</t>
  </si>
  <si>
    <t>5x</t>
  </si>
  <si>
    <t xml:space="preserve">heeft eigen binnenfiets met vermogen. Voorkeur gaat uit naar groep 3 of 4. </t>
  </si>
  <si>
    <t>Luuk</t>
  </si>
  <si>
    <t>spd/sl</t>
  </si>
  <si>
    <t>L</t>
  </si>
  <si>
    <t>Renske</t>
  </si>
  <si>
    <t>Tweede gat van achteren</t>
  </si>
  <si>
    <t>Links</t>
  </si>
  <si>
    <t xml:space="preserve">Vraag me af of hij echt helemaal maximaal ging. Gaf zelf ook wel aan dat hij totaal geen sprinter is. </t>
  </si>
  <si>
    <t>RAW00165.DAT</t>
  </si>
  <si>
    <t>RAW00342.DAT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</si>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</sst>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0" fillId="0" borderId="10" xfId="0" applyBorder="1"/>
    <xf numFmtId="0" fontId="0" fillId="0" borderId="18" xfId="0" applyBorder="1"/>
    <xf numFmtId="1" fontId="11" fillId="0" borderId="17" xfId="0" applyNumberFormat="1" applyFont="1" applyBorder="1"/>
    <xf numFmtId="0" fontId="0" fillId="0" borderId="79" xfId="0" applyFill="1" applyBorder="1"/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sheetPr codeName="Sheet1"/>
  <dimension ref="A1:F14"/>
  <sheetViews>
    <sheetView zoomScale="120" zoomScaleNormal="120" workbookViewId="0">
      <selection activeCell="B9" sqref="B9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6" t="s">
        <v>33</v>
      </c>
      <c r="B1" s="184"/>
      <c r="C1" s="184"/>
      <c r="D1" s="184"/>
      <c r="E1" s="184"/>
      <c r="F1" s="184"/>
    </row>
    <row r="2" spans="1:6" ht="15.6" thickTop="1" thickBot="1" x14ac:dyDescent="0.35">
      <c r="A2" s="188"/>
      <c r="B2" s="184"/>
      <c r="C2" s="184"/>
      <c r="D2" s="192"/>
      <c r="E2" s="192"/>
      <c r="F2" s="192"/>
    </row>
    <row r="3" spans="1:6" ht="18" customHeight="1" thickTop="1" thickBot="1" x14ac:dyDescent="0.35">
      <c r="A3" s="214" t="s">
        <v>32</v>
      </c>
      <c r="B3" s="215"/>
      <c r="C3" s="196"/>
      <c r="D3" s="214" t="s">
        <v>34</v>
      </c>
      <c r="E3" s="216"/>
      <c r="F3" s="215"/>
    </row>
    <row r="4" spans="1:6" ht="15" customHeight="1" thickTop="1" x14ac:dyDescent="0.3">
      <c r="A4" s="193" t="s">
        <v>17</v>
      </c>
      <c r="B4" s="189" t="s">
        <v>217</v>
      </c>
      <c r="C4" s="197"/>
      <c r="D4" s="193" t="s">
        <v>19</v>
      </c>
      <c r="E4" s="185" t="s">
        <v>218</v>
      </c>
      <c r="F4" s="196" t="s">
        <v>29</v>
      </c>
    </row>
    <row r="5" spans="1:6" x14ac:dyDescent="0.3">
      <c r="A5" s="194" t="s">
        <v>35</v>
      </c>
      <c r="B5" s="190">
        <v>1</v>
      </c>
      <c r="C5" s="190"/>
      <c r="D5" s="194"/>
      <c r="E5" s="185" t="s">
        <v>219</v>
      </c>
      <c r="F5" s="196" t="s">
        <v>30</v>
      </c>
    </row>
    <row r="6" spans="1:6" x14ac:dyDescent="0.3">
      <c r="A6" s="194" t="s">
        <v>18</v>
      </c>
      <c r="B6" s="191">
        <v>29393</v>
      </c>
      <c r="C6" s="191"/>
      <c r="D6" s="194"/>
      <c r="E6" s="185" t="s">
        <v>220</v>
      </c>
      <c r="F6" s="196" t="s">
        <v>31</v>
      </c>
    </row>
    <row r="7" spans="1:6" ht="15" thickBot="1" x14ac:dyDescent="0.35">
      <c r="A7" s="201" t="s">
        <v>149</v>
      </c>
      <c r="B7" s="202">
        <v>42</v>
      </c>
      <c r="C7" s="194"/>
      <c r="D7" s="194" t="s">
        <v>20</v>
      </c>
      <c r="E7" s="187" t="s">
        <v>221</v>
      </c>
      <c r="F7" s="196" t="s">
        <v>21</v>
      </c>
    </row>
    <row r="8" spans="1:6" ht="15" thickTop="1" x14ac:dyDescent="0.3">
      <c r="A8" s="184"/>
      <c r="B8" s="200"/>
      <c r="C8" s="196"/>
      <c r="D8" s="194" t="s">
        <v>22</v>
      </c>
      <c r="E8" s="187"/>
      <c r="F8" s="196" t="s">
        <v>23</v>
      </c>
    </row>
    <row r="9" spans="1:6" x14ac:dyDescent="0.3">
      <c r="A9" s="184"/>
      <c r="B9" s="184"/>
      <c r="C9" s="196"/>
      <c r="D9" s="194" t="s">
        <v>24</v>
      </c>
      <c r="E9" s="187"/>
      <c r="F9" s="196" t="s">
        <v>25</v>
      </c>
    </row>
    <row r="10" spans="1:6" ht="15" thickBot="1" x14ac:dyDescent="0.35">
      <c r="A10" s="184"/>
      <c r="B10" s="184"/>
      <c r="C10" s="196"/>
      <c r="D10" s="195" t="s">
        <v>26</v>
      </c>
      <c r="E10" s="198">
        <v>15</v>
      </c>
      <c r="F10" s="199" t="s">
        <v>27</v>
      </c>
    </row>
    <row r="11" spans="1:6" ht="15" thickTop="1" x14ac:dyDescent="0.3">
      <c r="A11" s="184"/>
      <c r="B11" s="184"/>
      <c r="C11" s="196"/>
      <c r="D11" s="211" t="s">
        <v>28</v>
      </c>
      <c r="E11" s="205" t="s">
        <v>222</v>
      </c>
      <c r="F11" s="206"/>
    </row>
    <row r="12" spans="1:6" x14ac:dyDescent="0.3">
      <c r="A12" s="184"/>
      <c r="B12" s="184"/>
      <c r="C12" s="196"/>
      <c r="D12" s="212"/>
      <c r="E12" s="207"/>
      <c r="F12" s="208"/>
    </row>
    <row r="13" spans="1:6" ht="15" thickBot="1" x14ac:dyDescent="0.35">
      <c r="A13" s="184"/>
      <c r="B13" s="184"/>
      <c r="C13" s="196"/>
      <c r="D13" s="213"/>
      <c r="E13" s="209"/>
      <c r="F13" s="210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sheetPr codeName="Sheet2"/>
  <dimension ref="A1:M56"/>
  <sheetViews>
    <sheetView topLeftCell="A31" zoomScaleNormal="100" workbookViewId="0">
      <selection activeCell="D30" sqref="D30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4" t="s">
        <v>32</v>
      </c>
      <c r="B3" s="215"/>
    </row>
    <row r="4" spans="1:9" ht="15" thickTop="1" x14ac:dyDescent="0.3">
      <c r="A4" s="23" t="s">
        <v>17</v>
      </c>
      <c r="B4" s="17" t="str">
        <f>'Algemene informatie'!B4</f>
        <v>T2A_08</v>
      </c>
    </row>
    <row r="5" spans="1:9" x14ac:dyDescent="0.3">
      <c r="A5" s="24" t="s">
        <v>35</v>
      </c>
      <c r="B5" s="18">
        <f>'Algemene informatie'!B5</f>
        <v>1</v>
      </c>
    </row>
    <row r="6" spans="1:9" ht="15" thickBot="1" x14ac:dyDescent="0.35">
      <c r="A6" s="25" t="s">
        <v>18</v>
      </c>
      <c r="B6" s="21">
        <f>'Algemene informatie'!B6</f>
        <v>29393</v>
      </c>
    </row>
    <row r="7" spans="1:9" ht="15.6" thickTop="1" thickBot="1" x14ac:dyDescent="0.35"/>
    <row r="8" spans="1:9" ht="15.6" thickTop="1" thickBot="1" x14ac:dyDescent="0.35">
      <c r="A8" s="214" t="s">
        <v>58</v>
      </c>
      <c r="B8" s="215"/>
    </row>
    <row r="9" spans="1:9" ht="15" thickTop="1" x14ac:dyDescent="0.3">
      <c r="A9" s="24" t="s">
        <v>59</v>
      </c>
      <c r="B9" s="19">
        <v>44816</v>
      </c>
    </row>
    <row r="10" spans="1:9" x14ac:dyDescent="0.3">
      <c r="A10" s="24" t="s">
        <v>209</v>
      </c>
      <c r="B10" s="19" t="s">
        <v>223</v>
      </c>
    </row>
    <row r="11" spans="1:9" ht="15" thickBot="1" x14ac:dyDescent="0.35">
      <c r="A11" s="25" t="s">
        <v>60</v>
      </c>
      <c r="B11" s="56">
        <v>0.375</v>
      </c>
    </row>
    <row r="12" spans="1:9" ht="15.6" thickTop="1" thickBot="1" x14ac:dyDescent="0.35"/>
    <row r="13" spans="1:9" ht="15.6" thickTop="1" thickBot="1" x14ac:dyDescent="0.35">
      <c r="A13" s="224" t="s">
        <v>39</v>
      </c>
      <c r="B13" s="225"/>
      <c r="C13" s="225"/>
      <c r="D13" s="225"/>
      <c r="E13" s="226"/>
      <c r="F13" s="220" t="s">
        <v>38</v>
      </c>
      <c r="G13" s="221"/>
      <c r="H13" s="230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22"/>
      <c r="G14" s="223"/>
      <c r="H14" s="231"/>
      <c r="I14" s="1"/>
    </row>
    <row r="15" spans="1:9" ht="15" thickTop="1" x14ac:dyDescent="0.3">
      <c r="A15" s="43" t="s">
        <v>40</v>
      </c>
      <c r="B15" s="44">
        <v>84.91</v>
      </c>
      <c r="C15" s="45">
        <v>84.912999999999997</v>
      </c>
      <c r="D15" s="46"/>
      <c r="E15" s="26" t="s">
        <v>1</v>
      </c>
      <c r="F15" s="2">
        <f>+(C15-B15)/B15</f>
        <v>3.533152749970691E-5</v>
      </c>
      <c r="G15" s="26" t="str">
        <f>IF(ABS(F15)&gt;1%,"Yes","No")</f>
        <v>No</v>
      </c>
      <c r="H15" s="32">
        <f>IF(D15=0,AVERAGE(B15,C15),MEDIAN(B15:D15))</f>
        <v>84.91149999999999</v>
      </c>
    </row>
    <row r="16" spans="1:9" x14ac:dyDescent="0.3">
      <c r="A16" s="36" t="s">
        <v>41</v>
      </c>
      <c r="B16" s="5">
        <v>198.6</v>
      </c>
      <c r="C16" s="4">
        <v>198.6</v>
      </c>
      <c r="D16" s="6"/>
      <c r="E16" s="26" t="s">
        <v>2</v>
      </c>
      <c r="F16" s="2">
        <f t="shared" ref="F16:F27" si="0">+(C16-B16)/B16</f>
        <v>0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198.6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5.3</v>
      </c>
      <c r="C18" s="4">
        <v>4.8</v>
      </c>
      <c r="D18" s="6">
        <v>4.7</v>
      </c>
      <c r="E18" s="26" t="s">
        <v>3</v>
      </c>
      <c r="F18" s="2">
        <f t="shared" si="0"/>
        <v>-9.4339622641509441E-2</v>
      </c>
      <c r="G18" s="26" t="str">
        <f>IF(ABS(F18)&gt;5%,"Yes","No")</f>
        <v>Yes</v>
      </c>
      <c r="H18" s="32">
        <f t="shared" si="2"/>
        <v>4.8</v>
      </c>
      <c r="I18" s="232" t="s">
        <v>163</v>
      </c>
      <c r="J18" s="234"/>
      <c r="K18" s="133"/>
      <c r="L18" s="134">
        <v>38.9</v>
      </c>
      <c r="M18" s="134" t="s">
        <v>2</v>
      </c>
    </row>
    <row r="19" spans="1:13" x14ac:dyDescent="0.3">
      <c r="A19" s="39" t="s">
        <v>43</v>
      </c>
      <c r="B19" s="5">
        <v>9.1999999999999993</v>
      </c>
      <c r="C19" s="4">
        <v>9.4</v>
      </c>
      <c r="D19" s="6"/>
      <c r="E19" s="26" t="s">
        <v>3</v>
      </c>
      <c r="F19" s="2">
        <f t="shared" si="0"/>
        <v>2.1739130434782726E-2</v>
      </c>
      <c r="G19" s="26" t="str">
        <f t="shared" ref="G19:G21" si="3">IF(ABS(F19)&gt;5%,"Yes","No")</f>
        <v>No</v>
      </c>
      <c r="H19" s="32">
        <f t="shared" si="2"/>
        <v>9.3000000000000007</v>
      </c>
      <c r="I19" s="232" t="s">
        <v>162</v>
      </c>
      <c r="J19" s="234"/>
      <c r="K19" s="234"/>
      <c r="L19" s="134">
        <f>L18/2</f>
        <v>19.45</v>
      </c>
      <c r="M19" s="134" t="s">
        <v>2</v>
      </c>
    </row>
    <row r="20" spans="1:13" x14ac:dyDescent="0.3">
      <c r="A20" s="38" t="s">
        <v>44</v>
      </c>
      <c r="B20" s="5">
        <v>9.8000000000000007</v>
      </c>
      <c r="C20" s="4">
        <v>10.3</v>
      </c>
      <c r="D20" s="6">
        <v>10.199999999999999</v>
      </c>
      <c r="E20" s="26" t="s">
        <v>3</v>
      </c>
      <c r="F20" s="2">
        <f t="shared" si="0"/>
        <v>5.10204081632653E-2</v>
      </c>
      <c r="G20" s="26" t="str">
        <f t="shared" si="3"/>
        <v>Yes</v>
      </c>
      <c r="H20" s="32">
        <f t="shared" si="2"/>
        <v>10.199999999999999</v>
      </c>
    </row>
    <row r="21" spans="1:13" x14ac:dyDescent="0.3">
      <c r="A21" s="38" t="s">
        <v>45</v>
      </c>
      <c r="B21" s="5">
        <v>11.1</v>
      </c>
      <c r="C21" s="4">
        <v>11.4</v>
      </c>
      <c r="D21" s="6"/>
      <c r="E21" s="26" t="s">
        <v>3</v>
      </c>
      <c r="F21" s="2">
        <f t="shared" si="0"/>
        <v>2.7027027027027091E-2</v>
      </c>
      <c r="G21" s="26" t="str">
        <f t="shared" si="3"/>
        <v>No</v>
      </c>
      <c r="H21" s="32">
        <f t="shared" si="2"/>
        <v>11.25</v>
      </c>
    </row>
    <row r="22" spans="1:13" x14ac:dyDescent="0.3">
      <c r="A22" s="40"/>
      <c r="B22" s="8"/>
      <c r="C22" s="9"/>
      <c r="D22" s="10"/>
      <c r="E22" s="35"/>
      <c r="F22" s="7"/>
      <c r="G22" s="35"/>
      <c r="H22" s="33"/>
    </row>
    <row r="23" spans="1:13" x14ac:dyDescent="0.3">
      <c r="A23" s="38" t="s">
        <v>50</v>
      </c>
      <c r="B23" s="5">
        <v>47.3</v>
      </c>
      <c r="C23" s="4">
        <v>47.4</v>
      </c>
      <c r="D23" s="6"/>
      <c r="E23" s="26" t="s">
        <v>2</v>
      </c>
      <c r="F23" s="2">
        <f>+(C23-B23)/B23</f>
        <v>2.1141649048626093E-3</v>
      </c>
      <c r="G23" s="26" t="str">
        <f t="shared" si="1"/>
        <v>No</v>
      </c>
      <c r="H23" s="32">
        <f t="shared" si="2"/>
        <v>47.349999999999994</v>
      </c>
      <c r="I23" s="232" t="s">
        <v>170</v>
      </c>
      <c r="J23" s="233"/>
      <c r="K23" s="233"/>
      <c r="L23" s="135">
        <f>B23-(B23/2)</f>
        <v>23.65</v>
      </c>
      <c r="M23" s="29" t="s">
        <v>2</v>
      </c>
    </row>
    <row r="24" spans="1:13" x14ac:dyDescent="0.3">
      <c r="A24" s="41" t="s">
        <v>49</v>
      </c>
      <c r="B24" s="5">
        <v>50.4</v>
      </c>
      <c r="C24" s="4">
        <v>50.5</v>
      </c>
      <c r="D24" s="6"/>
      <c r="E24" s="26" t="s">
        <v>2</v>
      </c>
      <c r="F24" s="2">
        <f t="shared" si="0"/>
        <v>1.9841269841270122E-3</v>
      </c>
      <c r="G24" s="26" t="str">
        <f t="shared" si="1"/>
        <v>No</v>
      </c>
      <c r="H24" s="32">
        <f t="shared" si="2"/>
        <v>50.45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34.9</v>
      </c>
      <c r="C26" s="4">
        <v>34.5</v>
      </c>
      <c r="D26" s="6">
        <v>34.5</v>
      </c>
      <c r="E26" s="26" t="s">
        <v>2</v>
      </c>
      <c r="F26" s="2">
        <f t="shared" si="0"/>
        <v>-1.1461318051575891E-2</v>
      </c>
      <c r="G26" s="26" t="str">
        <f t="shared" si="1"/>
        <v>Yes</v>
      </c>
      <c r="H26" s="32">
        <f t="shared" si="2"/>
        <v>34.5</v>
      </c>
    </row>
    <row r="27" spans="1:13" x14ac:dyDescent="0.3">
      <c r="A27" s="39" t="s">
        <v>52</v>
      </c>
      <c r="B27" s="53">
        <v>43.8</v>
      </c>
      <c r="C27" s="54">
        <v>43.7</v>
      </c>
      <c r="D27" s="55"/>
      <c r="E27" s="26" t="s">
        <v>2</v>
      </c>
      <c r="F27" s="2">
        <f t="shared" si="0"/>
        <v>-2.2831050228309204E-3</v>
      </c>
      <c r="G27" s="26" t="str">
        <f t="shared" si="1"/>
        <v>No</v>
      </c>
      <c r="H27" s="32">
        <f t="shared" si="2"/>
        <v>43.75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2"/>
      <c r="D29" s="153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27" t="s">
        <v>169</v>
      </c>
      <c r="J29" s="229"/>
      <c r="K29" s="134" t="str">
        <f>B4&amp;"_Biceps"</f>
        <v>T2A_08_Biceps</v>
      </c>
    </row>
    <row r="30" spans="1:13" x14ac:dyDescent="0.3">
      <c r="A30" s="39" t="s">
        <v>55</v>
      </c>
      <c r="B30" s="5"/>
      <c r="C30" s="152"/>
      <c r="D30" s="153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27" t="s">
        <v>169</v>
      </c>
      <c r="J30" s="229"/>
      <c r="K30" s="134" t="str">
        <f>B4&amp;"_Triceps"</f>
        <v>T2A_08_Triceps</v>
      </c>
    </row>
    <row r="31" spans="1:13" x14ac:dyDescent="0.3">
      <c r="A31" s="38" t="s">
        <v>56</v>
      </c>
      <c r="B31" s="5"/>
      <c r="C31" s="152"/>
      <c r="D31" s="153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27" t="s">
        <v>169</v>
      </c>
      <c r="J31" s="229"/>
      <c r="K31" s="134" t="str">
        <f>B4&amp;"_Subscapular"</f>
        <v>T2A_08_Subscapular</v>
      </c>
    </row>
    <row r="32" spans="1:13" ht="15" thickBot="1" x14ac:dyDescent="0.35">
      <c r="A32" s="42" t="s">
        <v>57</v>
      </c>
      <c r="B32" s="30"/>
      <c r="C32" s="154"/>
      <c r="D32" s="155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27" t="s">
        <v>169</v>
      </c>
      <c r="J32" s="229"/>
      <c r="K32" s="134" t="str">
        <f>B4&amp;"_Iliac"</f>
        <v>T2A_08_Iliac</v>
      </c>
    </row>
    <row r="33" spans="1:11" ht="15.6" thickTop="1" thickBot="1" x14ac:dyDescent="0.35">
      <c r="A33" s="130"/>
      <c r="B33" s="61"/>
      <c r="C33" s="61"/>
      <c r="D33" s="2"/>
      <c r="E33" s="2"/>
      <c r="F33" s="2"/>
      <c r="G33" s="124" t="s">
        <v>148</v>
      </c>
      <c r="H33" s="125">
        <f>SUM(H18:H21)</f>
        <v>35.549999999999997</v>
      </c>
    </row>
    <row r="34" spans="1:11" ht="15.6" thickTop="1" thickBot="1" x14ac:dyDescent="0.35">
      <c r="A34" s="214" t="s">
        <v>159</v>
      </c>
      <c r="B34" s="216"/>
      <c r="C34" s="216"/>
      <c r="D34" s="215"/>
      <c r="E34" s="96"/>
      <c r="F34" s="2"/>
      <c r="G34" s="61"/>
      <c r="H34" s="2"/>
    </row>
    <row r="35" spans="1:11" ht="15.6" thickTop="1" thickBot="1" x14ac:dyDescent="0.35">
      <c r="A35" s="224" t="s">
        <v>161</v>
      </c>
      <c r="B35" s="225"/>
      <c r="C35" s="225"/>
      <c r="D35" s="226"/>
      <c r="E35" s="2"/>
      <c r="F35" s="2"/>
      <c r="G35" s="2"/>
      <c r="H35" s="2"/>
    </row>
    <row r="36" spans="1:11" ht="15.6" thickTop="1" thickBot="1" x14ac:dyDescent="0.35">
      <c r="A36" s="131" t="s">
        <v>160</v>
      </c>
      <c r="B36" s="66" t="s">
        <v>147</v>
      </c>
      <c r="C36" s="131" t="s">
        <v>150</v>
      </c>
      <c r="D36" s="132"/>
      <c r="E36" s="227" t="s">
        <v>171</v>
      </c>
      <c r="F36" s="228"/>
      <c r="G36" s="136">
        <f>'Algemene informatie'!B7</f>
        <v>42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19.826234249688014</v>
      </c>
      <c r="C37" s="26">
        <f>(495/(1.1369-(0.0598*LOG(H33))))-450</f>
        <v>24.065371961321091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15.095693420507473</v>
      </c>
      <c r="C38" s="26">
        <f>(495/(1.1549-(0.0678*LOG(H33))))-450</f>
        <v>21.539461892379109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14.7507943463429</v>
      </c>
      <c r="C39" s="26">
        <f>(495/(1.1599-(0.0717*LOG(H33))))-450</f>
        <v>22.010807856009535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17.93716943654789</v>
      </c>
      <c r="C40" s="26">
        <f>(495/(1.1423-(0.0632*LOG(H33))))-450</f>
        <v>24.007652955094841</v>
      </c>
      <c r="D40" s="26" t="s">
        <v>13</v>
      </c>
      <c r="E40" s="2"/>
      <c r="F40" s="2"/>
      <c r="G40" s="2"/>
      <c r="H40" s="2"/>
      <c r="J40" s="129"/>
      <c r="K40" s="129"/>
    </row>
    <row r="41" spans="1:11" x14ac:dyDescent="0.3">
      <c r="A41" s="24" t="s">
        <v>157</v>
      </c>
      <c r="B41" s="26">
        <f>(495/(1.162-(0.07*LOG(H33))))-450</f>
        <v>19.888577558713905</v>
      </c>
      <c r="C41" s="26">
        <f>(495/(1.1333-(0.0612*LOG(H33))))-450</f>
        <v>26.700141249404226</v>
      </c>
      <c r="D41" s="26" t="s">
        <v>13</v>
      </c>
      <c r="E41" s="2"/>
      <c r="F41" s="2"/>
      <c r="G41" s="2"/>
      <c r="H41" s="2"/>
      <c r="J41" s="129"/>
      <c r="K41" s="129"/>
    </row>
    <row r="42" spans="1:11" ht="15" thickBot="1" x14ac:dyDescent="0.35">
      <c r="A42" s="25" t="s">
        <v>158</v>
      </c>
      <c r="B42" s="28">
        <f>(495/(1.1715-(0.0779*LOG(H33))))-450</f>
        <v>21.119160659943702</v>
      </c>
      <c r="C42" s="28">
        <f>(495/(1.1339-(0.0645*LOG(H33))))-450</f>
        <v>28.783207948389929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4" t="s">
        <v>86</v>
      </c>
      <c r="B44" s="215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6" t="str">
        <f>B4&amp;"_PRE_Biceps"</f>
        <v>T2A_08_PRE_Biceps</v>
      </c>
      <c r="D45" s="2"/>
      <c r="E45" s="2"/>
      <c r="F45" s="2"/>
      <c r="G45" s="2"/>
      <c r="H45" s="2"/>
    </row>
    <row r="46" spans="1:11" x14ac:dyDescent="0.3">
      <c r="A46" s="24"/>
      <c r="B46" s="137" t="str">
        <f>B4&amp;"_PRE_Triceps"</f>
        <v>T2A_08_PRE_Triceps</v>
      </c>
      <c r="D46" s="2"/>
      <c r="E46" s="2"/>
      <c r="F46" s="2"/>
      <c r="G46" s="2"/>
      <c r="H46" s="2"/>
    </row>
    <row r="47" spans="1:11" x14ac:dyDescent="0.3">
      <c r="A47" s="24"/>
      <c r="B47" s="137" t="str">
        <f>B4&amp;"_PRE_Subscapula"</f>
        <v>T2A_08_PRE_Subscapula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7" t="str">
        <f>B4&amp;"_PRE_Crista"</f>
        <v>T2A_08_PRE_Crista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4" t="s">
        <v>109</v>
      </c>
      <c r="B50" s="216"/>
      <c r="C50" s="215"/>
    </row>
    <row r="51" spans="1:3" ht="15" thickTop="1" x14ac:dyDescent="0.3">
      <c r="A51" s="205"/>
      <c r="B51" s="217"/>
      <c r="C51" s="206"/>
    </row>
    <row r="52" spans="1:3" x14ac:dyDescent="0.3">
      <c r="A52" s="207"/>
      <c r="B52" s="218"/>
      <c r="C52" s="208"/>
    </row>
    <row r="53" spans="1:3" x14ac:dyDescent="0.3">
      <c r="A53" s="207"/>
      <c r="B53" s="218"/>
      <c r="C53" s="208"/>
    </row>
    <row r="54" spans="1:3" x14ac:dyDescent="0.3">
      <c r="A54" s="207"/>
      <c r="B54" s="218"/>
      <c r="C54" s="208"/>
    </row>
    <row r="55" spans="1:3" ht="15" thickBot="1" x14ac:dyDescent="0.35">
      <c r="A55" s="209"/>
      <c r="B55" s="219"/>
      <c r="C55" s="210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sheetPr codeName="Sheet3"/>
  <dimension ref="A1:K69"/>
  <sheetViews>
    <sheetView topLeftCell="A42" zoomScaleNormal="100" workbookViewId="0">
      <selection activeCell="F57" sqref="F57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63" t="str">
        <f>'Algemene informatie'!B4</f>
        <v>T2A_08</v>
      </c>
      <c r="C4" s="62"/>
    </row>
    <row r="5" spans="1:3" ht="28.8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29393</v>
      </c>
      <c r="C6" s="26"/>
    </row>
    <row r="7" spans="1:3" x14ac:dyDescent="0.3">
      <c r="A7" s="57" t="s">
        <v>62</v>
      </c>
      <c r="B7" s="59">
        <f>'1A. Antropometrie'!H16</f>
        <v>198.6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84.91149999999999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f>'1A. Antropometrie'!B9</f>
        <v>44816</v>
      </c>
      <c r="C11" s="26"/>
    </row>
    <row r="12" spans="1:3" x14ac:dyDescent="0.3">
      <c r="A12" s="24" t="s">
        <v>207</v>
      </c>
      <c r="B12" s="65" t="s">
        <v>226</v>
      </c>
      <c r="C12" s="26"/>
    </row>
    <row r="13" spans="1:3" x14ac:dyDescent="0.3">
      <c r="A13" s="24" t="s">
        <v>60</v>
      </c>
      <c r="B13" s="69">
        <v>0.39583333333333331</v>
      </c>
      <c r="C13" s="26" t="s">
        <v>108</v>
      </c>
    </row>
    <row r="14" spans="1:3" x14ac:dyDescent="0.3">
      <c r="A14" s="68" t="s">
        <v>63</v>
      </c>
      <c r="B14" s="16">
        <v>18.399999999999999</v>
      </c>
      <c r="C14" s="26" t="s">
        <v>12</v>
      </c>
    </row>
    <row r="15" spans="1:3" x14ac:dyDescent="0.3">
      <c r="A15" s="68" t="s">
        <v>75</v>
      </c>
      <c r="B15" s="73">
        <v>68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224</v>
      </c>
      <c r="C17" s="26"/>
    </row>
    <row r="18" spans="1:7" x14ac:dyDescent="0.3">
      <c r="A18" s="74" t="s">
        <v>78</v>
      </c>
      <c r="B18" s="73" t="s">
        <v>225</v>
      </c>
      <c r="C18" s="26" t="s">
        <v>80</v>
      </c>
    </row>
    <row r="19" spans="1:7" ht="15" thickBot="1" x14ac:dyDescent="0.35">
      <c r="A19" s="75" t="s">
        <v>79</v>
      </c>
      <c r="B19" s="27" t="s">
        <v>225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4" t="s">
        <v>64</v>
      </c>
      <c r="B21" s="216"/>
      <c r="C21" s="216"/>
      <c r="D21" s="215"/>
    </row>
    <row r="22" spans="1:7" ht="15.6" thickTop="1" thickBot="1" x14ac:dyDescent="0.35">
      <c r="A22" s="235" t="s">
        <v>73</v>
      </c>
      <c r="B22" s="236"/>
      <c r="C22" s="235" t="s">
        <v>74</v>
      </c>
      <c r="D22" s="236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4" t="s">
        <v>164</v>
      </c>
      <c r="B32" s="216"/>
      <c r="C32" s="216"/>
      <c r="D32" s="216"/>
      <c r="E32" s="216"/>
      <c r="F32" s="216"/>
      <c r="G32" s="215"/>
    </row>
    <row r="33" spans="1:11" ht="15.6" thickTop="1" thickBot="1" x14ac:dyDescent="0.35">
      <c r="A33" s="115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6">
        <v>4.1666666666666664E-2</v>
      </c>
      <c r="B34" s="45">
        <v>100</v>
      </c>
      <c r="C34" s="45">
        <v>2009</v>
      </c>
      <c r="D34" s="45">
        <v>88</v>
      </c>
      <c r="E34" s="45">
        <v>0.83</v>
      </c>
      <c r="F34" s="79"/>
      <c r="G34" s="26">
        <v>501</v>
      </c>
    </row>
    <row r="35" spans="1:11" x14ac:dyDescent="0.3">
      <c r="A35" s="117">
        <v>8.3333333333333329E-2</v>
      </c>
      <c r="B35" s="4">
        <v>100</v>
      </c>
      <c r="C35" s="4">
        <v>2260</v>
      </c>
      <c r="D35" s="4">
        <v>84</v>
      </c>
      <c r="E35" s="4">
        <v>0.88</v>
      </c>
      <c r="F35" s="4">
        <v>1</v>
      </c>
      <c r="G35" s="77">
        <v>507</v>
      </c>
    </row>
    <row r="36" spans="1:11" x14ac:dyDescent="0.3">
      <c r="A36" s="117">
        <v>0.125</v>
      </c>
      <c r="B36" s="4">
        <v>100</v>
      </c>
      <c r="C36" s="4">
        <v>2112</v>
      </c>
      <c r="D36" s="4">
        <v>90</v>
      </c>
      <c r="E36" s="4">
        <v>0.93</v>
      </c>
      <c r="F36" s="4"/>
      <c r="G36" s="77">
        <v>515</v>
      </c>
    </row>
    <row r="37" spans="1:11" x14ac:dyDescent="0.3">
      <c r="A37" s="117">
        <v>0.16666666666666666</v>
      </c>
      <c r="B37" s="4">
        <f>B36+25</f>
        <v>125</v>
      </c>
      <c r="C37" s="4">
        <v>2271</v>
      </c>
      <c r="D37" s="4">
        <v>97</v>
      </c>
      <c r="E37" s="4">
        <v>0.93</v>
      </c>
      <c r="F37" s="4">
        <v>2</v>
      </c>
      <c r="G37" s="26">
        <v>523</v>
      </c>
    </row>
    <row r="38" spans="1:11" x14ac:dyDescent="0.3">
      <c r="A38" s="117">
        <v>0.20833333333333334</v>
      </c>
      <c r="B38" s="4">
        <f t="shared" ref="B38:B48" si="0">B37+25</f>
        <v>150</v>
      </c>
      <c r="C38" s="4">
        <v>2717</v>
      </c>
      <c r="D38" s="4">
        <v>98</v>
      </c>
      <c r="E38" s="4">
        <v>0.91</v>
      </c>
      <c r="F38" s="4">
        <v>2</v>
      </c>
      <c r="G38" s="80">
        <v>537</v>
      </c>
      <c r="H38" s="203"/>
    </row>
    <row r="39" spans="1:11" x14ac:dyDescent="0.3">
      <c r="A39" s="117">
        <v>0.25</v>
      </c>
      <c r="B39" s="4">
        <f t="shared" si="0"/>
        <v>175</v>
      </c>
      <c r="C39" s="4">
        <v>2638</v>
      </c>
      <c r="D39" s="4">
        <v>107</v>
      </c>
      <c r="E39" s="4">
        <v>0.9</v>
      </c>
      <c r="F39" s="4">
        <v>2</v>
      </c>
      <c r="G39" s="77">
        <v>545</v>
      </c>
    </row>
    <row r="40" spans="1:11" x14ac:dyDescent="0.3">
      <c r="A40" s="117">
        <v>0.29166666666666669</v>
      </c>
      <c r="B40" s="4">
        <f t="shared" si="0"/>
        <v>200</v>
      </c>
      <c r="C40" s="4">
        <v>3041</v>
      </c>
      <c r="D40" s="4">
        <v>116</v>
      </c>
      <c r="E40" s="4">
        <v>0.9</v>
      </c>
      <c r="F40" s="4">
        <v>2</v>
      </c>
      <c r="G40" s="26">
        <v>550</v>
      </c>
    </row>
    <row r="41" spans="1:11" x14ac:dyDescent="0.3">
      <c r="A41" s="117">
        <v>0.33333333333333331</v>
      </c>
      <c r="B41" s="4">
        <f t="shared" si="0"/>
        <v>225</v>
      </c>
      <c r="C41" s="4">
        <v>3179</v>
      </c>
      <c r="D41" s="4">
        <v>124</v>
      </c>
      <c r="E41" s="4">
        <v>0.95</v>
      </c>
      <c r="F41" s="4">
        <v>3</v>
      </c>
      <c r="G41" s="80">
        <v>559</v>
      </c>
    </row>
    <row r="42" spans="1:11" x14ac:dyDescent="0.3">
      <c r="A42" s="117">
        <v>0.375</v>
      </c>
      <c r="B42" s="4">
        <f t="shared" si="0"/>
        <v>250</v>
      </c>
      <c r="C42" s="4">
        <v>3423</v>
      </c>
      <c r="D42" s="4">
        <v>129</v>
      </c>
      <c r="E42" s="4">
        <v>0.97</v>
      </c>
      <c r="F42" s="4">
        <v>3</v>
      </c>
      <c r="G42" s="77">
        <v>567</v>
      </c>
    </row>
    <row r="43" spans="1:11" x14ac:dyDescent="0.3">
      <c r="A43" s="117">
        <v>0.41666666666666669</v>
      </c>
      <c r="B43" s="4">
        <f t="shared" si="0"/>
        <v>275</v>
      </c>
      <c r="C43" s="4">
        <v>3439</v>
      </c>
      <c r="D43" s="4">
        <v>138</v>
      </c>
      <c r="E43" s="4">
        <v>0.95</v>
      </c>
      <c r="F43" s="4">
        <v>3</v>
      </c>
      <c r="G43" s="26">
        <v>575</v>
      </c>
      <c r="K43" s="11"/>
    </row>
    <row r="44" spans="1:11" x14ac:dyDescent="0.3">
      <c r="A44" s="117">
        <v>0.45833333333333331</v>
      </c>
      <c r="B44" s="4">
        <f t="shared" si="0"/>
        <v>300</v>
      </c>
      <c r="C44" s="4">
        <v>3792</v>
      </c>
      <c r="D44" s="4">
        <v>145</v>
      </c>
      <c r="E44" s="4">
        <v>1</v>
      </c>
      <c r="F44" s="4">
        <v>4</v>
      </c>
      <c r="G44" s="80">
        <v>587</v>
      </c>
    </row>
    <row r="45" spans="1:11" x14ac:dyDescent="0.3">
      <c r="A45" s="117">
        <v>0.5</v>
      </c>
      <c r="B45" s="4">
        <f t="shared" si="0"/>
        <v>325</v>
      </c>
      <c r="C45" s="4">
        <v>3830</v>
      </c>
      <c r="D45" s="4">
        <v>151</v>
      </c>
      <c r="E45" s="4">
        <v>1</v>
      </c>
      <c r="F45" s="4">
        <v>4</v>
      </c>
      <c r="G45" s="80">
        <v>602</v>
      </c>
    </row>
    <row r="46" spans="1:11" x14ac:dyDescent="0.3">
      <c r="A46" s="117">
        <v>0.54166666666666663</v>
      </c>
      <c r="B46" s="4">
        <f t="shared" si="0"/>
        <v>350</v>
      </c>
      <c r="C46" s="4">
        <v>3421</v>
      </c>
      <c r="D46" s="4">
        <v>157</v>
      </c>
      <c r="E46" s="4">
        <v>1</v>
      </c>
      <c r="F46" s="4">
        <v>5</v>
      </c>
      <c r="G46" s="77">
        <v>631</v>
      </c>
    </row>
    <row r="47" spans="1:11" x14ac:dyDescent="0.3">
      <c r="A47" s="117">
        <v>0.58333333333333337</v>
      </c>
      <c r="B47" s="4">
        <f t="shared" si="0"/>
        <v>375</v>
      </c>
      <c r="C47" s="4">
        <v>4289</v>
      </c>
      <c r="D47" s="4">
        <v>162</v>
      </c>
      <c r="E47" s="4">
        <v>1.03</v>
      </c>
      <c r="F47" s="4">
        <v>6</v>
      </c>
      <c r="G47" s="77">
        <v>643</v>
      </c>
    </row>
    <row r="48" spans="1:11" x14ac:dyDescent="0.3">
      <c r="A48" s="116">
        <v>0.625</v>
      </c>
      <c r="B48" s="4">
        <f t="shared" si="0"/>
        <v>400</v>
      </c>
      <c r="C48" s="45">
        <v>4770</v>
      </c>
      <c r="D48" s="45">
        <v>168</v>
      </c>
      <c r="E48" s="45">
        <v>1.1000000000000001</v>
      </c>
      <c r="F48" s="45">
        <v>7</v>
      </c>
      <c r="G48" s="77">
        <v>658</v>
      </c>
    </row>
    <row r="49" spans="1:8" x14ac:dyDescent="0.3">
      <c r="A49" s="117">
        <v>0.66666666666666663</v>
      </c>
      <c r="B49" s="4">
        <f>B48+25</f>
        <v>425</v>
      </c>
      <c r="C49" s="4">
        <v>4931</v>
      </c>
      <c r="D49" s="4">
        <v>172</v>
      </c>
      <c r="E49" s="4">
        <v>1.1000000000000001</v>
      </c>
      <c r="F49" s="4">
        <v>8</v>
      </c>
      <c r="G49" s="77">
        <v>681</v>
      </c>
    </row>
    <row r="50" spans="1:8" x14ac:dyDescent="0.3">
      <c r="A50" s="117">
        <v>0.70833333333333337</v>
      </c>
      <c r="B50" s="4">
        <f t="shared" ref="B50:B53" si="1">B49+25</f>
        <v>450</v>
      </c>
      <c r="C50" s="148">
        <v>4956</v>
      </c>
      <c r="D50" s="4">
        <v>176</v>
      </c>
      <c r="E50" s="4">
        <v>1.1499999999999999</v>
      </c>
      <c r="F50" s="4">
        <v>9</v>
      </c>
      <c r="G50" s="120">
        <v>713</v>
      </c>
      <c r="H50" s="96"/>
    </row>
    <row r="51" spans="1:8" x14ac:dyDescent="0.3">
      <c r="A51" s="116">
        <v>0.75</v>
      </c>
      <c r="B51" s="4">
        <f t="shared" si="1"/>
        <v>475</v>
      </c>
      <c r="C51" s="149"/>
      <c r="D51" s="45"/>
      <c r="E51" s="45"/>
      <c r="F51" s="45"/>
      <c r="G51" s="120"/>
    </row>
    <row r="52" spans="1:8" x14ac:dyDescent="0.3">
      <c r="A52" s="116">
        <v>0.79166666666666663</v>
      </c>
      <c r="B52" s="4">
        <f t="shared" si="1"/>
        <v>500</v>
      </c>
      <c r="C52" s="149"/>
      <c r="D52" s="45"/>
      <c r="E52" s="45"/>
      <c r="F52" s="45"/>
      <c r="G52" s="120"/>
      <c r="H52" s="96"/>
    </row>
    <row r="53" spans="1:8" ht="15" thickBot="1" x14ac:dyDescent="0.35">
      <c r="A53" s="151">
        <v>0.83333333333333337</v>
      </c>
      <c r="B53" s="31">
        <f t="shared" si="1"/>
        <v>525</v>
      </c>
      <c r="C53" s="150"/>
      <c r="D53" s="76"/>
      <c r="E53" s="76"/>
      <c r="F53" s="76"/>
      <c r="G53" s="20"/>
      <c r="H53" s="96"/>
    </row>
    <row r="54" spans="1:8" ht="15.6" thickTop="1" thickBot="1" x14ac:dyDescent="0.35">
      <c r="A54" s="145"/>
      <c r="B54" s="2"/>
      <c r="C54" s="2"/>
      <c r="D54" s="61"/>
      <c r="E54" s="2"/>
      <c r="F54" s="61"/>
      <c r="G54" s="2"/>
    </row>
    <row r="55" spans="1:8" ht="15.6" thickTop="1" thickBot="1" x14ac:dyDescent="0.35">
      <c r="A55" s="214" t="s">
        <v>192</v>
      </c>
      <c r="B55" s="216"/>
      <c r="C55" s="215"/>
      <c r="D55" s="2"/>
      <c r="E55" s="2"/>
      <c r="F55" s="2"/>
      <c r="G55" s="2"/>
    </row>
    <row r="56" spans="1:8" ht="15.6" thickTop="1" thickBot="1" x14ac:dyDescent="0.35">
      <c r="A56" t="s">
        <v>214</v>
      </c>
      <c r="B56" s="204">
        <v>4961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4" t="s">
        <v>193</v>
      </c>
      <c r="B57" s="176">
        <f>B56/B8</f>
        <v>58.42553717694306</v>
      </c>
      <c r="C57" s="146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4" t="s">
        <v>86</v>
      </c>
      <c r="B59" s="216"/>
      <c r="C59" s="215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T2A_08_VO2max_PRE_STEP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T2A_08_VO2max_PRE_STEP10sec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4" t="s">
        <v>109</v>
      </c>
      <c r="B63" s="216"/>
      <c r="C63" s="215"/>
    </row>
    <row r="64" spans="1:8" ht="15" thickTop="1" x14ac:dyDescent="0.3">
      <c r="A64" s="205"/>
      <c r="B64" s="217"/>
      <c r="C64" s="206"/>
      <c r="D64" s="2"/>
    </row>
    <row r="65" spans="1:4" x14ac:dyDescent="0.3">
      <c r="A65" s="207"/>
      <c r="B65" s="218"/>
      <c r="C65" s="208"/>
      <c r="D65" s="2"/>
    </row>
    <row r="66" spans="1:4" x14ac:dyDescent="0.3">
      <c r="A66" s="207"/>
      <c r="B66" s="218"/>
      <c r="C66" s="208"/>
    </row>
    <row r="67" spans="1:4" x14ac:dyDescent="0.3">
      <c r="A67" s="207"/>
      <c r="B67" s="218"/>
      <c r="C67" s="208"/>
    </row>
    <row r="68" spans="1:4" ht="15" thickBot="1" x14ac:dyDescent="0.35">
      <c r="A68" s="209"/>
      <c r="B68" s="219"/>
      <c r="C68" s="210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sheetPr codeName="Sheet4"/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4" t="s">
        <v>32</v>
      </c>
      <c r="B3" s="215"/>
    </row>
    <row r="4" spans="1:3" ht="15" thickTop="1" x14ac:dyDescent="0.3">
      <c r="A4" s="23" t="s">
        <v>17</v>
      </c>
      <c r="B4" s="17" t="str">
        <f>'Algemene informatie'!B4</f>
        <v>T2A_08</v>
      </c>
    </row>
    <row r="5" spans="1:3" x14ac:dyDescent="0.3">
      <c r="A5" s="24" t="s">
        <v>35</v>
      </c>
      <c r="B5" s="18">
        <f>'Algemene informatie'!B5</f>
        <v>1</v>
      </c>
    </row>
    <row r="6" spans="1:3" ht="15" thickBot="1" x14ac:dyDescent="0.35">
      <c r="A6" s="25" t="s">
        <v>18</v>
      </c>
      <c r="B6" s="21">
        <f>'Algemene informatie'!B6</f>
        <v>29393</v>
      </c>
    </row>
    <row r="7" spans="1:3" ht="15.6" thickTop="1" thickBot="1" x14ac:dyDescent="0.35"/>
    <row r="8" spans="1:3" ht="15.6" thickTop="1" thickBot="1" x14ac:dyDescent="0.35">
      <c r="A8" s="214" t="s">
        <v>58</v>
      </c>
      <c r="B8" s="215"/>
    </row>
    <row r="9" spans="1:3" ht="15" thickTop="1" x14ac:dyDescent="0.3">
      <c r="A9" s="24" t="s">
        <v>59</v>
      </c>
      <c r="B9" s="19">
        <v>44818</v>
      </c>
    </row>
    <row r="10" spans="1:3" x14ac:dyDescent="0.3">
      <c r="A10" s="24" t="s">
        <v>207</v>
      </c>
      <c r="B10" s="19" t="s">
        <v>223</v>
      </c>
    </row>
    <row r="11" spans="1:3" x14ac:dyDescent="0.3">
      <c r="A11" s="24" t="s">
        <v>60</v>
      </c>
      <c r="B11" s="126">
        <v>0.38541666666666669</v>
      </c>
    </row>
    <row r="12" spans="1:3" x14ac:dyDescent="0.3">
      <c r="A12" s="24" t="s">
        <v>151</v>
      </c>
      <c r="B12" s="177"/>
      <c r="C12" t="s">
        <v>2</v>
      </c>
    </row>
    <row r="13" spans="1:3" ht="15" thickBot="1" x14ac:dyDescent="0.35">
      <c r="A13" s="67" t="s">
        <v>167</v>
      </c>
      <c r="B13" s="127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4" t="s">
        <v>86</v>
      </c>
      <c r="B15" s="215"/>
    </row>
    <row r="16" spans="1:3" ht="15" thickTop="1" x14ac:dyDescent="0.3">
      <c r="A16" s="24" t="s">
        <v>88</v>
      </c>
      <c r="B16" s="17" t="str">
        <f>B4&amp;"_PRE_3D_scan1.mhd"</f>
        <v>T2A_08_PRE_3D_scan1.mhd</v>
      </c>
    </row>
    <row r="17" spans="1:7" x14ac:dyDescent="0.3">
      <c r="A17" s="24" t="s">
        <v>89</v>
      </c>
      <c r="B17" s="17" t="str">
        <f>B4&amp;"_PRE_3D_scan2.mhd"</f>
        <v>T2A_08_PRE_3D_scan2.mhd</v>
      </c>
    </row>
    <row r="18" spans="1:7" ht="15" thickBot="1" x14ac:dyDescent="0.35">
      <c r="A18" s="67" t="s">
        <v>166</v>
      </c>
      <c r="B18" s="87" t="str">
        <f>B4&amp;"_PRE_3D_botpunten.mhd"</f>
        <v>T2A_08_PRE_3D_botpunten.mhd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4" t="s">
        <v>109</v>
      </c>
      <c r="B20" s="216"/>
      <c r="C20" s="215"/>
    </row>
    <row r="21" spans="1:7" ht="15" thickTop="1" x14ac:dyDescent="0.3">
      <c r="A21" s="205"/>
      <c r="B21" s="217"/>
      <c r="C21" s="206"/>
    </row>
    <row r="22" spans="1:7" x14ac:dyDescent="0.3">
      <c r="A22" s="207"/>
      <c r="B22" s="218"/>
      <c r="C22" s="208"/>
    </row>
    <row r="23" spans="1:7" x14ac:dyDescent="0.3">
      <c r="A23" s="207"/>
      <c r="B23" s="218"/>
      <c r="C23" s="208"/>
    </row>
    <row r="24" spans="1:7" x14ac:dyDescent="0.3">
      <c r="A24" s="207"/>
      <c r="B24" s="218"/>
      <c r="C24" s="208"/>
    </row>
    <row r="25" spans="1:7" ht="15" thickBot="1" x14ac:dyDescent="0.35">
      <c r="A25" s="209"/>
      <c r="B25" s="219"/>
      <c r="C25" s="210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sheetPr codeName="Sheet5"/>
  <dimension ref="A1:L47"/>
  <sheetViews>
    <sheetView topLeftCell="A21" workbookViewId="0">
      <selection activeCell="H31" sqref="H31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4" t="s">
        <v>32</v>
      </c>
      <c r="B3" s="216"/>
      <c r="C3" s="215"/>
    </row>
    <row r="4" spans="1:12" ht="15" thickTop="1" x14ac:dyDescent="0.3">
      <c r="A4" s="23" t="s">
        <v>17</v>
      </c>
      <c r="B4" s="83" t="str">
        <f>'Algemene informatie'!B4</f>
        <v>T2A_08</v>
      </c>
      <c r="C4" s="62"/>
    </row>
    <row r="5" spans="1:12" x14ac:dyDescent="0.3">
      <c r="A5" s="24" t="s">
        <v>35</v>
      </c>
      <c r="B5" s="92">
        <f>'Algemene informatie'!B5</f>
        <v>1</v>
      </c>
      <c r="C5" s="26"/>
    </row>
    <row r="6" spans="1:12" x14ac:dyDescent="0.3">
      <c r="A6" s="24" t="s">
        <v>18</v>
      </c>
      <c r="B6" s="65">
        <f>'Algemene informatie'!B6</f>
        <v>29393</v>
      </c>
      <c r="C6" s="26"/>
    </row>
    <row r="7" spans="1:12" x14ac:dyDescent="0.3">
      <c r="A7" s="68" t="s">
        <v>61</v>
      </c>
      <c r="B7" s="89">
        <f>'1A. Antropometrie'!H15</f>
        <v>84.91149999999999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198.6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4" t="s">
        <v>58</v>
      </c>
      <c r="B10" s="216"/>
      <c r="C10" s="215"/>
    </row>
    <row r="11" spans="1:12" ht="15" thickTop="1" x14ac:dyDescent="0.3">
      <c r="A11" s="24" t="s">
        <v>59</v>
      </c>
      <c r="B11" s="70">
        <f>'2A. 3D US'!B9</f>
        <v>44818</v>
      </c>
      <c r="C11" s="26"/>
    </row>
    <row r="12" spans="1:12" x14ac:dyDescent="0.3">
      <c r="A12" s="24" t="s">
        <v>207</v>
      </c>
      <c r="B12" s="65" t="s">
        <v>226</v>
      </c>
      <c r="C12" s="26"/>
    </row>
    <row r="13" spans="1:12" x14ac:dyDescent="0.3">
      <c r="A13" s="24" t="s">
        <v>60</v>
      </c>
      <c r="B13" s="69">
        <v>0.41666666666666669</v>
      </c>
      <c r="C13" s="26"/>
    </row>
    <row r="14" spans="1:12" x14ac:dyDescent="0.3">
      <c r="A14" s="24" t="s">
        <v>63</v>
      </c>
      <c r="B14" s="89">
        <v>18</v>
      </c>
      <c r="C14" s="26" t="s">
        <v>12</v>
      </c>
    </row>
    <row r="15" spans="1:12" x14ac:dyDescent="0.3">
      <c r="A15" s="24" t="s">
        <v>75</v>
      </c>
      <c r="B15" s="89">
        <v>65</v>
      </c>
      <c r="C15" s="26" t="s">
        <v>13</v>
      </c>
    </row>
    <row r="16" spans="1:12" x14ac:dyDescent="0.3">
      <c r="A16" s="68" t="s">
        <v>77</v>
      </c>
      <c r="B16" s="128" t="str">
        <f>'1B. VO2max'!B17</f>
        <v>spd/sl</v>
      </c>
      <c r="C16" s="26"/>
    </row>
    <row r="17" spans="1:7" x14ac:dyDescent="0.3">
      <c r="A17" s="68" t="s">
        <v>91</v>
      </c>
      <c r="B17" s="128">
        <v>13</v>
      </c>
      <c r="C17" s="26"/>
    </row>
    <row r="18" spans="1:7" x14ac:dyDescent="0.3">
      <c r="A18" s="68" t="s">
        <v>92</v>
      </c>
      <c r="B18" s="128" t="s">
        <v>227</v>
      </c>
      <c r="C18" s="26"/>
    </row>
    <row r="19" spans="1:7" x14ac:dyDescent="0.3">
      <c r="A19" s="68" t="s">
        <v>93</v>
      </c>
      <c r="B19" s="128" t="s">
        <v>228</v>
      </c>
      <c r="C19" s="26"/>
    </row>
    <row r="20" spans="1:7" ht="15" thickBot="1" x14ac:dyDescent="0.35">
      <c r="A20" s="67" t="s">
        <v>94</v>
      </c>
      <c r="B20" s="91">
        <f>0.075*B7</f>
        <v>6.368362499999999</v>
      </c>
      <c r="C20" s="28" t="s">
        <v>1</v>
      </c>
      <c r="D20" s="237" t="s">
        <v>103</v>
      </c>
      <c r="E20" s="238"/>
      <c r="F20" s="238"/>
      <c r="G20" s="238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4" t="s">
        <v>82</v>
      </c>
      <c r="B22" s="216"/>
      <c r="C22" s="215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3"/>
      <c r="C31" s="2"/>
    </row>
    <row r="32" spans="1:7" ht="15.6" thickTop="1" thickBot="1" x14ac:dyDescent="0.35">
      <c r="A32" s="214" t="s">
        <v>192</v>
      </c>
      <c r="B32" s="216"/>
      <c r="C32" s="215"/>
    </row>
    <row r="33" spans="1:4" ht="15.6" thickTop="1" thickBot="1" x14ac:dyDescent="0.35">
      <c r="A33" s="144" t="s">
        <v>213</v>
      </c>
      <c r="B33" s="176">
        <v>819.98</v>
      </c>
      <c r="C33" s="146" t="s">
        <v>187</v>
      </c>
      <c r="D33" s="96"/>
    </row>
    <row r="34" spans="1:4" ht="15.6" thickTop="1" thickBot="1" x14ac:dyDescent="0.35">
      <c r="A34" s="175" t="s">
        <v>212</v>
      </c>
      <c r="B34" s="176">
        <f>B33/B7</f>
        <v>9.6568780436101136</v>
      </c>
      <c r="C34" s="13" t="s">
        <v>187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4" t="s">
        <v>86</v>
      </c>
      <c r="B36" s="216"/>
      <c r="C36" s="215"/>
    </row>
    <row r="37" spans="1:4" ht="15.6" thickTop="1" thickBot="1" x14ac:dyDescent="0.35">
      <c r="A37" s="25" t="s">
        <v>104</v>
      </c>
      <c r="B37" s="239" t="str">
        <f>B4&amp;"_PRE_Wingate"</f>
        <v>T2A_08_PRE_Wingate</v>
      </c>
      <c r="C37" s="240"/>
      <c r="D37" s="96"/>
    </row>
    <row r="38" spans="1:4" ht="15" thickBot="1" x14ac:dyDescent="0.35">
      <c r="C38" s="2"/>
    </row>
    <row r="39" spans="1:4" ht="15.6" thickTop="1" thickBot="1" x14ac:dyDescent="0.35">
      <c r="A39" s="214" t="s">
        <v>109</v>
      </c>
      <c r="B39" s="216"/>
      <c r="C39" s="215"/>
    </row>
    <row r="40" spans="1:4" ht="15" thickTop="1" x14ac:dyDescent="0.3">
      <c r="A40" s="205" t="s">
        <v>229</v>
      </c>
      <c r="B40" s="217"/>
      <c r="C40" s="206"/>
    </row>
    <row r="41" spans="1:4" x14ac:dyDescent="0.3">
      <c r="A41" s="207"/>
      <c r="B41" s="218"/>
      <c r="C41" s="208"/>
    </row>
    <row r="42" spans="1:4" x14ac:dyDescent="0.3">
      <c r="A42" s="207"/>
      <c r="B42" s="218"/>
      <c r="C42" s="208"/>
    </row>
    <row r="43" spans="1:4" x14ac:dyDescent="0.3">
      <c r="A43" s="207"/>
      <c r="B43" s="218"/>
      <c r="C43" s="208"/>
    </row>
    <row r="44" spans="1:4" ht="15" thickBot="1" x14ac:dyDescent="0.35">
      <c r="A44" s="209"/>
      <c r="B44" s="219"/>
      <c r="C44" s="210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sheetPr codeName="Sheet6"/>
  <dimension ref="A1:L37"/>
  <sheetViews>
    <sheetView workbookViewId="0">
      <selection activeCell="F46" sqref="F46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83" t="str">
        <f>'Algemene informatie'!B4</f>
        <v>T2A_08</v>
      </c>
      <c r="C4" s="62"/>
    </row>
    <row r="5" spans="1:3" x14ac:dyDescent="0.3">
      <c r="A5" s="24" t="s">
        <v>35</v>
      </c>
      <c r="B5" s="92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29393</v>
      </c>
      <c r="C6" s="26"/>
    </row>
    <row r="7" spans="1:3" x14ac:dyDescent="0.3">
      <c r="A7" s="68" t="s">
        <v>61</v>
      </c>
      <c r="B7" s="89">
        <f>'1A. Antropometrie'!H15</f>
        <v>84.91149999999999</v>
      </c>
      <c r="C7" s="26" t="s">
        <v>1</v>
      </c>
    </row>
    <row r="8" spans="1:3" ht="15" thickBot="1" x14ac:dyDescent="0.35">
      <c r="A8" s="67" t="s">
        <v>62</v>
      </c>
      <c r="B8" s="90">
        <f>'1A. Antropometrie'!H16</f>
        <v>198.6</v>
      </c>
      <c r="C8" s="28" t="s">
        <v>2</v>
      </c>
    </row>
    <row r="9" spans="1:3" ht="15.6" thickTop="1" thickBot="1" x14ac:dyDescent="0.35">
      <c r="C9" s="20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v>44820</v>
      </c>
      <c r="C11" s="26"/>
    </row>
    <row r="12" spans="1:3" x14ac:dyDescent="0.3">
      <c r="A12" s="24" t="s">
        <v>207</v>
      </c>
      <c r="B12" s="183" t="s">
        <v>226</v>
      </c>
      <c r="C12" s="26"/>
    </row>
    <row r="13" spans="1:3" ht="15" thickBot="1" x14ac:dyDescent="0.35">
      <c r="A13" s="24" t="s">
        <v>60</v>
      </c>
      <c r="B13" s="93">
        <v>0.40625</v>
      </c>
      <c r="C13" s="28" t="s">
        <v>108</v>
      </c>
    </row>
    <row r="14" spans="1:3" ht="15.6" thickTop="1" thickBot="1" x14ac:dyDescent="0.35">
      <c r="A14" s="61"/>
      <c r="B14" s="88"/>
      <c r="C14" s="2"/>
    </row>
    <row r="15" spans="1:3" ht="15.6" thickTop="1" thickBot="1" x14ac:dyDescent="0.35">
      <c r="A15" s="214" t="s">
        <v>111</v>
      </c>
      <c r="B15" s="216"/>
      <c r="C15" s="215"/>
    </row>
    <row r="16" spans="1:3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4" t="s">
        <v>86</v>
      </c>
      <c r="B24" s="215"/>
      <c r="C24" s="96"/>
    </row>
    <row r="25" spans="1:12" ht="15" thickTop="1" x14ac:dyDescent="0.3">
      <c r="A25" s="23" t="s">
        <v>172</v>
      </c>
      <c r="B25" s="14" t="s">
        <v>231</v>
      </c>
      <c r="C25" s="96" t="s">
        <v>174</v>
      </c>
      <c r="D25" s="241" t="s">
        <v>120</v>
      </c>
      <c r="E25" s="241"/>
      <c r="F25" s="241"/>
      <c r="G25" s="241"/>
      <c r="H25" s="241"/>
      <c r="I25" s="241"/>
      <c r="J25" s="241"/>
      <c r="K25" s="241"/>
      <c r="L25" s="241"/>
    </row>
    <row r="26" spans="1:12" x14ac:dyDescent="0.3">
      <c r="A26" s="24" t="s">
        <v>172</v>
      </c>
      <c r="B26" s="137" t="str">
        <f>B4&amp;"_PRE_Leftfoot.DAT"</f>
        <v>T2A_08_PRE_Leftfoot.DAT</v>
      </c>
      <c r="C26" s="96"/>
      <c r="D26" s="241" t="s">
        <v>120</v>
      </c>
      <c r="E26" s="241"/>
      <c r="F26" s="241"/>
      <c r="G26" s="241"/>
      <c r="H26" s="241"/>
      <c r="I26" s="241"/>
      <c r="J26" s="241"/>
      <c r="K26" s="241"/>
      <c r="L26" s="241"/>
    </row>
    <row r="27" spans="1:12" x14ac:dyDescent="0.3">
      <c r="A27" s="24" t="s">
        <v>173</v>
      </c>
      <c r="B27" s="137" t="s">
        <v>230</v>
      </c>
      <c r="C27" s="2" t="s">
        <v>174</v>
      </c>
      <c r="D27" s="2"/>
    </row>
    <row r="28" spans="1:12" x14ac:dyDescent="0.3">
      <c r="A28" s="24" t="s">
        <v>173</v>
      </c>
      <c r="B28" s="137" t="str">
        <f>B4&amp;"_PRE_Rightfoot.DAT"</f>
        <v>T2A_08_PRE_Rightfoot.DAT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T2A_08_PRE_Sprong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4" t="s">
        <v>109</v>
      </c>
      <c r="B31" s="216"/>
      <c r="C31" s="215"/>
    </row>
    <row r="32" spans="1:12" ht="15" thickTop="1" x14ac:dyDescent="0.3">
      <c r="A32" s="205"/>
      <c r="B32" s="217"/>
      <c r="C32" s="206"/>
    </row>
    <row r="33" spans="1:3" x14ac:dyDescent="0.3">
      <c r="A33" s="207"/>
      <c r="B33" s="218"/>
      <c r="C33" s="208"/>
    </row>
    <row r="34" spans="1:3" x14ac:dyDescent="0.3">
      <c r="A34" s="207"/>
      <c r="B34" s="218"/>
      <c r="C34" s="208"/>
    </row>
    <row r="35" spans="1:3" x14ac:dyDescent="0.3">
      <c r="A35" s="207"/>
      <c r="B35" s="218"/>
      <c r="C35" s="208"/>
    </row>
    <row r="36" spans="1:3" ht="15" thickBot="1" x14ac:dyDescent="0.35">
      <c r="A36" s="209"/>
      <c r="B36" s="219"/>
      <c r="C36" s="210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sheetPr codeName="Sheet7"/>
  <dimension ref="A1:L88"/>
  <sheetViews>
    <sheetView tabSelected="1" topLeftCell="A51" workbookViewId="0">
      <selection activeCell="I69" sqref="I69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63" t="str">
        <f>'Algemene informatie'!B4</f>
        <v>T2A_08</v>
      </c>
      <c r="C4" s="62"/>
    </row>
    <row r="5" spans="1:3" ht="57.6" customHeight="1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29393</v>
      </c>
      <c r="C6" s="26"/>
    </row>
    <row r="7" spans="1:3" x14ac:dyDescent="0.3">
      <c r="A7" s="57" t="s">
        <v>62</v>
      </c>
      <c r="B7" s="59">
        <f>'1A. Antropometrie'!H16</f>
        <v>198.6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84.91149999999999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f>'3A. Jump test'!B11</f>
        <v>44820</v>
      </c>
      <c r="C11" s="26"/>
    </row>
    <row r="12" spans="1:3" x14ac:dyDescent="0.3">
      <c r="A12" s="24" t="s">
        <v>207</v>
      </c>
      <c r="B12" s="65" t="s">
        <v>223</v>
      </c>
      <c r="C12" s="26"/>
    </row>
    <row r="13" spans="1:3" x14ac:dyDescent="0.3">
      <c r="A13" s="24" t="s">
        <v>60</v>
      </c>
      <c r="B13" s="69">
        <v>0.42708333333333331</v>
      </c>
      <c r="C13" s="26" t="s">
        <v>108</v>
      </c>
    </row>
    <row r="14" spans="1:3" x14ac:dyDescent="0.3">
      <c r="A14" s="68" t="s">
        <v>63</v>
      </c>
      <c r="B14" s="16">
        <v>17.899999999999999</v>
      </c>
      <c r="C14" s="26" t="s">
        <v>12</v>
      </c>
    </row>
    <row r="15" spans="1:3" x14ac:dyDescent="0.3">
      <c r="A15" s="68" t="s">
        <v>75</v>
      </c>
      <c r="B15" s="73">
        <v>56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spd/sl</v>
      </c>
      <c r="C17" s="26"/>
    </row>
    <row r="18" spans="1:4" x14ac:dyDescent="0.3">
      <c r="A18" s="74" t="s">
        <v>78</v>
      </c>
      <c r="B18" s="73" t="str">
        <f>'1B. VO2max'!B18</f>
        <v>L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>L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4" t="s">
        <v>64</v>
      </c>
      <c r="B21" s="216"/>
      <c r="C21" s="216"/>
      <c r="D21" s="215"/>
    </row>
    <row r="22" spans="1:4" ht="15.6" thickTop="1" thickBot="1" x14ac:dyDescent="0.35">
      <c r="A22" s="235" t="s">
        <v>73</v>
      </c>
      <c r="B22" s="236"/>
      <c r="C22" s="235" t="s">
        <v>74</v>
      </c>
      <c r="D22" s="236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4" t="s">
        <v>122</v>
      </c>
      <c r="B31" s="216"/>
      <c r="C31" s="215"/>
    </row>
    <row r="32" spans="1:4" ht="15" thickTop="1" x14ac:dyDescent="0.3">
      <c r="A32" s="24" t="s">
        <v>125</v>
      </c>
      <c r="B32" s="109">
        <v>45.5</v>
      </c>
      <c r="C32" s="26" t="s">
        <v>2</v>
      </c>
    </row>
    <row r="33" spans="1:7" x14ac:dyDescent="0.3">
      <c r="A33" s="24" t="s">
        <v>124</v>
      </c>
      <c r="B33" s="59">
        <f>B32*(2/3)</f>
        <v>30.333333333333332</v>
      </c>
      <c r="C33" s="26" t="s">
        <v>2</v>
      </c>
    </row>
    <row r="34" spans="1:7" x14ac:dyDescent="0.3">
      <c r="A34" s="24" t="s">
        <v>135</v>
      </c>
      <c r="B34" s="89">
        <v>5.5</v>
      </c>
      <c r="C34" s="26" t="s">
        <v>3</v>
      </c>
    </row>
    <row r="35" spans="1:7" x14ac:dyDescent="0.3">
      <c r="A35" s="24" t="s">
        <v>136</v>
      </c>
      <c r="B35" s="89">
        <v>5.7</v>
      </c>
      <c r="C35" s="26" t="s">
        <v>3</v>
      </c>
    </row>
    <row r="36" spans="1:7" x14ac:dyDescent="0.3">
      <c r="A36" s="24" t="s">
        <v>195</v>
      </c>
      <c r="B36" s="89"/>
      <c r="C36" s="26" t="s">
        <v>3</v>
      </c>
    </row>
    <row r="37" spans="1:7" x14ac:dyDescent="0.3">
      <c r="A37" s="68" t="s">
        <v>123</v>
      </c>
      <c r="B37" s="113">
        <v>2</v>
      </c>
      <c r="C37" s="26"/>
    </row>
    <row r="38" spans="1:7" ht="15" thickBot="1" x14ac:dyDescent="0.35">
      <c r="A38" s="58" t="s">
        <v>126</v>
      </c>
      <c r="B38" s="114" t="s">
        <v>225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4" t="s">
        <v>127</v>
      </c>
      <c r="B40" s="216"/>
      <c r="C40" s="215"/>
    </row>
    <row r="41" spans="1:7" ht="15" thickTop="1" x14ac:dyDescent="0.3">
      <c r="A41" s="24" t="s">
        <v>128</v>
      </c>
      <c r="B41" s="109">
        <f>(F41*0.9)/(90^2)</f>
        <v>0.05</v>
      </c>
      <c r="C41" s="26" t="s">
        <v>134</v>
      </c>
      <c r="D41" s="227" t="s">
        <v>177</v>
      </c>
      <c r="E41" s="229"/>
      <c r="F41" s="134">
        <v>450</v>
      </c>
      <c r="G41" s="134" t="s">
        <v>130</v>
      </c>
    </row>
    <row r="42" spans="1:7" ht="15" thickBot="1" x14ac:dyDescent="0.35">
      <c r="A42" s="24" t="s">
        <v>129</v>
      </c>
      <c r="B42" s="59">
        <f>0.9*F42</f>
        <v>225</v>
      </c>
      <c r="C42" s="26" t="s">
        <v>130</v>
      </c>
      <c r="D42" s="232" t="s">
        <v>178</v>
      </c>
      <c r="E42" s="234"/>
      <c r="F42" s="134">
        <v>250</v>
      </c>
      <c r="G42" s="134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4" t="s">
        <v>204</v>
      </c>
      <c r="B44" s="215"/>
      <c r="C44" s="2"/>
    </row>
    <row r="45" spans="1:7" ht="15" thickTop="1" x14ac:dyDescent="0.3">
      <c r="A45" s="62" t="s">
        <v>205</v>
      </c>
      <c r="B45" s="62">
        <v>31</v>
      </c>
      <c r="C45" s="2"/>
    </row>
    <row r="46" spans="1:7" ht="15" thickBot="1" x14ac:dyDescent="0.35">
      <c r="A46" s="28" t="s">
        <v>206</v>
      </c>
      <c r="B46" s="28">
        <v>61.9</v>
      </c>
      <c r="C46" s="2"/>
    </row>
    <row r="47" spans="1:7" ht="15.6" thickTop="1" thickBot="1" x14ac:dyDescent="0.35">
      <c r="A47" s="66"/>
      <c r="B47" s="66" t="s">
        <v>232</v>
      </c>
      <c r="C47" s="20"/>
    </row>
    <row r="48" spans="1:7" ht="15.6" thickTop="1" thickBot="1" x14ac:dyDescent="0.35">
      <c r="A48" s="214" t="s">
        <v>82</v>
      </c>
      <c r="B48" s="216"/>
      <c r="C48" s="216"/>
      <c r="D48" s="216"/>
      <c r="E48" s="216"/>
      <c r="F48" s="216"/>
      <c r="G48" s="215"/>
    </row>
    <row r="49" spans="1:12" ht="15.6" thickTop="1" thickBot="1" x14ac:dyDescent="0.35">
      <c r="A49" s="115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2" ht="15" thickTop="1" x14ac:dyDescent="0.3">
      <c r="A50" s="159" t="s">
        <v>198</v>
      </c>
      <c r="B50" s="252" t="s">
        <v>180</v>
      </c>
      <c r="C50" s="253"/>
      <c r="D50" s="253"/>
      <c r="E50" s="253"/>
      <c r="F50" s="253"/>
      <c r="G50" s="254"/>
      <c r="H50" s="147" t="s">
        <v>199</v>
      </c>
      <c r="I50" s="147"/>
      <c r="J50" s="160"/>
      <c r="K50" s="160"/>
      <c r="L50" s="147"/>
    </row>
    <row r="51" spans="1:12" x14ac:dyDescent="0.3">
      <c r="A51" s="116">
        <v>0.16666666666666666</v>
      </c>
      <c r="B51" s="45" t="s">
        <v>137</v>
      </c>
      <c r="C51" s="45">
        <v>2894</v>
      </c>
      <c r="D51" s="45">
        <v>119</v>
      </c>
      <c r="E51" s="45">
        <v>0.77</v>
      </c>
      <c r="F51" s="45"/>
      <c r="G51" s="26">
        <v>450</v>
      </c>
      <c r="H51" s="85"/>
      <c r="I51" s="85"/>
    </row>
    <row r="52" spans="1:12" x14ac:dyDescent="0.3">
      <c r="A52" s="117">
        <v>0.25</v>
      </c>
      <c r="B52" s="4" t="s">
        <v>137</v>
      </c>
      <c r="C52" s="4">
        <v>2779</v>
      </c>
      <c r="D52" s="4">
        <v>120</v>
      </c>
      <c r="E52" s="4">
        <v>0.79</v>
      </c>
      <c r="F52" s="4"/>
      <c r="G52" s="77">
        <v>462</v>
      </c>
    </row>
    <row r="53" spans="1:12" x14ac:dyDescent="0.3">
      <c r="A53" s="117">
        <v>0.33333333333333331</v>
      </c>
      <c r="B53" s="4" t="s">
        <v>137</v>
      </c>
      <c r="C53" s="4">
        <v>3243</v>
      </c>
      <c r="D53" s="4">
        <v>122</v>
      </c>
      <c r="E53" s="4">
        <v>0.8</v>
      </c>
      <c r="F53" s="4"/>
      <c r="G53" s="77">
        <v>468</v>
      </c>
    </row>
    <row r="54" spans="1:12" x14ac:dyDescent="0.3">
      <c r="A54" s="117" t="s">
        <v>179</v>
      </c>
      <c r="B54" s="249" t="s">
        <v>196</v>
      </c>
      <c r="C54" s="250"/>
      <c r="D54" s="250"/>
      <c r="E54" s="250"/>
      <c r="F54" s="250"/>
      <c r="G54" s="251"/>
      <c r="H54" s="160" t="s">
        <v>199</v>
      </c>
      <c r="I54" s="160"/>
      <c r="J54" s="147"/>
      <c r="K54" s="147"/>
      <c r="L54" s="147"/>
    </row>
    <row r="55" spans="1:12" x14ac:dyDescent="0.3">
      <c r="A55" s="117">
        <v>0.66666666666666663</v>
      </c>
      <c r="B55" s="4" t="s">
        <v>137</v>
      </c>
      <c r="C55" s="4">
        <v>3083</v>
      </c>
      <c r="D55" s="4">
        <v>123</v>
      </c>
      <c r="E55" s="4">
        <v>0.83</v>
      </c>
      <c r="F55" s="4"/>
      <c r="G55" s="80">
        <v>472</v>
      </c>
    </row>
    <row r="56" spans="1:12" x14ac:dyDescent="0.3">
      <c r="A56" s="117">
        <v>0.75</v>
      </c>
      <c r="B56" s="4" t="s">
        <v>137</v>
      </c>
      <c r="C56" s="4">
        <v>2845</v>
      </c>
      <c r="D56" s="4">
        <v>118</v>
      </c>
      <c r="E56" s="4">
        <v>0.89</v>
      </c>
      <c r="F56" s="4"/>
      <c r="G56" s="77">
        <v>476</v>
      </c>
    </row>
    <row r="57" spans="1:12" x14ac:dyDescent="0.3">
      <c r="A57" s="138">
        <v>0.83333333333333337</v>
      </c>
      <c r="B57" s="4" t="s">
        <v>137</v>
      </c>
      <c r="C57" s="4">
        <v>2872</v>
      </c>
      <c r="D57" s="4">
        <v>120</v>
      </c>
      <c r="E57" s="4">
        <v>0.91</v>
      </c>
      <c r="F57" s="4"/>
      <c r="G57" s="26">
        <v>495</v>
      </c>
      <c r="H57" s="147" t="s">
        <v>199</v>
      </c>
      <c r="I57" s="147"/>
      <c r="J57" s="147"/>
      <c r="K57" s="147"/>
      <c r="L57" s="147"/>
    </row>
    <row r="58" spans="1:12" ht="15" thickBot="1" x14ac:dyDescent="0.35">
      <c r="A58" s="121" t="s">
        <v>200</v>
      </c>
      <c r="B58" s="246" t="s">
        <v>197</v>
      </c>
      <c r="C58" s="247"/>
      <c r="D58" s="247"/>
      <c r="E58" s="247"/>
      <c r="F58" s="247"/>
      <c r="G58" s="248"/>
      <c r="H58" s="85"/>
      <c r="I58" s="85"/>
    </row>
    <row r="59" spans="1:12" ht="15.6" thickTop="1" thickBot="1" x14ac:dyDescent="0.35">
      <c r="A59" s="122" t="s">
        <v>83</v>
      </c>
      <c r="B59" s="123" t="s">
        <v>146</v>
      </c>
      <c r="C59" s="123" t="s">
        <v>4</v>
      </c>
      <c r="D59" s="123" t="s">
        <v>5</v>
      </c>
      <c r="E59" s="123" t="s">
        <v>6</v>
      </c>
      <c r="F59" s="123" t="s">
        <v>7</v>
      </c>
      <c r="G59" s="82" t="s">
        <v>85</v>
      </c>
    </row>
    <row r="60" spans="1:12" ht="15" thickTop="1" x14ac:dyDescent="0.3">
      <c r="A60" s="118" t="s">
        <v>202</v>
      </c>
      <c r="B60" s="163">
        <v>0</v>
      </c>
      <c r="C60" s="163" t="s">
        <v>232</v>
      </c>
      <c r="D60" s="163"/>
      <c r="E60" s="163"/>
      <c r="F60" s="158"/>
      <c r="G60" s="165"/>
    </row>
    <row r="61" spans="1:12" x14ac:dyDescent="0.3">
      <c r="A61" s="161" t="s">
        <v>201</v>
      </c>
      <c r="B61" s="164"/>
      <c r="C61" s="164"/>
      <c r="D61" s="164"/>
      <c r="E61" s="164"/>
      <c r="F61" s="152"/>
      <c r="G61" s="166"/>
    </row>
    <row r="62" spans="1:12" x14ac:dyDescent="0.3">
      <c r="A62" s="162" t="s">
        <v>138</v>
      </c>
      <c r="B62" s="164"/>
      <c r="C62" s="164"/>
      <c r="D62" s="164"/>
      <c r="E62" s="164"/>
      <c r="F62" s="152"/>
      <c r="G62" s="167"/>
    </row>
    <row r="63" spans="1:12" x14ac:dyDescent="0.3">
      <c r="A63" s="162" t="s">
        <v>139</v>
      </c>
      <c r="B63" s="164"/>
      <c r="C63" s="164"/>
      <c r="D63" s="164"/>
      <c r="E63" s="164"/>
      <c r="F63" s="152"/>
      <c r="G63" s="167"/>
    </row>
    <row r="64" spans="1:12" x14ac:dyDescent="0.3">
      <c r="A64" s="118" t="s">
        <v>140</v>
      </c>
      <c r="B64" s="164"/>
      <c r="C64" s="164"/>
      <c r="D64" s="164"/>
      <c r="E64" s="164"/>
      <c r="F64" s="152"/>
      <c r="G64" s="168"/>
    </row>
    <row r="65" spans="1:7" x14ac:dyDescent="0.3">
      <c r="A65" s="118" t="s">
        <v>141</v>
      </c>
      <c r="B65" s="164"/>
      <c r="C65" s="164"/>
      <c r="D65" s="164"/>
      <c r="E65" s="164"/>
      <c r="F65" s="152"/>
      <c r="G65" s="168"/>
    </row>
    <row r="66" spans="1:7" x14ac:dyDescent="0.3">
      <c r="A66" s="118" t="s">
        <v>142</v>
      </c>
      <c r="B66" s="163"/>
      <c r="C66" s="163"/>
      <c r="D66" s="163"/>
      <c r="E66" s="163"/>
      <c r="F66" s="158"/>
      <c r="G66" s="168"/>
    </row>
    <row r="67" spans="1:7" x14ac:dyDescent="0.3">
      <c r="A67" s="118" t="s">
        <v>143</v>
      </c>
      <c r="B67" s="164"/>
      <c r="C67" s="164"/>
      <c r="D67" s="164"/>
      <c r="E67" s="164"/>
      <c r="F67" s="152"/>
      <c r="G67" s="169"/>
    </row>
    <row r="68" spans="1:7" x14ac:dyDescent="0.3">
      <c r="A68" s="119" t="s">
        <v>144</v>
      </c>
      <c r="B68" s="164"/>
      <c r="C68" s="164"/>
      <c r="D68" s="164"/>
      <c r="E68" s="164"/>
      <c r="F68" s="152"/>
      <c r="G68" s="170"/>
    </row>
    <row r="69" spans="1:7" x14ac:dyDescent="0.3">
      <c r="A69" s="118" t="s">
        <v>145</v>
      </c>
      <c r="B69" s="163"/>
      <c r="C69" s="163"/>
      <c r="D69" s="163"/>
      <c r="E69" s="163"/>
      <c r="F69" s="158"/>
      <c r="G69" s="170"/>
    </row>
    <row r="70" spans="1:7" x14ac:dyDescent="0.3">
      <c r="A70" s="118" t="s">
        <v>181</v>
      </c>
      <c r="B70" s="163"/>
      <c r="C70" s="163"/>
      <c r="D70" s="163"/>
      <c r="E70" s="163"/>
      <c r="F70" s="158"/>
      <c r="G70" s="170"/>
    </row>
    <row r="71" spans="1:7" ht="15" thickBot="1" x14ac:dyDescent="0.35">
      <c r="A71" s="119" t="s">
        <v>182</v>
      </c>
      <c r="B71" s="179"/>
      <c r="C71" s="179"/>
      <c r="D71" s="179"/>
      <c r="E71" s="179"/>
      <c r="F71" s="154"/>
      <c r="G71" s="180"/>
    </row>
    <row r="72" spans="1:7" ht="15.6" thickTop="1" thickBot="1" x14ac:dyDescent="0.35">
      <c r="A72" s="61"/>
    </row>
    <row r="73" spans="1:7" ht="15.6" thickTop="1" thickBot="1" x14ac:dyDescent="0.35">
      <c r="A73" s="214" t="s">
        <v>192</v>
      </c>
      <c r="B73" s="216"/>
      <c r="C73" s="215"/>
    </row>
    <row r="74" spans="1:7" ht="15.6" thickTop="1" thickBot="1" x14ac:dyDescent="0.35">
      <c r="A74" s="171" t="s">
        <v>208</v>
      </c>
      <c r="B74" s="182">
        <v>0.24097222222222223</v>
      </c>
      <c r="C74" s="13" t="s">
        <v>189</v>
      </c>
      <c r="D74" s="96"/>
    </row>
    <row r="75" spans="1:7" ht="15.6" thickTop="1" thickBot="1" x14ac:dyDescent="0.35">
      <c r="A75" s="20"/>
      <c r="B75" t="s">
        <v>232</v>
      </c>
      <c r="C75" s="66"/>
    </row>
    <row r="76" spans="1:7" ht="15.6" thickTop="1" thickBot="1" x14ac:dyDescent="0.35">
      <c r="A76" s="214" t="s">
        <v>86</v>
      </c>
      <c r="B76" s="216"/>
      <c r="C76" s="215"/>
    </row>
    <row r="77" spans="1:7" ht="15" thickTop="1" x14ac:dyDescent="0.3">
      <c r="A77" s="24" t="s">
        <v>131</v>
      </c>
      <c r="B77" s="242" t="str">
        <f>B4&amp;"_PRE_NIRS"</f>
        <v>T2A_08_PRE_NIRS</v>
      </c>
      <c r="C77" s="243"/>
    </row>
    <row r="78" spans="1:7" x14ac:dyDescent="0.3">
      <c r="A78" s="68" t="s">
        <v>132</v>
      </c>
      <c r="B78" s="242" t="str">
        <f>B4&amp;"_PRE_TT_Bike"</f>
        <v>T2A_08_PRE_TT_Bike</v>
      </c>
      <c r="C78" s="243"/>
    </row>
    <row r="79" spans="1:7" x14ac:dyDescent="0.3">
      <c r="A79" s="57" t="s">
        <v>203</v>
      </c>
      <c r="B79" s="242" t="str">
        <f>B4&amp;"_PRE_TT_CPET"</f>
        <v>T2A_08_PRE_TT_CPET</v>
      </c>
      <c r="C79" s="243"/>
    </row>
    <row r="80" spans="1:7" ht="15" thickBot="1" x14ac:dyDescent="0.35">
      <c r="A80" s="67" t="s">
        <v>133</v>
      </c>
      <c r="B80" s="244" t="str">
        <f>B79&amp;"_10sec"</f>
        <v>T2A_08_PRE_TT_CPET_10sec</v>
      </c>
      <c r="C80" s="245"/>
    </row>
    <row r="82" spans="1:3" ht="15.6" thickTop="1" thickBot="1" x14ac:dyDescent="0.35">
      <c r="A82" s="214" t="s">
        <v>109</v>
      </c>
      <c r="B82" s="216"/>
      <c r="C82" s="215"/>
    </row>
    <row r="83" spans="1:3" ht="15" thickTop="1" x14ac:dyDescent="0.3">
      <c r="A83" s="205"/>
      <c r="B83" s="217"/>
      <c r="C83" s="206"/>
    </row>
    <row r="84" spans="1:3" x14ac:dyDescent="0.3">
      <c r="A84" s="207"/>
      <c r="B84" s="218"/>
      <c r="C84" s="208"/>
    </row>
    <row r="85" spans="1:3" x14ac:dyDescent="0.3">
      <c r="A85" s="207"/>
      <c r="B85" s="218"/>
      <c r="C85" s="208"/>
    </row>
    <row r="86" spans="1:3" x14ac:dyDescent="0.3">
      <c r="A86" s="207"/>
      <c r="B86" s="218"/>
      <c r="C86" s="208"/>
    </row>
    <row r="87" spans="1:3" ht="15" thickBot="1" x14ac:dyDescent="0.35">
      <c r="A87" s="209"/>
      <c r="B87" s="219"/>
      <c r="C87" s="210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sheetPr codeName="Sheet8"/>
  <dimension ref="B2:J14"/>
  <sheetViews>
    <sheetView workbookViewId="0">
      <selection activeCell="F18" sqref="F18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9" t="str">
        <f>'Algemene informatie'!B4</f>
        <v>T2A_08</v>
      </c>
    </row>
    <row r="3" spans="2:10" x14ac:dyDescent="0.3">
      <c r="B3" s="14" t="s">
        <v>160</v>
      </c>
      <c r="C3" s="140">
        <f>'Algemene informatie'!B7</f>
        <v>42</v>
      </c>
      <c r="D3" t="s">
        <v>27</v>
      </c>
    </row>
    <row r="4" spans="2:10" x14ac:dyDescent="0.3">
      <c r="B4" s="14" t="s">
        <v>183</v>
      </c>
      <c r="C4" s="140">
        <f>'Algemene informatie'!B5</f>
        <v>1</v>
      </c>
      <c r="D4" t="s">
        <v>190</v>
      </c>
    </row>
    <row r="5" spans="2:10" x14ac:dyDescent="0.3">
      <c r="B5" s="14" t="s">
        <v>40</v>
      </c>
      <c r="C5" s="141">
        <f>'1A. Antropometrie'!H15</f>
        <v>84.91149999999999</v>
      </c>
      <c r="D5" t="s">
        <v>1</v>
      </c>
    </row>
    <row r="6" spans="2:10" x14ac:dyDescent="0.3">
      <c r="B6" s="14" t="s">
        <v>41</v>
      </c>
      <c r="C6" s="140">
        <f>'1A. Antropometrie'!H16</f>
        <v>198.6</v>
      </c>
      <c r="D6" t="s">
        <v>2</v>
      </c>
    </row>
    <row r="7" spans="2:10" x14ac:dyDescent="0.3">
      <c r="B7" s="14" t="s">
        <v>184</v>
      </c>
      <c r="C7" s="141">
        <f>'1A. Antropometrie'!B41</f>
        <v>19.888577558713905</v>
      </c>
      <c r="D7" t="s">
        <v>13</v>
      </c>
    </row>
    <row r="8" spans="2:10" x14ac:dyDescent="0.3">
      <c r="B8" s="14" t="s">
        <v>185</v>
      </c>
      <c r="C8" s="181">
        <f>'1B. VO2max'!B57</f>
        <v>58.42553717694306</v>
      </c>
      <c r="D8" t="s">
        <v>186</v>
      </c>
    </row>
    <row r="9" spans="2:10" x14ac:dyDescent="0.3">
      <c r="B9" s="14" t="s">
        <v>211</v>
      </c>
      <c r="C9" s="181">
        <f>'2B. Wingate'!B34</f>
        <v>9.6568780436101136</v>
      </c>
      <c r="D9" t="s">
        <v>216</v>
      </c>
    </row>
    <row r="10" spans="2:10" x14ac:dyDescent="0.3">
      <c r="B10" s="14" t="s">
        <v>188</v>
      </c>
      <c r="C10" s="142">
        <f>'3B. NIRS+Time Trial'!B74</f>
        <v>0.24097222222222223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T2A_08</v>
      </c>
      <c r="C14" s="172">
        <f>C3</f>
        <v>42</v>
      </c>
      <c r="D14" s="172">
        <f>C4</f>
        <v>1</v>
      </c>
      <c r="E14" s="173">
        <f>C5</f>
        <v>84.91149999999999</v>
      </c>
      <c r="F14" s="172">
        <f>C6</f>
        <v>198.6</v>
      </c>
      <c r="G14" s="173">
        <f>C7</f>
        <v>19.888577558713905</v>
      </c>
      <c r="H14" s="178">
        <f>C8</f>
        <v>58.42553717694306</v>
      </c>
      <c r="I14" s="178">
        <f>C9</f>
        <v>9.6568780436101136</v>
      </c>
      <c r="J14" s="174">
        <f>C10</f>
        <v>0.24097222222222223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2022-09-16T09:10:25Z</dcterms:modified>
</cp:coreProperties>
</file>