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<sst xmlns="http://schemas.openxmlformats.org/spreadsheetml/2006/main" count="252" uniqueCount="252">
  <si>
    <t xml:space="preserve">Algemene informatie</t>
  </si>
  <si>
    <t xml:space="preserve">Persoonlijke gegevens</t>
  </si>
  <si>
    <t xml:space="preserve">Informatie over wielrennen</t>
  </si>
  <si>
    <t>Proefpersooncode:</t>
  </si>
  <si>
    <t>T2A_59</t>
  </si>
  <si>
    <t>Type:</t>
  </si>
  <si>
    <t xml:space="preserve">Sinds kort wedstrijden</t>
  </si>
  <si>
    <t>Recreatief/Wedstrijd</t>
  </si>
  <si>
    <t xml:space="preserve">Geslacht (man = 1; vrouw = 2):</t>
  </si>
  <si>
    <t>Weg</t>
  </si>
  <si>
    <t>Weg/Baan</t>
  </si>
  <si>
    <t>Geboortedatum:</t>
  </si>
  <si>
    <t xml:space="preserve">Kort tot 100km </t>
  </si>
  <si>
    <t xml:space="preserve">Korte/Lange afstand</t>
  </si>
  <si>
    <t>Leeftijd:</t>
  </si>
  <si>
    <t xml:space="preserve">Training frequentie:</t>
  </si>
  <si>
    <t xml:space="preserve">minimaal 3 en max 5</t>
  </si>
  <si>
    <t>keer/wk</t>
  </si>
  <si>
    <t xml:space="preserve">Training duur:</t>
  </si>
  <si>
    <t xml:space="preserve">Meestal 1,5 uur per training</t>
  </si>
  <si>
    <t>uur/wk</t>
  </si>
  <si>
    <t xml:space="preserve">Training afstand:</t>
  </si>
  <si>
    <t xml:space="preserve">150 en 200km </t>
  </si>
  <si>
    <t>km/wk</t>
  </si>
  <si>
    <t>Fietservaring:</t>
  </si>
  <si>
    <t>jaar</t>
  </si>
  <si>
    <t>Opmerkingen:</t>
  </si>
  <si>
    <t>Antropometrie</t>
  </si>
  <si>
    <t xml:space="preserve">Algemene gegevens</t>
  </si>
  <si>
    <t>Testdag:</t>
  </si>
  <si>
    <t>Onderzoeker</t>
  </si>
  <si>
    <t>Renske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</si>
  <si>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</si>
  <si>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</si>
  <si>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</si>
  <si>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</si>
  <si>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</si>
  <si>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</si>
  <si>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</si>
  <si>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</si>
  <si>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</si>
  <si>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</si>
  <si>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</si>
  <si>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</si>
  <si>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</si>
  <si>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</si>
  <si>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</si>
  <si>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</si>
  <si>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</si>
  <si>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</si>
  <si>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</si>
  <si>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</si>
  <si>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</si>
  <si>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</si>
  <si>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</si>
  <si>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</si>
  <si>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</si>
  <si>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</si>
  <si>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</si>
  <si>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</si>
  <si>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</si>
  <si>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</si>
  <si>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</si>
  <si>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</si>
  <si>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</si>
  <si>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</si>
  <si>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</si>
  <si>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</si>
  <si>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</si>
  <si>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</si>
  <si>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</si>
  <si>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</si>
  <si>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</si>
  <si>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</si>
  <si>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</si>
  <si>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</si>
  <si>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</si>
  <si>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</si>
  <si>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</si>
  <si>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</si>
  <si>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</si>
  <si>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Luuk</t>
  </si>
  <si>
    <t>hh:mm</t>
  </si>
  <si>
    <t>Temperatuur:</t>
  </si>
  <si>
    <t>19.8</t>
  </si>
  <si>
    <t>°C</t>
  </si>
  <si>
    <t>Luchtvochtigheid:</t>
  </si>
  <si>
    <t xml:space="preserve">COSMED nummer:</t>
  </si>
  <si>
    <t xml:space="preserve">Type pedaal:</t>
  </si>
  <si>
    <t xml:space="preserve">Look wit</t>
  </si>
  <si>
    <t xml:space="preserve">Maat van zuurstofmasker:</t>
  </si>
  <si>
    <t>M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</si>
  <si>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</si>
  <si>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</si>
  <si>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</si>
  <si>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</si>
  <si>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</si>
  <si>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</si>
  <si>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</si>
  <si>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</si>
  <si>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</si>
  <si>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</si>
  <si>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</si>
  <si>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</si>
  <si>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</si>
  <si>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</si>
  <si>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</si>
  <si>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</si>
  <si>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</si>
  <si>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</si>
  <si>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</si>
  <si>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</si>
  <si>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</si>
  <si>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</si>
  <si>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0.79</t>
  </si>
  <si>
    <t>0.8</t>
  </si>
  <si>
    <t>0.81</t>
  </si>
  <si>
    <t>0.82</t>
  </si>
  <si>
    <t>0.84</t>
  </si>
  <si>
    <t>0.86</t>
  </si>
  <si>
    <t>0.91</t>
  </si>
  <si>
    <t>0.97</t>
  </si>
  <si>
    <t>1.02</t>
  </si>
  <si>
    <t>1.04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</si>
  <si>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</si>
  <si>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</si>
  <si>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</si>
  <si>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</si>
  <si>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</si>
  <si>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</si>
  <si>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</si>
  <si>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</si>
  <si>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kan rpm niet lezen. Neemt volgende keer lenzen mee. Metronoom leek niet goed te werken.</t>
  </si>
  <si>
    <t xml:space="preserve">3D Ultrasound</t>
  </si>
  <si>
    <t xml:space="preserve">Afstand tot steepje box:</t>
  </si>
  <si>
    <t xml:space="preserve">Meer dan 68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</si>
  <si>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</si>
  <si>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</si>
  <si>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</si>
  <si>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</si>
  <si>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</si>
  <si>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</si>
  <si>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</si>
  <si>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2de gat vanaf achteren</t>
  </si>
  <si>
    <t xml:space="preserve">Voorste voet bij start:</t>
  </si>
  <si>
    <t>Links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</si>
  <si>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</si>
  <si>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</si>
  <si>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</si>
  <si>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</si>
  <si>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</si>
  <si>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</si>
  <si>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</si>
  <si>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</si>
  <si>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</si>
  <si>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</si>
  <si>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</si>
  <si>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</si>
  <si>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</si>
  <si>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</si>
  <si>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</si>
  <si>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</si>
  <si>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</si>
  <si>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</si>
  <si>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</si>
  <si>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</si>
  <si>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</si>
  <si>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</si>
  <si>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</si>
  <si>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 </t>
  </si>
  <si>
    <t>Watt/kg</t>
  </si>
  <si>
    <t xml:space="preserve">Filename (Extended Excel file):</t>
  </si>
  <si>
    <t xml:space="preserve">Had het gevoel niet helemaal maximaal te hebben gegeven aan het begin. Hij heeft op 6,1kg gefiets ipv 6,0kg. 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</si>
  <si>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</si>
  <si>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</si>
  <si>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</si>
  <si>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</si>
  <si>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</si>
  <si>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</si>
  <si>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</si>
  <si>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</si>
  <si>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</si>
  <si>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</si>
  <si>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</si>
  <si>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RAW00332.DAT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</si>
  <si>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</si>
  <si>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</si>
  <si>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</si>
  <si>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RAW00156.DAT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</si>
  <si>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</si>
  <si>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</si>
  <si>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</si>
  <si>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</si>
  <si>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</si>
  <si>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</si>
  <si>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</si>
  <si>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</si>
  <si>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</si>
  <si>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</si>
  <si>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>L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</si>
  <si>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</si>
  <si>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</si>
  <si>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</si>
  <si>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</si>
  <si>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</si>
  <si>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</si>
  <si>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</si>
  <si>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</si>
  <si>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</si>
  <si>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</si>
  <si>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</si>
  <si>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</si>
  <si>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</si>
  <si>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</si>
  <si>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</si>
  <si>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 xml:space="preserve">NIRS rond de 60</t>
  </si>
  <si>
    <t>9:00-15:00</t>
  </si>
  <si>
    <t xml:space="preserve">6 min 20W</t>
  </si>
  <si>
    <t xml:space="preserve">NIRS rond de 65</t>
  </si>
  <si>
    <t xml:space="preserve">NIRS rond de 62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</si>
  <si>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</si>
  <si>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</si>
  <si>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</si>
  <si>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</si>
  <si>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</si>
  <si>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</si>
  <si>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</si>
  <si>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</si>
  <si>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</si>
  <si>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</si>
  <si>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</si>
  <si>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</si>
  <si>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</si>
  <si>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</si>
  <si>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</si>
  <si>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>Eindtijd: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</si>
  <si>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</si>
  <si>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</si>
  <si>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</si>
  <si>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</si>
  <si>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</si>
  <si>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</si>
  <si>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Heeft nu eigen Look KO pedalen mee. Tijdens laatste 6min op 20W was hij de hartslag af en toe even kwijt.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</si>
  <si>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</si>
  <si>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</si>
  <si>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</si>
  <si>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</si>
  <si>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</si>
  <si>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Piekpower output</t>
  </si>
  <si>
    <t xml:space="preserve">Tijd op de 4km</t>
  </si>
  <si>
    <t xml:space="preserve">Relatieve piekpower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</si>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</sst>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10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0" numFmtId="0" xfId="0" applyFont="1" applyAlignment="1">
      <alignment wrapText="1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7" fillId="0" borderId="4" numFmtId="0" xfId="0" applyFont="1" applyBorder="1"/>
    <xf fontId="0" fillId="0" borderId="15" numFmtId="0" xfId="0" applyBorder="1"/>
    <xf fontId="7" fillId="0" borderId="4" numFmtId="161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4" numFmtId="2" xfId="0" applyNumberFormat="1" applyFont="1" applyBorder="1"/>
    <xf fontId="7" fillId="0" borderId="5" numFmtId="0" xfId="0" applyFont="1" applyBorder="1"/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7" fillId="0" borderId="10" numFmtId="0" xfId="0" applyFont="1" applyBorder="1"/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79" numFmtId="49" xfId="0" applyNumberFormat="1" applyBorder="1" applyAlignment="1">
      <alignment horizontal="left"/>
    </xf>
    <xf fontId="0" fillId="0" borderId="54" numFmtId="0" xfId="0" applyBorder="1" applyAlignment="1">
      <alignment horizontal="center"/>
    </xf>
    <xf fontId="0" fillId="7" borderId="54" numFmtId="0" xfId="0" applyFill="1" applyBorder="1"/>
    <xf fontId="0" fillId="0" borderId="14" numFmtId="0" xfId="0" applyBorder="1" applyAlignment="1">
      <alignment horizontal="center"/>
    </xf>
    <xf fontId="7" fillId="0" borderId="4" numFmtId="160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2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C17" activeCellId="0" sqref="C17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4" t="s">
        <v>9</v>
      </c>
      <c r="F5" s="6" t="s">
        <v>10</v>
      </c>
    </row>
    <row r="6">
      <c r="A6" s="12" t="s">
        <v>11</v>
      </c>
      <c r="B6" s="15">
        <v>29554</v>
      </c>
      <c r="C6" s="15"/>
      <c r="D6" s="12"/>
      <c r="E6" s="11" t="s">
        <v>12</v>
      </c>
      <c r="F6" s="6" t="s">
        <v>13</v>
      </c>
    </row>
    <row r="7" ht="15">
      <c r="A7" s="16" t="s">
        <v>14</v>
      </c>
      <c r="B7" s="17">
        <f ca="1">(YEAR(NOW())-YEAR(B6))</f>
        <v>42</v>
      </c>
      <c r="C7" s="12"/>
      <c r="D7" s="12" t="s">
        <v>15</v>
      </c>
      <c r="E7" s="18" t="s">
        <v>16</v>
      </c>
      <c r="F7" s="6" t="s">
        <v>17</v>
      </c>
    </row>
    <row r="8" ht="15">
      <c r="B8" s="19"/>
      <c r="C8" s="6"/>
      <c r="D8" s="12" t="s">
        <v>18</v>
      </c>
      <c r="E8" s="20" t="s">
        <v>19</v>
      </c>
      <c r="F8" s="6" t="s">
        <v>20</v>
      </c>
    </row>
    <row r="9">
      <c r="C9" s="6"/>
      <c r="D9" s="12" t="s">
        <v>21</v>
      </c>
      <c r="E9" s="18" t="s">
        <v>22</v>
      </c>
      <c r="F9" s="6" t="s">
        <v>23</v>
      </c>
    </row>
    <row r="10" ht="15">
      <c r="C10" s="6"/>
      <c r="D10" s="21" t="s">
        <v>24</v>
      </c>
      <c r="E10" s="22">
        <v>5</v>
      </c>
      <c r="F10" s="23" t="s">
        <v>25</v>
      </c>
    </row>
    <row r="11" ht="15">
      <c r="C11" s="6"/>
      <c r="D11" s="24" t="s">
        <v>26</v>
      </c>
      <c r="E11" s="25"/>
      <c r="F11" s="26"/>
    </row>
    <row r="12">
      <c r="C12" s="6"/>
      <c r="D12" s="27"/>
      <c r="E12" s="28"/>
      <c r="F12" s="29"/>
    </row>
    <row r="13" ht="15">
      <c r="C13" s="6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workbookViewId="0" zoomScale="100">
      <selection activeCell="G41" activeCellId="0" sqref="G41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27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T2A_59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29554</v>
      </c>
    </row>
    <row r="7" ht="15.6"/>
    <row r="8" ht="15.6">
      <c r="A8" s="4" t="s">
        <v>28</v>
      </c>
      <c r="B8" s="5"/>
    </row>
    <row r="9" ht="15">
      <c r="A9" s="12" t="s">
        <v>29</v>
      </c>
      <c r="B9" s="15">
        <v>44810</v>
      </c>
    </row>
    <row r="10">
      <c r="A10" s="12" t="s">
        <v>30</v>
      </c>
      <c r="B10" s="15" t="s">
        <v>31</v>
      </c>
    </row>
    <row r="11" ht="15">
      <c r="A11" s="21" t="s">
        <v>32</v>
      </c>
      <c r="B11" s="34">
        <v>0.375</v>
      </c>
    </row>
    <row r="12" ht="15.6"/>
    <row r="13" ht="15.6">
      <c r="A13" s="35" t="s">
        <v>33</v>
      </c>
      <c r="B13" s="36"/>
      <c r="C13" s="36"/>
      <c r="D13" s="36"/>
      <c r="E13" s="37"/>
      <c r="F13" s="38" t="s">
        <v>34</v>
      </c>
      <c r="G13" s="39"/>
      <c r="H13" s="40" t="s">
        <v>35</v>
      </c>
      <c r="I13" s="41"/>
    </row>
    <row r="14" ht="15.6">
      <c r="A14" s="42"/>
      <c r="B14" s="7" t="s">
        <v>36</v>
      </c>
      <c r="C14" s="7" t="s">
        <v>37</v>
      </c>
      <c r="D14" s="7" t="s">
        <v>38</v>
      </c>
      <c r="E14" s="43" t="s">
        <v>39</v>
      </c>
      <c r="F14" s="44"/>
      <c r="G14" s="45"/>
      <c r="H14" s="46"/>
      <c r="I14" s="41"/>
    </row>
    <row r="15" ht="15">
      <c r="A15" s="47" t="s">
        <v>40</v>
      </c>
      <c r="B15" s="48">
        <v>80.640000000000001</v>
      </c>
      <c r="C15" s="49">
        <v>80.640000000000001</v>
      </c>
      <c r="D15" s="50"/>
      <c r="E15" s="6" t="s">
        <v>41</v>
      </c>
      <c r="F15" s="51">
        <f t="shared" ref="F15:F32" si="0">+(C15-B15)/B15</f>
        <v>0</v>
      </c>
      <c r="G15" s="6" t="str">
        <f t="shared" ref="G15:G27" si="1">IF(ABS(F15)&gt;1%,"Yes","No")</f>
        <v>No</v>
      </c>
      <c r="H15" s="52">
        <f t="shared" ref="H15:H32" si="2">IF(D15=0,AVERAGE(B15,C15),MEDIAN(B15:D15))</f>
        <v>80.640000000000001</v>
      </c>
    </row>
    <row r="16">
      <c r="A16" s="53" t="s">
        <v>42</v>
      </c>
      <c r="B16" s="54">
        <v>178.69999999999999</v>
      </c>
      <c r="C16" s="55">
        <v>179.09999999999999</v>
      </c>
      <c r="D16" s="56"/>
      <c r="E16" s="6" t="s">
        <v>43</v>
      </c>
      <c r="F16" s="51">
        <f t="shared" si="0"/>
        <v>0.0022383883603805579</v>
      </c>
      <c r="G16" s="6" t="str">
        <f t="shared" si="1"/>
        <v>No</v>
      </c>
      <c r="H16" s="52">
        <f t="shared" si="2"/>
        <v>178.89999999999998</v>
      </c>
    </row>
    <row r="17">
      <c r="A17" s="57"/>
      <c r="B17" s="58"/>
      <c r="C17" s="59"/>
      <c r="D17" s="60"/>
      <c r="E17" s="61"/>
      <c r="F17" s="62"/>
      <c r="G17" s="61"/>
      <c r="H17" s="63"/>
    </row>
    <row r="18">
      <c r="A18" s="64" t="s">
        <v>44</v>
      </c>
      <c r="B18" s="54">
        <v>5</v>
      </c>
      <c r="C18" s="55">
        <v>5</v>
      </c>
      <c r="D18" s="56"/>
      <c r="E18" s="6" t="s">
        <v>45</v>
      </c>
      <c r="F18" s="51">
        <f t="shared" si="0"/>
        <v>0</v>
      </c>
      <c r="G18" s="6" t="str">
        <f t="shared" ref="G18:G21" si="3">IF(ABS(F18)&gt;5%,"Yes","No")</f>
        <v>No</v>
      </c>
      <c r="H18" s="52">
        <f t="shared" si="2"/>
        <v>5</v>
      </c>
      <c r="I18" s="65" t="s">
        <v>46</v>
      </c>
      <c r="J18" s="66"/>
      <c r="K18" s="67"/>
      <c r="L18" s="68"/>
      <c r="M18" s="68" t="s">
        <v>43</v>
      </c>
    </row>
    <row r="19">
      <c r="A19" s="69" t="s">
        <v>47</v>
      </c>
      <c r="B19" s="54">
        <v>8.8000000000000007</v>
      </c>
      <c r="C19" s="55">
        <v>8.5999999999999996</v>
      </c>
      <c r="D19" s="56"/>
      <c r="E19" s="6" t="s">
        <v>45</v>
      </c>
      <c r="F19" s="51">
        <f t="shared" si="0"/>
        <v>-0.022727272727272846</v>
      </c>
      <c r="G19" s="6" t="str">
        <f t="shared" si="3"/>
        <v>No</v>
      </c>
      <c r="H19" s="52">
        <f t="shared" si="2"/>
        <v>8.6999999999999993</v>
      </c>
      <c r="I19" s="65" t="s">
        <v>48</v>
      </c>
      <c r="J19" s="66"/>
      <c r="K19" s="66"/>
      <c r="L19" s="68">
        <f>L18/2</f>
        <v>0</v>
      </c>
      <c r="M19" s="68" t="s">
        <v>43</v>
      </c>
    </row>
    <row r="20">
      <c r="A20" s="64" t="s">
        <v>49</v>
      </c>
      <c r="B20" s="54">
        <v>16.199999999999999</v>
      </c>
      <c r="C20" s="55">
        <v>15.4</v>
      </c>
      <c r="D20" s="56"/>
      <c r="E20" s="6" t="s">
        <v>45</v>
      </c>
      <c r="F20" s="51">
        <f t="shared" si="0"/>
        <v>-0.049382716049382651</v>
      </c>
      <c r="G20" s="6" t="str">
        <f t="shared" si="3"/>
        <v>No</v>
      </c>
      <c r="H20" s="52">
        <f t="shared" si="2"/>
        <v>15.800000000000001</v>
      </c>
    </row>
    <row r="21">
      <c r="A21" s="64" t="s">
        <v>50</v>
      </c>
      <c r="B21" s="54">
        <v>12</v>
      </c>
      <c r="C21" s="55">
        <v>11</v>
      </c>
      <c r="D21" s="56">
        <v>11</v>
      </c>
      <c r="E21" s="6" t="s">
        <v>45</v>
      </c>
      <c r="F21" s="51">
        <f t="shared" si="0"/>
        <v>-0.083333333333333329</v>
      </c>
      <c r="G21" s="6" t="str">
        <f t="shared" si="3"/>
        <v>Yes</v>
      </c>
      <c r="H21" s="52">
        <f t="shared" si="2"/>
        <v>11</v>
      </c>
    </row>
    <row r="22">
      <c r="A22" s="70"/>
      <c r="B22" s="58"/>
      <c r="C22" s="59"/>
      <c r="D22" s="60"/>
      <c r="E22" s="61"/>
      <c r="F22" s="62"/>
      <c r="G22" s="61"/>
      <c r="H22" s="63"/>
    </row>
    <row r="23">
      <c r="A23" s="64" t="s">
        <v>51</v>
      </c>
      <c r="B23" s="54">
        <v>45</v>
      </c>
      <c r="C23" s="55">
        <v>44.700000000000003</v>
      </c>
      <c r="D23" s="56"/>
      <c r="E23" s="6" t="s">
        <v>43</v>
      </c>
      <c r="F23" s="51">
        <f t="shared" si="0"/>
        <v>-0.0066666666666666038</v>
      </c>
      <c r="G23" s="6" t="str">
        <f t="shared" si="1"/>
        <v>No</v>
      </c>
      <c r="H23" s="52">
        <f t="shared" si="2"/>
        <v>44.850000000000001</v>
      </c>
      <c r="I23" s="65" t="s">
        <v>52</v>
      </c>
      <c r="J23" s="66"/>
      <c r="K23" s="66"/>
      <c r="L23" s="71">
        <f>B23-(B23/2)</f>
        <v>22.5</v>
      </c>
      <c r="M23" s="72" t="s">
        <v>43</v>
      </c>
    </row>
    <row r="24">
      <c r="A24" s="73" t="s">
        <v>53</v>
      </c>
      <c r="B24" s="54">
        <v>54.799999999999997</v>
      </c>
      <c r="C24" s="55">
        <v>55</v>
      </c>
      <c r="D24" s="56"/>
      <c r="E24" s="6" t="s">
        <v>43</v>
      </c>
      <c r="F24" s="51">
        <f t="shared" si="0"/>
        <v>0.0036496350364964023</v>
      </c>
      <c r="G24" s="6" t="str">
        <f t="shared" si="1"/>
        <v>No</v>
      </c>
      <c r="H24" s="52">
        <f t="shared" si="2"/>
        <v>54.899999999999999</v>
      </c>
    </row>
    <row r="25">
      <c r="A25" s="70"/>
      <c r="B25" s="58"/>
      <c r="C25" s="59"/>
      <c r="D25" s="60"/>
      <c r="E25" s="61"/>
      <c r="F25" s="62"/>
      <c r="G25" s="61"/>
      <c r="H25" s="63"/>
    </row>
    <row r="26">
      <c r="A26" s="73" t="s">
        <v>54</v>
      </c>
      <c r="B26" s="54">
        <v>40</v>
      </c>
      <c r="C26" s="55">
        <v>39.5</v>
      </c>
      <c r="D26" s="56">
        <v>40</v>
      </c>
      <c r="E26" s="6" t="s">
        <v>43</v>
      </c>
      <c r="F26" s="51">
        <f t="shared" si="0"/>
        <v>-0.012500000000000001</v>
      </c>
      <c r="G26" s="6" t="str">
        <f t="shared" si="1"/>
        <v>Yes</v>
      </c>
      <c r="H26" s="52">
        <f t="shared" si="2"/>
        <v>40</v>
      </c>
    </row>
    <row r="27">
      <c r="A27" s="69" t="s">
        <v>55</v>
      </c>
      <c r="B27" s="74">
        <v>40.100000000000001</v>
      </c>
      <c r="C27" s="75">
        <v>39.899999999999999</v>
      </c>
      <c r="D27" s="76"/>
      <c r="E27" s="6" t="s">
        <v>43</v>
      </c>
      <c r="F27" s="51">
        <f t="shared" si="0"/>
        <v>-0.0049875311720698964</v>
      </c>
      <c r="G27" s="6" t="str">
        <f t="shared" si="1"/>
        <v>No</v>
      </c>
      <c r="H27" s="52">
        <f t="shared" si="2"/>
        <v>40</v>
      </c>
    </row>
    <row r="28">
      <c r="A28" s="77"/>
      <c r="B28" s="78"/>
      <c r="C28" s="79"/>
      <c r="D28" s="80"/>
      <c r="E28" s="61"/>
      <c r="F28" s="62"/>
      <c r="G28" s="61"/>
      <c r="H28" s="63"/>
      <c r="J28" s="51"/>
    </row>
    <row r="29">
      <c r="A29" s="64" t="s">
        <v>56</v>
      </c>
      <c r="B29" s="54"/>
      <c r="C29" s="81"/>
      <c r="D29" s="82"/>
      <c r="E29" s="6" t="s">
        <v>45</v>
      </c>
      <c r="F29" s="51" t="e">
        <f t="shared" si="0"/>
        <v>#DIV/0!</v>
      </c>
      <c r="G29" s="6" t="e">
        <f t="shared" ref="G29:G32" si="4">IF(ABS(F29)&gt;5%,"Yes","No")</f>
        <v>#DIV/0!</v>
      </c>
      <c r="H29" s="52" t="e">
        <f t="shared" si="2"/>
        <v>#DIV/0!</v>
      </c>
      <c r="I29" s="83" t="s">
        <v>57</v>
      </c>
      <c r="J29" s="84"/>
      <c r="K29" s="68" t="str">
        <f>B4&amp;"_Biceps"</f>
        <v>T2A_59_Biceps</v>
      </c>
    </row>
    <row r="30">
      <c r="A30" s="69" t="s">
        <v>58</v>
      </c>
      <c r="B30" s="54"/>
      <c r="C30" s="81"/>
      <c r="D30" s="82"/>
      <c r="E30" s="6" t="s">
        <v>45</v>
      </c>
      <c r="F30" s="51" t="e">
        <f t="shared" si="0"/>
        <v>#DIV/0!</v>
      </c>
      <c r="G30" s="6" t="e">
        <f t="shared" si="4"/>
        <v>#DIV/0!</v>
      </c>
      <c r="H30" s="52" t="e">
        <f t="shared" si="2"/>
        <v>#DIV/0!</v>
      </c>
      <c r="I30" s="83" t="s">
        <v>57</v>
      </c>
      <c r="J30" s="84"/>
      <c r="K30" s="68" t="str">
        <f>B4&amp;"_Triceps"</f>
        <v>T2A_59_Triceps</v>
      </c>
    </row>
    <row r="31">
      <c r="A31" s="64" t="s">
        <v>59</v>
      </c>
      <c r="B31" s="54"/>
      <c r="C31" s="81"/>
      <c r="D31" s="82"/>
      <c r="E31" s="6" t="s">
        <v>45</v>
      </c>
      <c r="F31" s="51" t="e">
        <f t="shared" si="0"/>
        <v>#DIV/0!</v>
      </c>
      <c r="G31" s="6" t="e">
        <f t="shared" si="4"/>
        <v>#DIV/0!</v>
      </c>
      <c r="H31" s="52" t="e">
        <f t="shared" si="2"/>
        <v>#DIV/0!</v>
      </c>
      <c r="I31" s="83" t="s">
        <v>57</v>
      </c>
      <c r="J31" s="84"/>
      <c r="K31" s="68" t="str">
        <f>B4&amp;"_Subscapular"</f>
        <v>T2A_59_Subscapular</v>
      </c>
    </row>
    <row r="32" ht="15">
      <c r="A32" s="85" t="s">
        <v>60</v>
      </c>
      <c r="B32" s="86"/>
      <c r="C32" s="87"/>
      <c r="D32" s="88"/>
      <c r="E32" s="23" t="s">
        <v>45</v>
      </c>
      <c r="F32" s="3" t="e">
        <f t="shared" si="0"/>
        <v>#DIV/0!</v>
      </c>
      <c r="G32" s="23" t="e">
        <f t="shared" si="4"/>
        <v>#DIV/0!</v>
      </c>
      <c r="H32" s="89" t="e">
        <f t="shared" si="2"/>
        <v>#DIV/0!</v>
      </c>
      <c r="I32" s="83" t="s">
        <v>57</v>
      </c>
      <c r="J32" s="84"/>
      <c r="K32" s="68" t="str">
        <f>B4&amp;"_Iliac"</f>
        <v>T2A_59_Iliac</v>
      </c>
    </row>
    <row r="33" ht="15.6">
      <c r="A33" s="90"/>
      <c r="B33" s="19"/>
      <c r="C33" s="19"/>
      <c r="D33" s="51"/>
      <c r="E33" s="51"/>
      <c r="F33" s="51"/>
      <c r="G33" s="91" t="s">
        <v>61</v>
      </c>
      <c r="H33" s="92">
        <f>SUM(H18:H21)</f>
        <v>40.5</v>
      </c>
    </row>
    <row r="34" ht="15.6">
      <c r="A34" s="4" t="s">
        <v>62</v>
      </c>
      <c r="B34" s="7"/>
      <c r="C34" s="7"/>
      <c r="D34" s="5"/>
      <c r="E34" s="93"/>
      <c r="F34" s="51"/>
      <c r="G34" s="19"/>
      <c r="H34" s="51"/>
    </row>
    <row r="35" ht="15.6">
      <c r="A35" s="35" t="s">
        <v>63</v>
      </c>
      <c r="B35" s="36"/>
      <c r="C35" s="36"/>
      <c r="D35" s="37"/>
      <c r="E35" s="51"/>
      <c r="F35" s="51"/>
      <c r="G35" s="51"/>
      <c r="H35" s="51"/>
    </row>
    <row r="36" ht="15.6">
      <c r="A36" s="94" t="s">
        <v>64</v>
      </c>
      <c r="B36" s="95" t="s">
        <v>65</v>
      </c>
      <c r="C36" s="94" t="s">
        <v>66</v>
      </c>
      <c r="D36" s="96"/>
      <c r="E36" s="83" t="s">
        <v>67</v>
      </c>
      <c r="F36" s="84"/>
      <c r="G36" s="97">
        <f ca="1">'Algemene informatie'!B7</f>
        <v>42</v>
      </c>
      <c r="H36" s="51" t="s">
        <v>25</v>
      </c>
    </row>
    <row r="37" ht="15">
      <c r="A37" s="12" t="s">
        <v>68</v>
      </c>
      <c r="B37" s="6">
        <f>(495/(1.1533-(0.0643*LOG(H33))))-450</f>
        <v>21.455223462584968</v>
      </c>
      <c r="C37" s="6">
        <f>(495/(1.1369-(0.0598*LOG(H33))))-450</f>
        <v>25.607490021104866</v>
      </c>
      <c r="D37" s="6" t="s">
        <v>69</v>
      </c>
      <c r="E37" s="51"/>
      <c r="F37" s="51"/>
      <c r="G37" s="51"/>
      <c r="H37" s="51"/>
    </row>
    <row r="38">
      <c r="A38" s="12" t="s">
        <v>70</v>
      </c>
      <c r="B38" s="6">
        <f>(495/(1.162-(0.063*LOG(H33))))-450</f>
        <v>16.659606451719867</v>
      </c>
      <c r="C38" s="6">
        <f>(495/(1.1549-(0.0678*LOG(H33))))-450</f>
        <v>23.270020262779042</v>
      </c>
      <c r="D38" s="6" t="s">
        <v>69</v>
      </c>
      <c r="E38" s="51"/>
      <c r="F38" s="51"/>
      <c r="G38" s="51"/>
      <c r="H38" s="51"/>
    </row>
    <row r="39">
      <c r="A39" s="12" t="s">
        <v>71</v>
      </c>
      <c r="B39" s="6">
        <f>(495/(1.1631-(0.0632*LOG(H33))))-450</f>
        <v>16.317358995235509</v>
      </c>
      <c r="C39" s="6">
        <f>(495/(1.1599-(0.0717*LOG(H33))))-450</f>
        <v>23.844966473380396</v>
      </c>
      <c r="D39" s="6" t="s">
        <v>69</v>
      </c>
      <c r="E39" s="51"/>
      <c r="F39" s="51"/>
      <c r="G39" s="51"/>
      <c r="H39" s="51"/>
      <c r="J39" s="51"/>
      <c r="K39" s="51"/>
    </row>
    <row r="40">
      <c r="A40" s="12" t="s">
        <v>72</v>
      </c>
      <c r="B40" s="6">
        <f>(495/(1.1422-(0.0544*LOG(H33))))-450</f>
        <v>19.303544091499361</v>
      </c>
      <c r="C40" s="6">
        <f>(495/(1.1423-(0.0632*LOG(H33))))-450</f>
        <v>25.637353859019811</v>
      </c>
      <c r="D40" s="6" t="s">
        <v>69</v>
      </c>
      <c r="E40" s="51"/>
      <c r="F40" s="51"/>
      <c r="G40" s="51"/>
      <c r="H40" s="51"/>
      <c r="J40" s="98"/>
      <c r="K40" s="98"/>
    </row>
    <row r="41">
      <c r="A41" s="12" t="s">
        <v>73</v>
      </c>
      <c r="B41" s="6">
        <f>(495/(1.162-(0.07*LOG(H33))))-450</f>
        <v>21.662988663904116</v>
      </c>
      <c r="C41" s="6">
        <f>(495/(1.1333-(0.0612*LOG(H33))))-450</f>
        <v>28.29610516364022</v>
      </c>
      <c r="D41" s="6" t="s">
        <v>69</v>
      </c>
      <c r="E41" s="51"/>
      <c r="F41" s="51"/>
      <c r="G41" s="51"/>
      <c r="H41" s="51"/>
      <c r="J41" s="98"/>
      <c r="K41" s="98"/>
    </row>
    <row r="42" ht="15">
      <c r="A42" s="21" t="s">
        <v>74</v>
      </c>
      <c r="B42" s="23">
        <f>(495/(1.1715-(0.0779*LOG(H33))))-450</f>
        <v>23.105051307761414</v>
      </c>
      <c r="C42" s="23">
        <f>(495/(1.1339-(0.0645*LOG(H33))))-450</f>
        <v>30.480293458187646</v>
      </c>
      <c r="D42" s="23" t="s">
        <v>69</v>
      </c>
      <c r="E42" s="51"/>
      <c r="F42" s="51"/>
      <c r="G42" s="51"/>
      <c r="H42" s="51"/>
    </row>
    <row r="43" ht="15.6">
      <c r="A43" s="51"/>
      <c r="B43" s="51"/>
      <c r="C43" s="51"/>
      <c r="D43" s="51"/>
      <c r="E43" s="51"/>
      <c r="F43" s="51"/>
      <c r="G43" s="51"/>
      <c r="H43" s="51"/>
    </row>
    <row r="44" ht="15.6">
      <c r="A44" s="4" t="s">
        <v>75</v>
      </c>
      <c r="B44" s="5"/>
      <c r="D44" s="51"/>
      <c r="E44" s="51"/>
      <c r="F44" s="51"/>
      <c r="G44" s="51"/>
      <c r="H44" s="51"/>
    </row>
    <row r="45" ht="15">
      <c r="A45" s="12" t="s">
        <v>76</v>
      </c>
      <c r="B45" s="99" t="str">
        <f>B4&amp;"_PRE_Biceps"</f>
        <v>T2A_59_PRE_Biceps</v>
      </c>
      <c r="D45" s="51"/>
      <c r="E45" s="51"/>
      <c r="F45" s="51"/>
      <c r="G45" s="51"/>
      <c r="H45" s="51"/>
    </row>
    <row r="46">
      <c r="A46" s="12"/>
      <c r="B46" s="100" t="str">
        <f>B4&amp;"_PRE_Triceps"</f>
        <v>T2A_59_PRE_Triceps</v>
      </c>
      <c r="D46" s="51"/>
      <c r="E46" s="51"/>
      <c r="F46" s="51"/>
      <c r="G46" s="51"/>
      <c r="H46" s="51"/>
    </row>
    <row r="47">
      <c r="A47" s="12"/>
      <c r="B47" s="100" t="str">
        <f>B4&amp;"_PRE_Subscapula"</f>
        <v>T2A_59_PRE_Subscapula</v>
      </c>
      <c r="D47" s="51"/>
      <c r="E47" s="51"/>
      <c r="F47" s="51"/>
      <c r="G47" s="51"/>
      <c r="H47" s="51"/>
    </row>
    <row r="48" ht="15">
      <c r="A48" s="21"/>
      <c r="B48" s="101" t="str">
        <f>B4&amp;"_PRE_Crista"</f>
        <v>T2A_59_PRE_Crista</v>
      </c>
      <c r="C48" s="51"/>
      <c r="D48" s="51"/>
      <c r="E48" s="51"/>
      <c r="F48" s="51"/>
      <c r="G48" s="51"/>
      <c r="H48" s="51"/>
    </row>
    <row r="49" ht="15.6"/>
    <row r="50" ht="15.6">
      <c r="A50" s="4" t="s">
        <v>77</v>
      </c>
      <c r="B50" s="7"/>
      <c r="C50" s="5"/>
    </row>
    <row r="51" ht="15">
      <c r="A51" s="25"/>
      <c r="B51" s="102"/>
      <c r="C51" s="26"/>
    </row>
    <row r="52">
      <c r="A52" s="28"/>
      <c r="B52" s="103"/>
      <c r="C52" s="29"/>
    </row>
    <row r="53">
      <c r="A53" s="28"/>
      <c r="B53" s="103"/>
      <c r="C53" s="29"/>
    </row>
    <row r="54">
      <c r="A54" s="28"/>
      <c r="B54" s="103"/>
      <c r="C54" s="29"/>
    </row>
    <row r="55" ht="15">
      <c r="A55" s="31"/>
      <c r="B55" s="104"/>
      <c r="C55" s="32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workbookViewId="0" zoomScale="100">
      <selection activeCell="B56" activeCellId="0" sqref="B56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T2A_59</v>
      </c>
      <c r="C4" s="106"/>
    </row>
    <row r="5" ht="28.5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29554</v>
      </c>
      <c r="C6" s="6"/>
    </row>
    <row r="7">
      <c r="A7" s="93" t="s">
        <v>79</v>
      </c>
      <c r="B7" s="110">
        <f>'1A. Antropometrie'!H16</f>
        <v>178.89999999999998</v>
      </c>
      <c r="C7" s="6" t="s">
        <v>43</v>
      </c>
    </row>
    <row r="8" ht="15">
      <c r="A8" s="16" t="s">
        <v>80</v>
      </c>
      <c r="B8" s="110">
        <f>'1A. Antropometrie'!H15</f>
        <v>80.640000000000001</v>
      </c>
      <c r="C8" s="23" t="s">
        <v>41</v>
      </c>
    </row>
    <row r="9" ht="15.6">
      <c r="A9" s="51"/>
      <c r="B9" s="111"/>
      <c r="C9" s="95"/>
    </row>
    <row r="10" ht="15.6">
      <c r="A10" s="4" t="s">
        <v>28</v>
      </c>
      <c r="B10" s="7"/>
      <c r="C10" s="5"/>
    </row>
    <row r="11" ht="15">
      <c r="A11" s="12" t="s">
        <v>29</v>
      </c>
      <c r="B11" s="112">
        <f>'1A. Antropometrie'!B9</f>
        <v>44810</v>
      </c>
      <c r="C11" s="6"/>
    </row>
    <row r="12">
      <c r="A12" s="12" t="s">
        <v>30</v>
      </c>
      <c r="B12" s="109" t="s">
        <v>81</v>
      </c>
      <c r="C12" s="6"/>
    </row>
    <row r="13">
      <c r="A13" s="12" t="s">
        <v>32</v>
      </c>
      <c r="B13" s="113">
        <v>0.40625</v>
      </c>
      <c r="C13" s="6" t="s">
        <v>82</v>
      </c>
    </row>
    <row r="14">
      <c r="A14" s="12" t="s">
        <v>83</v>
      </c>
      <c r="B14" s="20" t="s">
        <v>84</v>
      </c>
      <c r="C14" s="6" t="s">
        <v>85</v>
      </c>
    </row>
    <row r="15">
      <c r="A15" s="12" t="s">
        <v>86</v>
      </c>
      <c r="B15" s="20">
        <v>71</v>
      </c>
      <c r="C15" s="6" t="s">
        <v>69</v>
      </c>
    </row>
    <row r="16">
      <c r="A16" s="6" t="s">
        <v>87</v>
      </c>
      <c r="B16" s="20">
        <v>4</v>
      </c>
      <c r="C16" s="6"/>
    </row>
    <row r="17">
      <c r="A17" s="6" t="s">
        <v>88</v>
      </c>
      <c r="B17" s="20" t="s">
        <v>89</v>
      </c>
      <c r="C17" s="6"/>
    </row>
    <row r="18">
      <c r="A18" s="6" t="s">
        <v>90</v>
      </c>
      <c r="B18" s="20" t="s">
        <v>91</v>
      </c>
      <c r="C18" s="6" t="s">
        <v>92</v>
      </c>
    </row>
    <row r="19" ht="15">
      <c r="A19" s="23" t="s">
        <v>93</v>
      </c>
      <c r="B19" s="22" t="s">
        <v>91</v>
      </c>
      <c r="C19" s="23" t="s">
        <v>94</v>
      </c>
    </row>
    <row r="20" ht="15.6">
      <c r="A20" s="3"/>
      <c r="B20" s="3"/>
      <c r="C20" s="3"/>
      <c r="D20" s="3"/>
    </row>
    <row r="21" ht="15.6">
      <c r="A21" s="4" t="s">
        <v>95</v>
      </c>
      <c r="B21" s="7"/>
      <c r="C21" s="7"/>
      <c r="D21" s="5"/>
    </row>
    <row r="22" ht="15.6">
      <c r="A22" s="114" t="s">
        <v>96</v>
      </c>
      <c r="B22" s="115"/>
      <c r="C22" s="114" t="s">
        <v>97</v>
      </c>
      <c r="D22" s="115"/>
    </row>
    <row r="23" ht="15">
      <c r="A23" s="8" t="s">
        <v>98</v>
      </c>
      <c r="B23" s="6"/>
      <c r="C23" s="8" t="s">
        <v>98</v>
      </c>
      <c r="D23" s="6"/>
    </row>
    <row r="24">
      <c r="A24" s="12" t="s">
        <v>99</v>
      </c>
      <c r="B24" s="6"/>
      <c r="C24" s="12" t="s">
        <v>99</v>
      </c>
      <c r="D24" s="6"/>
    </row>
    <row r="25">
      <c r="A25" s="12" t="s">
        <v>100</v>
      </c>
      <c r="B25" s="6"/>
      <c r="C25" s="12" t="s">
        <v>100</v>
      </c>
      <c r="D25" s="6"/>
    </row>
    <row r="26">
      <c r="A26" s="12" t="s">
        <v>101</v>
      </c>
      <c r="B26" s="6"/>
      <c r="C26" s="12" t="s">
        <v>101</v>
      </c>
      <c r="D26" s="6"/>
    </row>
    <row r="27">
      <c r="A27" s="12" t="s">
        <v>102</v>
      </c>
      <c r="B27" s="6"/>
      <c r="C27" s="12"/>
      <c r="D27" s="6"/>
    </row>
    <row r="28">
      <c r="A28" s="12" t="s">
        <v>103</v>
      </c>
      <c r="B28" s="6"/>
      <c r="C28" s="12" t="s">
        <v>103</v>
      </c>
      <c r="D28" s="6"/>
    </row>
    <row r="29" ht="15">
      <c r="A29" s="21" t="s">
        <v>104</v>
      </c>
      <c r="B29" s="23"/>
      <c r="C29" s="21" t="s">
        <v>105</v>
      </c>
      <c r="D29" s="23"/>
    </row>
    <row r="30" ht="15">
      <c r="A30" s="51"/>
      <c r="B30" s="51"/>
      <c r="C30" s="51"/>
      <c r="D30" s="51"/>
    </row>
    <row r="31" ht="15"/>
    <row r="32" ht="15.6">
      <c r="A32" s="4" t="s">
        <v>106</v>
      </c>
      <c r="B32" s="7"/>
      <c r="C32" s="7"/>
      <c r="D32" s="7"/>
      <c r="E32" s="7"/>
      <c r="F32" s="7"/>
      <c r="G32" s="5"/>
    </row>
    <row r="33" ht="15.6">
      <c r="A33" s="116" t="s">
        <v>107</v>
      </c>
      <c r="B33" s="117" t="s">
        <v>108</v>
      </c>
      <c r="C33" s="117" t="s">
        <v>109</v>
      </c>
      <c r="D33" s="117" t="s">
        <v>110</v>
      </c>
      <c r="E33" s="117" t="s">
        <v>111</v>
      </c>
      <c r="F33" s="118" t="s">
        <v>112</v>
      </c>
      <c r="G33" s="119" t="s">
        <v>113</v>
      </c>
    </row>
    <row r="34" ht="15">
      <c r="A34" s="120">
        <v>0.041666666666666664</v>
      </c>
      <c r="B34" s="49">
        <v>100</v>
      </c>
      <c r="C34" s="49"/>
      <c r="D34" s="49"/>
      <c r="E34" s="49"/>
      <c r="F34" s="121"/>
      <c r="G34" s="6"/>
    </row>
    <row r="35">
      <c r="A35" s="122">
        <v>0.083333333333333329</v>
      </c>
      <c r="B35" s="55">
        <v>100</v>
      </c>
      <c r="C35" s="55">
        <v>1484</v>
      </c>
      <c r="D35" s="55">
        <v>106</v>
      </c>
      <c r="E35" s="55" t="s">
        <v>114</v>
      </c>
      <c r="F35" s="55">
        <v>1</v>
      </c>
      <c r="G35" s="123">
        <v>506</v>
      </c>
    </row>
    <row r="36">
      <c r="A36" s="122">
        <v>0.125</v>
      </c>
      <c r="B36" s="55">
        <v>100</v>
      </c>
      <c r="C36" s="55">
        <v>2184</v>
      </c>
      <c r="D36" s="55">
        <v>109</v>
      </c>
      <c r="E36" s="55" t="s">
        <v>115</v>
      </c>
      <c r="F36" s="55">
        <v>1</v>
      </c>
      <c r="G36" s="123">
        <v>506</v>
      </c>
    </row>
    <row r="37">
      <c r="A37" s="122">
        <v>0.16666666666666666</v>
      </c>
      <c r="B37" s="55">
        <f t="shared" ref="B37:B53" si="5">B36+25</f>
        <v>125</v>
      </c>
      <c r="C37" s="55">
        <v>1546</v>
      </c>
      <c r="D37" s="55">
        <v>114</v>
      </c>
      <c r="E37" s="55" t="s">
        <v>114</v>
      </c>
      <c r="F37" s="55">
        <v>1</v>
      </c>
      <c r="G37" s="6">
        <v>507</v>
      </c>
    </row>
    <row r="38">
      <c r="A38" s="122">
        <v>0.20833333333333334</v>
      </c>
      <c r="B38" s="55">
        <f t="shared" si="5"/>
        <v>150</v>
      </c>
      <c r="C38" s="55">
        <v>2413</v>
      </c>
      <c r="D38" s="55">
        <v>120</v>
      </c>
      <c r="E38" s="55" t="s">
        <v>116</v>
      </c>
      <c r="F38" s="55">
        <v>1</v>
      </c>
      <c r="G38" s="124">
        <v>523</v>
      </c>
    </row>
    <row r="39">
      <c r="A39" s="122">
        <v>0.25</v>
      </c>
      <c r="B39" s="55">
        <f t="shared" si="5"/>
        <v>175</v>
      </c>
      <c r="C39" s="55">
        <v>2716</v>
      </c>
      <c r="D39" s="55">
        <v>128</v>
      </c>
      <c r="E39" s="55" t="s">
        <v>117</v>
      </c>
      <c r="F39" s="55">
        <v>2</v>
      </c>
      <c r="G39" s="123">
        <v>535</v>
      </c>
    </row>
    <row r="40">
      <c r="A40" s="122">
        <v>0.29166666666666669</v>
      </c>
      <c r="B40" s="55">
        <f t="shared" si="5"/>
        <v>200</v>
      </c>
      <c r="C40" s="55">
        <v>2799</v>
      </c>
      <c r="D40" s="55">
        <v>136</v>
      </c>
      <c r="E40" s="55" t="s">
        <v>118</v>
      </c>
      <c r="F40" s="55">
        <v>4</v>
      </c>
      <c r="G40" s="6">
        <v>528</v>
      </c>
    </row>
    <row r="41">
      <c r="A41" s="122">
        <v>0.33333333333333331</v>
      </c>
      <c r="B41" s="55">
        <f t="shared" si="5"/>
        <v>225</v>
      </c>
      <c r="C41" s="55">
        <v>3040</v>
      </c>
      <c r="D41" s="55">
        <v>140</v>
      </c>
      <c r="E41" s="55" t="s">
        <v>119</v>
      </c>
      <c r="F41" s="55">
        <v>4</v>
      </c>
      <c r="G41" s="124">
        <v>534</v>
      </c>
    </row>
    <row r="42">
      <c r="A42" s="122">
        <v>0.375</v>
      </c>
      <c r="B42" s="55">
        <f t="shared" si="5"/>
        <v>250</v>
      </c>
      <c r="C42" s="55">
        <v>3268</v>
      </c>
      <c r="D42" s="55">
        <v>147</v>
      </c>
      <c r="E42" s="55" t="s">
        <v>120</v>
      </c>
      <c r="F42" s="55">
        <v>6</v>
      </c>
      <c r="G42" s="123">
        <v>559</v>
      </c>
    </row>
    <row r="43">
      <c r="A43" s="122">
        <v>0.41666666666666669</v>
      </c>
      <c r="B43" s="55">
        <f t="shared" si="5"/>
        <v>275</v>
      </c>
      <c r="C43" s="55">
        <v>3500</v>
      </c>
      <c r="D43" s="55">
        <v>153</v>
      </c>
      <c r="E43" s="55" t="s">
        <v>121</v>
      </c>
      <c r="F43" s="55">
        <v>7</v>
      </c>
      <c r="G43" s="6">
        <v>568</v>
      </c>
      <c r="K43" s="125"/>
    </row>
    <row r="44">
      <c r="A44" s="122">
        <v>0.45833333333333331</v>
      </c>
      <c r="B44" s="55">
        <f t="shared" si="5"/>
        <v>300</v>
      </c>
      <c r="C44" s="55">
        <v>3894</v>
      </c>
      <c r="D44" s="55">
        <v>157</v>
      </c>
      <c r="E44" s="55" t="s">
        <v>122</v>
      </c>
      <c r="F44" s="55">
        <v>10</v>
      </c>
      <c r="G44" s="124">
        <v>592</v>
      </c>
    </row>
    <row r="45">
      <c r="A45" s="122">
        <v>0.5</v>
      </c>
      <c r="B45" s="55">
        <f t="shared" si="5"/>
        <v>325</v>
      </c>
      <c r="C45" s="55">
        <v>4000</v>
      </c>
      <c r="D45" s="55">
        <v>163</v>
      </c>
      <c r="E45" s="55" t="s">
        <v>123</v>
      </c>
      <c r="F45" s="55">
        <v>10</v>
      </c>
      <c r="G45" s="124">
        <v>592</v>
      </c>
    </row>
    <row r="46">
      <c r="A46" s="122">
        <v>0.54166666666666663</v>
      </c>
      <c r="B46" s="55">
        <f t="shared" si="5"/>
        <v>350</v>
      </c>
      <c r="C46" s="55"/>
      <c r="D46" s="55"/>
      <c r="E46" s="55"/>
      <c r="F46" s="55"/>
      <c r="G46" s="123"/>
    </row>
    <row r="47">
      <c r="A47" s="122">
        <v>0.58333333333333337</v>
      </c>
      <c r="B47" s="55">
        <f t="shared" si="5"/>
        <v>375</v>
      </c>
      <c r="C47" s="55"/>
      <c r="D47" s="55"/>
      <c r="E47" s="55"/>
      <c r="F47" s="55"/>
      <c r="G47" s="123"/>
    </row>
    <row r="48">
      <c r="A48" s="120">
        <v>0.625</v>
      </c>
      <c r="B48" s="55">
        <f t="shared" si="5"/>
        <v>400</v>
      </c>
      <c r="C48" s="49"/>
      <c r="D48" s="49"/>
      <c r="E48" s="49"/>
      <c r="F48" s="49"/>
      <c r="G48" s="123"/>
    </row>
    <row r="49">
      <c r="A49" s="122">
        <v>0.66666666666666663</v>
      </c>
      <c r="B49" s="55">
        <f t="shared" si="5"/>
        <v>425</v>
      </c>
      <c r="C49" s="55"/>
      <c r="D49" s="55"/>
      <c r="E49" s="55"/>
      <c r="F49" s="55"/>
      <c r="G49" s="123"/>
    </row>
    <row r="50">
      <c r="A50" s="122">
        <v>0.70833333333333337</v>
      </c>
      <c r="B50" s="55">
        <f t="shared" si="5"/>
        <v>450</v>
      </c>
      <c r="C50" s="126"/>
      <c r="D50" s="55"/>
      <c r="E50" s="55"/>
      <c r="F50" s="55"/>
      <c r="G50" s="127"/>
      <c r="H50" s="93"/>
    </row>
    <row r="51">
      <c r="A51" s="120">
        <v>0.75</v>
      </c>
      <c r="B51" s="55">
        <f t="shared" si="5"/>
        <v>475</v>
      </c>
      <c r="C51" s="128"/>
      <c r="D51" s="49"/>
      <c r="E51" s="49"/>
      <c r="F51" s="49"/>
      <c r="G51" s="127"/>
    </row>
    <row r="52">
      <c r="A52" s="120">
        <v>0.79166666666666663</v>
      </c>
      <c r="B52" s="55">
        <f t="shared" si="5"/>
        <v>500</v>
      </c>
      <c r="C52" s="128"/>
      <c r="D52" s="49"/>
      <c r="E52" s="49"/>
      <c r="F52" s="49"/>
      <c r="G52" s="127"/>
      <c r="H52" s="93"/>
    </row>
    <row r="53" ht="15">
      <c r="A53" s="129">
        <v>0.83333333333333337</v>
      </c>
      <c r="B53" s="130">
        <f t="shared" si="5"/>
        <v>525</v>
      </c>
      <c r="C53" s="131"/>
      <c r="D53" s="132"/>
      <c r="E53" s="132"/>
      <c r="F53" s="132"/>
      <c r="G53" s="3"/>
      <c r="H53" s="93"/>
    </row>
    <row r="54" ht="15.6">
      <c r="A54" s="133"/>
      <c r="B54" s="51"/>
      <c r="C54" s="51"/>
      <c r="D54" s="19"/>
      <c r="E54" s="51"/>
      <c r="F54" s="19"/>
      <c r="G54" s="51"/>
    </row>
    <row r="55" ht="15.6">
      <c r="A55" s="4" t="s">
        <v>124</v>
      </c>
      <c r="B55" s="7"/>
      <c r="C55" s="5"/>
      <c r="D55" s="51"/>
      <c r="E55" s="51"/>
      <c r="F55" s="51"/>
      <c r="G55" s="51"/>
    </row>
    <row r="56" ht="15.6">
      <c r="A56" s="94" t="s">
        <v>125</v>
      </c>
      <c r="B56" s="134">
        <v>4168</v>
      </c>
      <c r="C56" s="96" t="s">
        <v>126</v>
      </c>
      <c r="D56" s="51"/>
      <c r="E56" s="51"/>
      <c r="F56" s="51"/>
      <c r="G56" s="51"/>
    </row>
    <row r="57" ht="15.6">
      <c r="A57" s="135" t="s">
        <v>127</v>
      </c>
      <c r="B57" s="136">
        <f>B56/B8</f>
        <v>51.686507936507937</v>
      </c>
      <c r="C57" s="96" t="s">
        <v>128</v>
      </c>
      <c r="E57" s="51"/>
      <c r="F57" s="51"/>
      <c r="G57" s="51"/>
    </row>
    <row r="58" ht="15.6">
      <c r="A58" s="137"/>
      <c r="B58" s="3"/>
      <c r="C58" s="95"/>
      <c r="D58" s="51"/>
      <c r="E58" s="51"/>
      <c r="F58" s="51"/>
    </row>
    <row r="59" ht="15.6">
      <c r="A59" s="4" t="s">
        <v>75</v>
      </c>
      <c r="B59" s="7"/>
      <c r="C59" s="5"/>
      <c r="D59" s="51"/>
      <c r="E59" s="51"/>
      <c r="F59" s="51"/>
    </row>
    <row r="60" ht="15">
      <c r="A60" s="12" t="s">
        <v>129</v>
      </c>
      <c r="B60" s="11" t="str">
        <f>B4&amp;"_VO2max_PRE_STEP"</f>
        <v>T2A_59_VO2max_PRE_STEP</v>
      </c>
      <c r="C60" s="6" t="s">
        <v>130</v>
      </c>
      <c r="D60" s="51"/>
      <c r="E60" s="51"/>
      <c r="F60" s="51"/>
    </row>
    <row r="61" ht="15">
      <c r="A61" s="21" t="s">
        <v>129</v>
      </c>
      <c r="B61" s="138" t="str">
        <f>B60&amp;"10sec"</f>
        <v>T2A_59_VO2max_PRE_STEP10sec</v>
      </c>
      <c r="C61" s="23" t="s">
        <v>131</v>
      </c>
      <c r="D61" s="51"/>
      <c r="E61" s="51"/>
      <c r="F61" s="51"/>
    </row>
    <row r="62" ht="15.6"/>
    <row r="63" ht="15.6">
      <c r="A63" s="4" t="s">
        <v>77</v>
      </c>
      <c r="B63" s="7"/>
      <c r="C63" s="5"/>
    </row>
    <row r="64" ht="15">
      <c r="A64" s="25" t="s">
        <v>132</v>
      </c>
      <c r="B64" s="102"/>
      <c r="C64" s="26"/>
      <c r="D64" s="51"/>
    </row>
    <row r="65">
      <c r="A65" s="28"/>
      <c r="B65" s="103"/>
      <c r="C65" s="29"/>
      <c r="D65" s="51"/>
    </row>
    <row r="66">
      <c r="A66" s="28"/>
      <c r="B66" s="103"/>
      <c r="C66" s="29"/>
    </row>
    <row r="67">
      <c r="A67" s="28"/>
      <c r="B67" s="103"/>
      <c r="C67" s="29"/>
    </row>
    <row r="68" ht="15">
      <c r="A68" s="31"/>
      <c r="B68" s="104"/>
      <c r="C68" s="32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14" activeCellId="0" sqref="B14"/>
    </sheetView>
  </sheetViews>
  <sheetFormatPr defaultRowHeight="14.25"/>
  <cols>
    <col bestFit="1" customWidth="1" min="1" max="1" width="26"/>
    <col customWidth="1" min="2" max="2" width="25.77734375"/>
  </cols>
  <sheetData>
    <row r="1" ht="20.25">
      <c r="A1" s="1" t="s">
        <v>133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T2A_59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29554</v>
      </c>
    </row>
    <row r="7" ht="15.6"/>
    <row r="8" ht="15.6">
      <c r="A8" s="4" t="s">
        <v>28</v>
      </c>
      <c r="B8" s="5"/>
    </row>
    <row r="9" ht="15">
      <c r="A9" s="12" t="s">
        <v>29</v>
      </c>
      <c r="B9" s="15">
        <v>44812</v>
      </c>
    </row>
    <row r="10">
      <c r="A10" s="12" t="s">
        <v>30</v>
      </c>
      <c r="B10" s="15" t="s">
        <v>81</v>
      </c>
    </row>
    <row r="11">
      <c r="A11" s="12" t="s">
        <v>32</v>
      </c>
      <c r="B11" s="139">
        <v>0.375</v>
      </c>
    </row>
    <row r="12">
      <c r="A12" s="12" t="s">
        <v>134</v>
      </c>
      <c r="B12" s="139" t="s">
        <v>135</v>
      </c>
      <c r="C12" t="s">
        <v>43</v>
      </c>
    </row>
    <row r="13" ht="15">
      <c r="A13" s="21" t="s">
        <v>136</v>
      </c>
      <c r="B13" s="140">
        <v>8</v>
      </c>
      <c r="C13" s="93" t="s">
        <v>43</v>
      </c>
    </row>
    <row r="14" ht="15.6">
      <c r="A14" s="95"/>
      <c r="B14" s="95"/>
    </row>
    <row r="15" ht="15.6">
      <c r="A15" s="4" t="s">
        <v>75</v>
      </c>
      <c r="B15" s="5"/>
    </row>
    <row r="16" ht="15">
      <c r="A16" s="12" t="s">
        <v>137</v>
      </c>
      <c r="B16" s="9" t="str">
        <f>B4&amp;"_PRE_3D_scan1"</f>
        <v>T2A_59_PRE_3D_scan1</v>
      </c>
    </row>
    <row r="17">
      <c r="A17" s="12" t="s">
        <v>138</v>
      </c>
      <c r="B17" s="9" t="str">
        <f>B4&amp;"_PRE_3D_scan2"</f>
        <v>T2A_59_PRE_3D_scan2</v>
      </c>
    </row>
    <row r="18" ht="15">
      <c r="A18" s="21" t="s">
        <v>139</v>
      </c>
      <c r="B18" s="141" t="str">
        <f>B4&amp;"_PRE_3D_botpunten"</f>
        <v>T2A_59_PRE_3D_botpunten</v>
      </c>
      <c r="C18" s="51"/>
    </row>
    <row r="19" ht="15.6">
      <c r="A19" s="19"/>
      <c r="B19" s="19"/>
      <c r="C19" s="51"/>
      <c r="D19" s="51"/>
      <c r="E19" s="51"/>
      <c r="F19" s="51"/>
      <c r="G19" s="51"/>
    </row>
    <row r="20" ht="15.6">
      <c r="A20" s="4" t="s">
        <v>77</v>
      </c>
      <c r="B20" s="7"/>
      <c r="C20" s="5"/>
    </row>
    <row r="21" ht="15">
      <c r="A21" s="25"/>
      <c r="B21" s="102"/>
      <c r="C21" s="26"/>
    </row>
    <row r="22">
      <c r="A22" s="28"/>
      <c r="B22" s="103"/>
      <c r="C22" s="29"/>
    </row>
    <row r="23">
      <c r="A23" s="28"/>
      <c r="B23" s="103"/>
      <c r="C23" s="29"/>
    </row>
    <row r="24">
      <c r="A24" s="28"/>
      <c r="B24" s="103"/>
      <c r="C24" s="29"/>
    </row>
    <row r="25" ht="15">
      <c r="A25" s="31"/>
      <c r="B25" s="104"/>
      <c r="C25" s="32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workbookViewId="0" zoomScale="100">
      <selection activeCell="F50" activeCellId="0" sqref="F50"/>
    </sheetView>
  </sheetViews>
  <sheetFormatPr defaultRowHeight="14.25"/>
  <cols>
    <col bestFit="1" customWidth="1" min="1" max="1" width="26"/>
    <col bestFit="1" customWidth="1" min="2" max="2" width="11.77734375"/>
    <col bestFit="1" customWidth="1" min="3" max="3" width="11"/>
    <col bestFit="1" customWidth="1" min="4" max="4" width="10.5546875"/>
  </cols>
  <sheetData>
    <row r="1" ht="20.25">
      <c r="A1" s="1" t="s">
        <v>140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T2A_59</v>
      </c>
      <c r="C4" s="106"/>
    </row>
    <row r="5">
      <c r="A5" s="12" t="s">
        <v>8</v>
      </c>
      <c r="B5" s="142">
        <f>'Algemene informatie'!B5</f>
        <v>1</v>
      </c>
      <c r="C5" s="6"/>
    </row>
    <row r="6">
      <c r="A6" s="12" t="s">
        <v>11</v>
      </c>
      <c r="B6" s="109">
        <f>'Algemene informatie'!B6</f>
        <v>29554</v>
      </c>
      <c r="C6" s="6"/>
    </row>
    <row r="7">
      <c r="A7" s="12" t="s">
        <v>80</v>
      </c>
      <c r="B7" s="20">
        <f>'1A. Antropometrie'!H15</f>
        <v>80.640000000000001</v>
      </c>
      <c r="C7" s="6" t="s">
        <v>41</v>
      </c>
    </row>
    <row r="8" ht="15">
      <c r="A8" s="21" t="s">
        <v>79</v>
      </c>
      <c r="B8" s="22">
        <f>'1A. Antropometrie'!H16</f>
        <v>178.89999999999998</v>
      </c>
      <c r="C8" s="23" t="s">
        <v>43</v>
      </c>
    </row>
    <row r="9" ht="15.6">
      <c r="C9" s="3"/>
      <c r="L9" s="143"/>
    </row>
    <row r="10" ht="15.6">
      <c r="A10" s="4" t="s">
        <v>28</v>
      </c>
      <c r="B10" s="7"/>
      <c r="C10" s="5"/>
    </row>
    <row r="11" ht="15">
      <c r="A11" s="12" t="s">
        <v>29</v>
      </c>
      <c r="B11" s="112">
        <f>'2A. 3D US'!B9</f>
        <v>44812</v>
      </c>
      <c r="C11" s="6"/>
    </row>
    <row r="12">
      <c r="A12" s="12" t="s">
        <v>30</v>
      </c>
      <c r="B12" s="109" t="s">
        <v>31</v>
      </c>
      <c r="C12" s="6"/>
    </row>
    <row r="13">
      <c r="A13" s="12" t="s">
        <v>32</v>
      </c>
      <c r="B13" s="113">
        <v>0.39583333333333331</v>
      </c>
      <c r="C13" s="6"/>
    </row>
    <row r="14">
      <c r="A14" s="12" t="s">
        <v>83</v>
      </c>
      <c r="B14" s="20">
        <v>19.100000000000001</v>
      </c>
      <c r="C14" s="6" t="s">
        <v>85</v>
      </c>
    </row>
    <row r="15">
      <c r="A15" s="12" t="s">
        <v>86</v>
      </c>
      <c r="B15" s="20">
        <v>73</v>
      </c>
      <c r="C15" s="6" t="s">
        <v>69</v>
      </c>
    </row>
    <row r="16">
      <c r="A16" s="12" t="s">
        <v>88</v>
      </c>
      <c r="B16" s="11" t="str">
        <f>'1B. VO2max'!B17</f>
        <v xml:space="preserve">Look wit</v>
      </c>
      <c r="C16" s="6"/>
    </row>
    <row r="17">
      <c r="A17" s="12" t="s">
        <v>141</v>
      </c>
      <c r="B17" s="11">
        <v>10</v>
      </c>
      <c r="C17" s="6"/>
    </row>
    <row r="18">
      <c r="A18" s="12" t="s">
        <v>142</v>
      </c>
      <c r="B18" s="11" t="s">
        <v>143</v>
      </c>
      <c r="C18" s="6"/>
    </row>
    <row r="19">
      <c r="A19" s="12" t="s">
        <v>144</v>
      </c>
      <c r="B19" s="11" t="s">
        <v>145</v>
      </c>
      <c r="C19" s="6"/>
    </row>
    <row r="20" ht="15">
      <c r="A20" s="21" t="s">
        <v>146</v>
      </c>
      <c r="B20" s="144">
        <f>0.075*B7</f>
        <v>6.048</v>
      </c>
      <c r="C20" s="23" t="s">
        <v>41</v>
      </c>
      <c r="D20" s="145" t="s">
        <v>147</v>
      </c>
      <c r="E20" s="67"/>
      <c r="F20" s="67"/>
      <c r="G20" s="67"/>
    </row>
    <row r="21" ht="15.6">
      <c r="A21" s="95"/>
      <c r="B21" s="95"/>
      <c r="C21" s="95"/>
    </row>
    <row r="22" ht="15.6">
      <c r="A22" s="4" t="s">
        <v>148</v>
      </c>
      <c r="B22" s="7"/>
      <c r="C22" s="5"/>
      <c r="D22" s="93"/>
      <c r="E22" s="51"/>
      <c r="F22" s="51"/>
    </row>
    <row r="23" ht="15.6">
      <c r="A23" s="134" t="s">
        <v>149</v>
      </c>
      <c r="B23" s="146" t="s">
        <v>150</v>
      </c>
      <c r="C23" s="146" t="s">
        <v>151</v>
      </c>
      <c r="D23" s="93"/>
    </row>
    <row r="24" ht="15">
      <c r="A24" s="147" t="s">
        <v>152</v>
      </c>
      <c r="B24" s="148" t="s">
        <v>153</v>
      </c>
      <c r="C24" s="149" t="s">
        <v>154</v>
      </c>
    </row>
    <row r="25">
      <c r="A25" s="150" t="s">
        <v>155</v>
      </c>
      <c r="B25" s="151"/>
      <c r="C25" s="152" t="s">
        <v>156</v>
      </c>
    </row>
    <row r="26">
      <c r="A26" s="150" t="s">
        <v>157</v>
      </c>
      <c r="B26" s="151"/>
      <c r="C26" s="152" t="s">
        <v>158</v>
      </c>
    </row>
    <row r="27">
      <c r="A27" s="150" t="s">
        <v>159</v>
      </c>
      <c r="B27" s="151"/>
      <c r="C27" s="152" t="s">
        <v>160</v>
      </c>
    </row>
    <row r="28">
      <c r="A28" s="153" t="s">
        <v>161</v>
      </c>
      <c r="B28" s="154"/>
      <c r="C28" s="152" t="s">
        <v>162</v>
      </c>
    </row>
    <row r="29">
      <c r="A29" s="153" t="s">
        <v>163</v>
      </c>
      <c r="B29" s="155">
        <v>0.074999999999999997</v>
      </c>
      <c r="C29" s="152" t="s">
        <v>164</v>
      </c>
    </row>
    <row r="30" ht="15">
      <c r="A30" s="156" t="s">
        <v>165</v>
      </c>
      <c r="B30" s="157" t="s">
        <v>153</v>
      </c>
      <c r="C30" s="158" t="s">
        <v>166</v>
      </c>
    </row>
    <row r="31" ht="15.6">
      <c r="A31" s="51"/>
      <c r="B31" s="159"/>
      <c r="C31" s="51"/>
    </row>
    <row r="32" ht="15.6">
      <c r="A32" s="4" t="s">
        <v>124</v>
      </c>
      <c r="B32" s="7"/>
      <c r="C32" s="5"/>
    </row>
    <row r="33" ht="15.6">
      <c r="A33" s="135" t="s">
        <v>167</v>
      </c>
      <c r="B33" s="160">
        <v>1002.87</v>
      </c>
      <c r="C33" s="51" t="s">
        <v>168</v>
      </c>
      <c r="D33" s="93"/>
    </row>
    <row r="34" ht="15.6">
      <c r="A34" s="19" t="s">
        <v>169</v>
      </c>
      <c r="B34" s="160">
        <v>12.380000000000001</v>
      </c>
      <c r="C34" s="96" t="s">
        <v>170</v>
      </c>
      <c r="D34" s="93"/>
    </row>
    <row r="35" ht="15.6">
      <c r="A35" s="95"/>
      <c r="B35" s="95"/>
      <c r="C35" s="95"/>
    </row>
    <row r="36" ht="15.6">
      <c r="A36" s="4" t="s">
        <v>75</v>
      </c>
      <c r="B36" s="7"/>
      <c r="C36" s="5"/>
    </row>
    <row r="37" ht="15.6">
      <c r="A37" s="21" t="s">
        <v>171</v>
      </c>
      <c r="B37" s="134" t="str">
        <f>B4&amp;"_PRE_Wingate"</f>
        <v>T2A_59_PRE_Wingate</v>
      </c>
      <c r="C37" s="161"/>
      <c r="D37" s="93"/>
    </row>
    <row r="38" ht="15">
      <c r="C38" s="51"/>
    </row>
    <row r="39" ht="15.6">
      <c r="A39" s="4" t="s">
        <v>77</v>
      </c>
      <c r="B39" s="7"/>
      <c r="C39" s="5"/>
    </row>
    <row r="40" ht="15">
      <c r="A40" s="25" t="s">
        <v>172</v>
      </c>
      <c r="B40" s="102"/>
      <c r="C40" s="26"/>
    </row>
    <row r="41">
      <c r="A41" s="28"/>
      <c r="B41" s="103"/>
      <c r="C41" s="29"/>
    </row>
    <row r="42">
      <c r="A42" s="28"/>
      <c r="B42" s="103"/>
      <c r="C42" s="29"/>
    </row>
    <row r="43">
      <c r="A43" s="28"/>
      <c r="B43" s="103"/>
      <c r="C43" s="29"/>
    </row>
    <row r="44" ht="15">
      <c r="A44" s="31"/>
      <c r="B44" s="104"/>
      <c r="C44" s="32"/>
    </row>
    <row r="45" ht="15"/>
    <row r="47">
      <c r="A47" s="51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workbookViewId="0" zoomScale="100">
      <selection activeCell="A32" activeCellId="0" sqref="A32:C36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173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T2A_59</v>
      </c>
      <c r="C4" s="106"/>
    </row>
    <row r="5">
      <c r="A5" s="12" t="s">
        <v>8</v>
      </c>
      <c r="B5" s="142">
        <f>'Algemene informatie'!B5</f>
        <v>1</v>
      </c>
      <c r="C5" s="6"/>
    </row>
    <row r="6">
      <c r="A6" s="12" t="s">
        <v>11</v>
      </c>
      <c r="B6" s="109">
        <f>'Algemene informatie'!B6</f>
        <v>29554</v>
      </c>
      <c r="C6" s="6"/>
    </row>
    <row r="7">
      <c r="A7" s="12" t="s">
        <v>80</v>
      </c>
      <c r="B7" s="20">
        <f>'1A. Antropometrie'!H15</f>
        <v>80.640000000000001</v>
      </c>
      <c r="C7" s="6" t="s">
        <v>41</v>
      </c>
    </row>
    <row r="8" ht="15">
      <c r="A8" s="21" t="s">
        <v>79</v>
      </c>
      <c r="B8" s="22">
        <f>'1A. Antropometrie'!H16</f>
        <v>178.89999999999998</v>
      </c>
      <c r="C8" s="23" t="s">
        <v>43</v>
      </c>
    </row>
    <row r="9" ht="15.6">
      <c r="C9" s="3"/>
    </row>
    <row r="10" ht="15.6">
      <c r="A10" s="4" t="s">
        <v>28</v>
      </c>
      <c r="B10" s="7"/>
      <c r="C10" s="5"/>
    </row>
    <row r="11" ht="15">
      <c r="A11" s="12" t="s">
        <v>29</v>
      </c>
      <c r="B11" s="112">
        <v>44814</v>
      </c>
      <c r="C11" s="6"/>
    </row>
    <row r="12">
      <c r="A12" s="12" t="s">
        <v>30</v>
      </c>
      <c r="B12" s="109" t="s">
        <v>81</v>
      </c>
      <c r="C12" s="6"/>
    </row>
    <row r="13" ht="15">
      <c r="A13" s="12" t="s">
        <v>32</v>
      </c>
      <c r="B13" s="162">
        <v>0.40625</v>
      </c>
      <c r="C13" s="23" t="s">
        <v>82</v>
      </c>
    </row>
    <row r="14" ht="15.6">
      <c r="A14" s="19"/>
      <c r="B14" s="163"/>
      <c r="C14" s="51"/>
    </row>
    <row r="15" ht="15.6">
      <c r="A15" s="4" t="s">
        <v>174</v>
      </c>
      <c r="B15" s="7"/>
      <c r="C15" s="5"/>
    </row>
    <row r="16" ht="15">
      <c r="A16" s="12" t="s">
        <v>175</v>
      </c>
      <c r="B16" s="164">
        <v>5</v>
      </c>
      <c r="C16" s="6"/>
    </row>
    <row r="17">
      <c r="A17" s="165" t="s">
        <v>176</v>
      </c>
      <c r="B17" s="110"/>
      <c r="C17" s="6" t="s">
        <v>43</v>
      </c>
    </row>
    <row r="18">
      <c r="A18" s="165" t="s">
        <v>177</v>
      </c>
      <c r="B18" s="110"/>
      <c r="C18" s="6" t="s">
        <v>43</v>
      </c>
    </row>
    <row r="19">
      <c r="A19" s="165" t="s">
        <v>178</v>
      </c>
      <c r="B19" s="110"/>
      <c r="C19" s="6" t="s">
        <v>43</v>
      </c>
    </row>
    <row r="20">
      <c r="A20" s="165" t="s">
        <v>179</v>
      </c>
      <c r="B20" s="110"/>
      <c r="C20" s="6" t="s">
        <v>43</v>
      </c>
      <c r="I20" t="s">
        <v>180</v>
      </c>
    </row>
    <row r="21">
      <c r="A21" s="165" t="s">
        <v>181</v>
      </c>
      <c r="B21" s="110"/>
      <c r="C21" s="6" t="s">
        <v>43</v>
      </c>
    </row>
    <row r="22" ht="15">
      <c r="A22" s="12" t="s">
        <v>182</v>
      </c>
      <c r="B22" s="166">
        <f>MAX(B17:B21)</f>
        <v>0</v>
      </c>
      <c r="C22" s="23" t="s">
        <v>43</v>
      </c>
    </row>
    <row r="23" ht="15.6">
      <c r="A23" s="95"/>
    </row>
    <row r="24" ht="15.6">
      <c r="A24" s="4" t="s">
        <v>75</v>
      </c>
      <c r="B24" s="5"/>
      <c r="C24" s="93"/>
    </row>
    <row r="25" ht="15">
      <c r="A25" s="8" t="s">
        <v>183</v>
      </c>
      <c r="B25" s="11" t="s">
        <v>184</v>
      </c>
      <c r="C25" s="93" t="s">
        <v>185</v>
      </c>
      <c r="D25" s="67" t="s">
        <v>186</v>
      </c>
      <c r="E25" s="67"/>
      <c r="F25" s="67"/>
      <c r="G25" s="67"/>
      <c r="H25" s="67"/>
      <c r="I25" s="67"/>
      <c r="J25" s="67"/>
      <c r="K25" s="67"/>
      <c r="L25" s="67"/>
    </row>
    <row r="26">
      <c r="A26" s="12" t="s">
        <v>183</v>
      </c>
      <c r="B26" s="100" t="str">
        <f>B4&amp;"_PRE_Leftfoot.DAT"</f>
        <v>T2A_59_PRE_Leftfoot.DAT</v>
      </c>
      <c r="C26" s="93"/>
      <c r="D26" s="67" t="s">
        <v>186</v>
      </c>
      <c r="E26" s="67"/>
      <c r="F26" s="67"/>
      <c r="G26" s="67"/>
      <c r="H26" s="67"/>
      <c r="I26" s="67"/>
      <c r="J26" s="67"/>
      <c r="K26" s="67"/>
      <c r="L26" s="67"/>
    </row>
    <row r="27">
      <c r="A27" s="12" t="s">
        <v>187</v>
      </c>
      <c r="B27" s="100" t="s">
        <v>188</v>
      </c>
      <c r="C27" s="51" t="s">
        <v>185</v>
      </c>
      <c r="D27" s="51"/>
    </row>
    <row r="28">
      <c r="A28" s="12" t="s">
        <v>187</v>
      </c>
      <c r="B28" s="100" t="str">
        <f>B4&amp;"_PRE_Rightfoot.DAT"</f>
        <v>T2A_59_PRE_Rightfoot.DAT</v>
      </c>
      <c r="E28" s="51"/>
    </row>
    <row r="29" ht="15">
      <c r="A29" s="21" t="s">
        <v>189</v>
      </c>
      <c r="B29" s="11" t="str">
        <f>B4&amp;"_PRE_Sprong"</f>
        <v>T2A_59_PRE_Sprong</v>
      </c>
      <c r="C29" s="93"/>
    </row>
    <row r="30" ht="15.6">
      <c r="A30" s="95"/>
      <c r="B30" s="95"/>
    </row>
    <row r="31" ht="15.6">
      <c r="A31" s="4" t="s">
        <v>77</v>
      </c>
      <c r="B31" s="7"/>
      <c r="C31" s="5"/>
    </row>
    <row r="32" ht="15">
      <c r="A32" s="25"/>
      <c r="B32" s="102"/>
      <c r="C32" s="26"/>
    </row>
    <row r="33">
      <c r="A33" s="28"/>
      <c r="B33" s="103"/>
      <c r="C33" s="29"/>
    </row>
    <row r="34">
      <c r="A34" s="28"/>
      <c r="B34" s="103"/>
      <c r="C34" s="29"/>
    </row>
    <row r="35">
      <c r="A35" s="28"/>
      <c r="B35" s="103"/>
      <c r="C35" s="29"/>
    </row>
    <row r="36" ht="15">
      <c r="A36" s="31"/>
      <c r="B36" s="104"/>
      <c r="C36" s="32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workbookViewId="0" zoomScale="100">
      <selection activeCell="J48" activeCellId="0" sqref="J48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190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T2A_59</v>
      </c>
      <c r="C4" s="106"/>
    </row>
    <row r="5" ht="57.600000000000001" customHeight="1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29554</v>
      </c>
      <c r="C6" s="6"/>
    </row>
    <row r="7">
      <c r="A7" s="93" t="s">
        <v>79</v>
      </c>
      <c r="B7" s="110">
        <f>'1A. Antropometrie'!H16</f>
        <v>178.89999999999998</v>
      </c>
      <c r="C7" s="6" t="s">
        <v>43</v>
      </c>
    </row>
    <row r="8" ht="15">
      <c r="A8" s="16" t="s">
        <v>80</v>
      </c>
      <c r="B8" s="110">
        <f>'1A. Antropometrie'!H15</f>
        <v>80.640000000000001</v>
      </c>
      <c r="C8" s="23" t="s">
        <v>41</v>
      </c>
    </row>
    <row r="9" ht="15.6">
      <c r="A9" s="51"/>
      <c r="B9" s="111"/>
      <c r="C9" s="95"/>
    </row>
    <row r="10" ht="15.6">
      <c r="A10" s="4" t="s">
        <v>28</v>
      </c>
      <c r="B10" s="7"/>
      <c r="C10" s="5"/>
    </row>
    <row r="11" ht="15">
      <c r="A11" s="12" t="s">
        <v>29</v>
      </c>
      <c r="B11" s="112">
        <f>'3A. Jump test'!B11</f>
        <v>44814</v>
      </c>
      <c r="C11" s="6"/>
    </row>
    <row r="12">
      <c r="A12" s="12" t="s">
        <v>30</v>
      </c>
      <c r="B12" s="109" t="s">
        <v>31</v>
      </c>
      <c r="C12" s="6"/>
    </row>
    <row r="13">
      <c r="A13" s="12" t="s">
        <v>32</v>
      </c>
      <c r="B13" s="113">
        <v>0.42708333333333331</v>
      </c>
      <c r="C13" s="6" t="s">
        <v>82</v>
      </c>
    </row>
    <row r="14">
      <c r="A14" s="12" t="s">
        <v>83</v>
      </c>
      <c r="B14" s="20">
        <v>19.600000000000001</v>
      </c>
      <c r="C14" s="6" t="s">
        <v>85</v>
      </c>
    </row>
    <row r="15">
      <c r="A15" s="12" t="s">
        <v>86</v>
      </c>
      <c r="B15" s="20">
        <v>68</v>
      </c>
      <c r="C15" s="6" t="s">
        <v>69</v>
      </c>
    </row>
    <row r="16">
      <c r="A16" s="6" t="s">
        <v>87</v>
      </c>
      <c r="B16" s="20">
        <f>'1B. VO2max'!B16</f>
        <v>4</v>
      </c>
      <c r="C16" s="6"/>
    </row>
    <row r="17">
      <c r="A17" s="6" t="s">
        <v>88</v>
      </c>
      <c r="B17" s="20" t="str">
        <f>'1B. VO2max'!B17</f>
        <v xml:space="preserve">Look wit</v>
      </c>
      <c r="C17" s="6"/>
    </row>
    <row r="18">
      <c r="A18" s="6" t="s">
        <v>90</v>
      </c>
      <c r="B18" s="20" t="str">
        <f>'1B. VO2max'!B18</f>
        <v>M</v>
      </c>
      <c r="C18" s="6" t="s">
        <v>92</v>
      </c>
    </row>
    <row r="19" ht="15">
      <c r="A19" s="23" t="s">
        <v>93</v>
      </c>
      <c r="B19" s="22" t="str">
        <f>'1B. VO2max'!B19</f>
        <v>M</v>
      </c>
      <c r="C19" s="23" t="s">
        <v>94</v>
      </c>
    </row>
    <row r="20" ht="15.6">
      <c r="A20" s="3"/>
      <c r="B20" s="3"/>
      <c r="C20" s="3"/>
      <c r="D20" s="3"/>
    </row>
    <row r="21" ht="15.6">
      <c r="A21" s="4" t="s">
        <v>95</v>
      </c>
      <c r="B21" s="7"/>
      <c r="C21" s="7"/>
      <c r="D21" s="5"/>
    </row>
    <row r="22" ht="15.6">
      <c r="A22" s="114" t="s">
        <v>96</v>
      </c>
      <c r="B22" s="115"/>
      <c r="C22" s="114" t="s">
        <v>97</v>
      </c>
      <c r="D22" s="115"/>
    </row>
    <row r="23" ht="15">
      <c r="A23" s="8" t="s">
        <v>98</v>
      </c>
      <c r="B23" s="6"/>
      <c r="C23" s="8" t="s">
        <v>98</v>
      </c>
      <c r="D23" s="6"/>
    </row>
    <row r="24">
      <c r="A24" s="12" t="s">
        <v>99</v>
      </c>
      <c r="B24" s="6"/>
      <c r="C24" s="12" t="s">
        <v>99</v>
      </c>
      <c r="D24" s="6"/>
    </row>
    <row r="25">
      <c r="A25" s="12" t="s">
        <v>100</v>
      </c>
      <c r="B25" s="6"/>
      <c r="C25" s="12" t="s">
        <v>100</v>
      </c>
      <c r="D25" s="6"/>
    </row>
    <row r="26">
      <c r="A26" s="12" t="s">
        <v>101</v>
      </c>
      <c r="B26" s="6"/>
      <c r="C26" s="12" t="s">
        <v>101</v>
      </c>
      <c r="D26" s="6"/>
    </row>
    <row r="27">
      <c r="A27" s="12" t="s">
        <v>102</v>
      </c>
      <c r="B27" s="6"/>
      <c r="C27" s="12"/>
      <c r="D27" s="6"/>
    </row>
    <row r="28">
      <c r="A28" s="12" t="s">
        <v>103</v>
      </c>
      <c r="B28" s="6"/>
      <c r="C28" s="12" t="s">
        <v>103</v>
      </c>
      <c r="D28" s="6"/>
    </row>
    <row r="29" ht="15">
      <c r="A29" s="21" t="s">
        <v>104</v>
      </c>
      <c r="B29" s="23"/>
      <c r="C29" s="21" t="s">
        <v>105</v>
      </c>
      <c r="D29" s="23"/>
    </row>
    <row r="30" ht="15.6"/>
    <row r="31" ht="15.6">
      <c r="A31" s="4" t="s">
        <v>191</v>
      </c>
      <c r="B31" s="7"/>
      <c r="C31" s="5"/>
    </row>
    <row r="32" ht="15">
      <c r="A32" s="12" t="s">
        <v>192</v>
      </c>
      <c r="B32" s="164">
        <v>39.299999999999997</v>
      </c>
      <c r="C32" s="6" t="s">
        <v>43</v>
      </c>
    </row>
    <row r="33">
      <c r="A33" s="12" t="s">
        <v>193</v>
      </c>
      <c r="B33" s="110">
        <f>B32*(2/3)</f>
        <v>26.199999999999996</v>
      </c>
      <c r="C33" s="6" t="s">
        <v>43</v>
      </c>
    </row>
    <row r="34">
      <c r="A34" s="12" t="s">
        <v>194</v>
      </c>
      <c r="B34" s="20">
        <v>11.800000000000001</v>
      </c>
      <c r="C34" s="6" t="s">
        <v>45</v>
      </c>
    </row>
    <row r="35">
      <c r="A35" s="12" t="s">
        <v>195</v>
      </c>
      <c r="B35" s="20">
        <v>11</v>
      </c>
      <c r="C35" s="6" t="s">
        <v>45</v>
      </c>
      <c r="D35">
        <v>10.1</v>
      </c>
    </row>
    <row r="36">
      <c r="A36" s="12" t="s">
        <v>196</v>
      </c>
      <c r="B36" s="20"/>
      <c r="C36" s="6" t="s">
        <v>45</v>
      </c>
    </row>
    <row r="37">
      <c r="A37" s="12" t="s">
        <v>197</v>
      </c>
      <c r="B37" s="20">
        <v>2</v>
      </c>
      <c r="C37" s="6"/>
    </row>
    <row r="38" ht="15">
      <c r="A38" s="16" t="s">
        <v>198</v>
      </c>
      <c r="B38" s="167" t="s">
        <v>199</v>
      </c>
      <c r="C38" s="3" t="s">
        <v>200</v>
      </c>
      <c r="D38" s="93"/>
    </row>
    <row r="39" ht="15.6"/>
    <row r="40" ht="15.6">
      <c r="A40" s="4" t="s">
        <v>201</v>
      </c>
      <c r="B40" s="7"/>
      <c r="C40" s="5"/>
    </row>
    <row r="41" ht="15">
      <c r="A41" s="12" t="s">
        <v>202</v>
      </c>
      <c r="B41" s="164">
        <f>(F41*0.9)/(90^2)</f>
        <v>0.03888888888888889</v>
      </c>
      <c r="C41" s="6" t="s">
        <v>203</v>
      </c>
      <c r="D41" s="83" t="s">
        <v>204</v>
      </c>
      <c r="E41" s="84"/>
      <c r="F41" s="68">
        <v>350</v>
      </c>
      <c r="G41" s="68" t="s">
        <v>205</v>
      </c>
    </row>
    <row r="42" ht="15">
      <c r="A42" s="12" t="s">
        <v>206</v>
      </c>
      <c r="B42" s="110">
        <f>0.9*F42</f>
        <v>157.5</v>
      </c>
      <c r="C42" s="6" t="s">
        <v>205</v>
      </c>
      <c r="D42" s="65" t="s">
        <v>207</v>
      </c>
      <c r="E42" s="66"/>
      <c r="F42" s="68">
        <v>175</v>
      </c>
      <c r="G42" s="68" t="s">
        <v>205</v>
      </c>
    </row>
    <row r="43" ht="15.6">
      <c r="A43" s="95"/>
      <c r="B43" s="95"/>
      <c r="C43" s="19"/>
    </row>
    <row r="44" ht="15.6">
      <c r="A44" s="4" t="s">
        <v>208</v>
      </c>
      <c r="B44" s="5"/>
      <c r="C44" s="51"/>
    </row>
    <row r="45" ht="15">
      <c r="A45" s="106" t="s">
        <v>209</v>
      </c>
      <c r="B45" s="106">
        <v>43.700000000000003</v>
      </c>
      <c r="C45" s="51"/>
    </row>
    <row r="46" ht="15">
      <c r="A46" s="23" t="s">
        <v>210</v>
      </c>
      <c r="B46" s="23">
        <v>68.700000000000003</v>
      </c>
      <c r="C46" s="51"/>
    </row>
    <row r="47" ht="15.6">
      <c r="A47" s="95"/>
      <c r="B47" s="95"/>
      <c r="C47" s="3"/>
    </row>
    <row r="48" ht="15.6">
      <c r="A48" s="4" t="s">
        <v>148</v>
      </c>
      <c r="B48" s="7"/>
      <c r="C48" s="7"/>
      <c r="D48" s="7"/>
      <c r="E48" s="7"/>
      <c r="F48" s="7"/>
      <c r="G48" s="5"/>
    </row>
    <row r="49" ht="15.6">
      <c r="A49" s="116" t="s">
        <v>107</v>
      </c>
      <c r="B49" s="117" t="s">
        <v>108</v>
      </c>
      <c r="C49" s="117" t="s">
        <v>109</v>
      </c>
      <c r="D49" s="117" t="s">
        <v>110</v>
      </c>
      <c r="E49" s="117" t="s">
        <v>111</v>
      </c>
      <c r="F49" s="118" t="s">
        <v>112</v>
      </c>
      <c r="G49" s="119" t="s">
        <v>113</v>
      </c>
      <c r="J49" s="51"/>
      <c r="K49" s="51"/>
    </row>
    <row r="50" ht="15">
      <c r="A50" s="168" t="s">
        <v>211</v>
      </c>
      <c r="B50" s="169" t="s">
        <v>212</v>
      </c>
      <c r="C50" s="170"/>
      <c r="D50" s="170"/>
      <c r="E50" s="170"/>
      <c r="F50" s="170"/>
      <c r="G50" s="171"/>
      <c r="H50" s="67" t="s">
        <v>213</v>
      </c>
      <c r="I50" s="67"/>
      <c r="J50" s="67"/>
      <c r="K50" s="67"/>
      <c r="L50" s="67"/>
    </row>
    <row r="51">
      <c r="A51" s="120">
        <v>0.16666666666666666</v>
      </c>
      <c r="B51" s="49" t="s">
        <v>214</v>
      </c>
      <c r="C51" s="49">
        <v>2384</v>
      </c>
      <c r="D51" s="49">
        <v>123</v>
      </c>
      <c r="E51" s="49">
        <v>0.92000000000000004</v>
      </c>
      <c r="F51" s="49"/>
      <c r="G51" s="6"/>
      <c r="H51" s="51"/>
      <c r="I51" s="51"/>
    </row>
    <row r="52">
      <c r="A52" s="122">
        <v>0.25</v>
      </c>
      <c r="B52" s="55" t="s">
        <v>214</v>
      </c>
      <c r="C52" s="55">
        <v>2307</v>
      </c>
      <c r="D52" s="55">
        <v>126</v>
      </c>
      <c r="E52" s="55">
        <v>0.94999999999999996</v>
      </c>
      <c r="F52" s="55"/>
      <c r="G52" s="123"/>
      <c r="H52" t="s">
        <v>215</v>
      </c>
    </row>
    <row r="53">
      <c r="A53" s="122">
        <v>0.33333333333333331</v>
      </c>
      <c r="B53" s="55" t="s">
        <v>214</v>
      </c>
      <c r="C53" s="55"/>
      <c r="D53" s="55"/>
      <c r="E53" s="55"/>
      <c r="F53" s="55"/>
      <c r="G53" s="123"/>
    </row>
    <row r="54">
      <c r="A54" s="122" t="s">
        <v>216</v>
      </c>
      <c r="B54" s="172" t="s">
        <v>217</v>
      </c>
      <c r="C54" s="173"/>
      <c r="D54" s="173"/>
      <c r="E54" s="173"/>
      <c r="F54" s="173"/>
      <c r="G54" s="174"/>
      <c r="H54" s="67" t="s">
        <v>213</v>
      </c>
      <c r="I54" s="67"/>
      <c r="J54" s="67"/>
      <c r="K54" s="67"/>
      <c r="L54" s="67"/>
      <c r="M54" t="s">
        <v>218</v>
      </c>
    </row>
    <row r="55">
      <c r="A55" s="122">
        <v>0.66666666666666663</v>
      </c>
      <c r="B55" s="55" t="s">
        <v>214</v>
      </c>
      <c r="C55" s="55">
        <v>2358</v>
      </c>
      <c r="D55" s="55">
        <v>122</v>
      </c>
      <c r="E55" s="55">
        <v>0.90000000000000002</v>
      </c>
      <c r="F55" s="55"/>
      <c r="G55" s="124"/>
      <c r="H55" t="s">
        <v>219</v>
      </c>
    </row>
    <row r="56">
      <c r="A56" s="122">
        <v>0.75</v>
      </c>
      <c r="B56" s="55" t="s">
        <v>214</v>
      </c>
      <c r="C56" s="55">
        <v>2517</v>
      </c>
      <c r="D56" s="55">
        <v>123</v>
      </c>
      <c r="E56" s="55">
        <v>0.93000000000000005</v>
      </c>
      <c r="F56" s="55"/>
      <c r="G56" s="123"/>
    </row>
    <row r="57">
      <c r="A57" s="175">
        <v>0.83333333333333337</v>
      </c>
      <c r="B57" s="55" t="s">
        <v>214</v>
      </c>
      <c r="C57" s="55"/>
      <c r="D57" s="55"/>
      <c r="E57" s="55"/>
      <c r="F57" s="55"/>
      <c r="G57" s="6"/>
      <c r="H57" s="67" t="s">
        <v>213</v>
      </c>
      <c r="I57" s="67"/>
      <c r="J57" s="67"/>
      <c r="K57" s="67"/>
      <c r="L57" s="67"/>
      <c r="M57" t="s">
        <v>218</v>
      </c>
    </row>
    <row r="58" ht="15">
      <c r="A58" s="176" t="s">
        <v>220</v>
      </c>
      <c r="B58" s="177" t="s">
        <v>221</v>
      </c>
      <c r="C58" s="178"/>
      <c r="D58" s="178"/>
      <c r="E58" s="178"/>
      <c r="F58" s="178"/>
      <c r="G58" s="179"/>
      <c r="H58" s="51"/>
      <c r="I58" s="51"/>
    </row>
    <row r="59" ht="15.6">
      <c r="A59" s="180" t="s">
        <v>107</v>
      </c>
      <c r="B59" s="117" t="s">
        <v>222</v>
      </c>
      <c r="C59" s="117" t="s">
        <v>109</v>
      </c>
      <c r="D59" s="117" t="s">
        <v>110</v>
      </c>
      <c r="E59" s="117" t="s">
        <v>111</v>
      </c>
      <c r="F59" s="117" t="s">
        <v>112</v>
      </c>
      <c r="G59" s="119" t="s">
        <v>113</v>
      </c>
    </row>
    <row r="60" ht="15">
      <c r="A60" s="181" t="s">
        <v>223</v>
      </c>
      <c r="B60" s="182">
        <v>0</v>
      </c>
      <c r="C60" s="182"/>
      <c r="D60" s="182"/>
      <c r="E60" s="182"/>
      <c r="F60" s="183"/>
      <c r="G60" s="184"/>
    </row>
    <row r="61">
      <c r="A61" s="185" t="s">
        <v>224</v>
      </c>
      <c r="B61" s="186"/>
      <c r="C61" s="186"/>
      <c r="D61" s="186"/>
      <c r="E61" s="186"/>
      <c r="F61" s="81"/>
      <c r="G61" s="187"/>
    </row>
    <row r="62">
      <c r="A62" s="188" t="s">
        <v>225</v>
      </c>
      <c r="B62" s="186"/>
      <c r="C62" s="186"/>
      <c r="D62" s="186"/>
      <c r="E62" s="186"/>
      <c r="F62" s="81"/>
      <c r="G62" s="189"/>
    </row>
    <row r="63">
      <c r="A63" s="188" t="s">
        <v>226</v>
      </c>
      <c r="B63" s="186"/>
      <c r="C63" s="186"/>
      <c r="D63" s="186"/>
      <c r="E63" s="186"/>
      <c r="F63" s="81"/>
      <c r="G63" s="189"/>
    </row>
    <row r="64">
      <c r="A64" s="181" t="s">
        <v>227</v>
      </c>
      <c r="B64" s="186"/>
      <c r="C64" s="186"/>
      <c r="D64" s="186"/>
      <c r="E64" s="186"/>
      <c r="F64" s="81"/>
      <c r="G64" s="190"/>
    </row>
    <row r="65">
      <c r="A65" s="181" t="s">
        <v>228</v>
      </c>
      <c r="B65" s="186"/>
      <c r="C65" s="186"/>
      <c r="D65" s="186"/>
      <c r="E65" s="186"/>
      <c r="F65" s="81"/>
      <c r="G65" s="190"/>
    </row>
    <row r="66">
      <c r="A66" s="181" t="s">
        <v>229</v>
      </c>
      <c r="B66" s="182"/>
      <c r="C66" s="182"/>
      <c r="D66" s="182"/>
      <c r="E66" s="182"/>
      <c r="F66" s="183"/>
      <c r="G66" s="190"/>
    </row>
    <row r="67">
      <c r="A67" s="181" t="s">
        <v>230</v>
      </c>
      <c r="B67" s="186"/>
      <c r="C67" s="186"/>
      <c r="D67" s="186"/>
      <c r="E67" s="186"/>
      <c r="F67" s="81"/>
      <c r="G67" s="191"/>
    </row>
    <row r="68">
      <c r="A68" s="192" t="s">
        <v>231</v>
      </c>
      <c r="B68" s="186"/>
      <c r="C68" s="186"/>
      <c r="D68" s="186"/>
      <c r="E68" s="186"/>
      <c r="F68" s="81"/>
      <c r="G68" s="193"/>
    </row>
    <row r="69">
      <c r="A69" s="181" t="s">
        <v>232</v>
      </c>
      <c r="B69" s="182"/>
      <c r="C69" s="182"/>
      <c r="D69" s="182"/>
      <c r="E69" s="182"/>
      <c r="F69" s="183"/>
      <c r="G69" s="193"/>
    </row>
    <row r="70">
      <c r="A70" s="181" t="s">
        <v>233</v>
      </c>
      <c r="B70" s="182"/>
      <c r="C70" s="182"/>
      <c r="D70" s="182"/>
      <c r="E70" s="182"/>
      <c r="F70" s="183"/>
      <c r="G70" s="193"/>
    </row>
    <row r="71">
      <c r="A71" s="192" t="s">
        <v>234</v>
      </c>
      <c r="B71" s="182"/>
      <c r="C71" s="182"/>
      <c r="D71" s="182"/>
      <c r="E71" s="182"/>
      <c r="F71" s="183"/>
      <c r="G71" s="193"/>
    </row>
    <row r="72" ht="15">
      <c r="A72" s="194" t="s">
        <v>235</v>
      </c>
      <c r="B72" s="195"/>
      <c r="C72" s="195"/>
      <c r="D72" s="195"/>
      <c r="E72" s="195"/>
      <c r="F72" s="196"/>
      <c r="G72" s="197"/>
    </row>
    <row r="73" ht="15.6">
      <c r="A73" s="19"/>
    </row>
    <row r="74" ht="15.6">
      <c r="A74" s="4" t="s">
        <v>124</v>
      </c>
      <c r="B74" s="7"/>
      <c r="C74" s="5"/>
    </row>
    <row r="75" ht="15.6">
      <c r="A75" s="94" t="s">
        <v>236</v>
      </c>
      <c r="B75" s="198">
        <v>0.25694444444444448</v>
      </c>
      <c r="C75" s="51" t="s">
        <v>237</v>
      </c>
      <c r="D75" s="93"/>
    </row>
    <row r="76" ht="15.6">
      <c r="A76" s="3"/>
      <c r="C76" s="95"/>
    </row>
    <row r="77" ht="15.6">
      <c r="A77" s="4" t="s">
        <v>75</v>
      </c>
      <c r="B77" s="7"/>
      <c r="C77" s="5"/>
    </row>
    <row r="78" ht="15">
      <c r="A78" s="12" t="s">
        <v>238</v>
      </c>
      <c r="B78" s="110" t="str">
        <f>B4&amp;"_PRE_NIRS"</f>
        <v>T2A_59_PRE_NIRS</v>
      </c>
      <c r="C78" s="199"/>
    </row>
    <row r="79">
      <c r="A79" s="12" t="s">
        <v>239</v>
      </c>
      <c r="B79" s="110" t="str">
        <f>B4&amp;"_PRE_TT_Bike"</f>
        <v>T2A_59_PRE_TT_Bike</v>
      </c>
      <c r="C79" s="199"/>
    </row>
    <row r="80">
      <c r="A80" s="93" t="s">
        <v>240</v>
      </c>
      <c r="B80" s="110" t="str">
        <f>B4&amp;"_PRE_TT_CPET"</f>
        <v>T2A_59_PRE_TT_CPET</v>
      </c>
      <c r="C80" s="199"/>
    </row>
    <row r="81" ht="15">
      <c r="A81" s="21" t="s">
        <v>241</v>
      </c>
      <c r="B81" s="166" t="str">
        <f>B80&amp;"_10sec"</f>
        <v>T2A_59_PRE_TT_CPET_10sec</v>
      </c>
      <c r="C81" s="200"/>
    </row>
    <row r="83" ht="15.6">
      <c r="A83" s="4" t="s">
        <v>77</v>
      </c>
      <c r="B83" s="7"/>
      <c r="C83" s="5"/>
    </row>
    <row r="84" ht="15">
      <c r="A84" s="25" t="s">
        <v>242</v>
      </c>
      <c r="B84" s="102"/>
      <c r="C84" s="26"/>
    </row>
    <row r="85">
      <c r="A85" s="28"/>
      <c r="B85" s="103"/>
      <c r="C85" s="29"/>
    </row>
    <row r="86">
      <c r="A86" s="28"/>
      <c r="B86" s="103"/>
      <c r="C86" s="29"/>
    </row>
    <row r="87">
      <c r="A87" s="28"/>
      <c r="B87" s="103"/>
      <c r="C87" s="29"/>
    </row>
    <row r="88" ht="15">
      <c r="A88" s="31"/>
      <c r="B88" s="104"/>
      <c r="C88" s="32"/>
    </row>
    <row r="89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4:C74"/>
    <mergeCell ref="A77:C77"/>
    <mergeCell ref="B78:C78"/>
    <mergeCell ref="B79:C79"/>
    <mergeCell ref="B80:C80"/>
    <mergeCell ref="B81:C81"/>
    <mergeCell ref="A83:C83"/>
    <mergeCell ref="A84:C8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0" activeCellId="0" sqref="D10"/>
    </sheetView>
  </sheetViews>
  <sheetFormatPr defaultRowHeight="14.25"/>
  <cols>
    <col bestFit="1" customWidth="1" min="2" max="2" width="17.77734375"/>
    <col bestFit="1" customWidth="1" min="3" max="3" width="16.109375"/>
    <col bestFit="1" customWidth="1" min="4" max="4" width="17.6640625"/>
  </cols>
  <sheetData>
    <row r="2">
      <c r="B2" s="11" t="s">
        <v>243</v>
      </c>
      <c r="C2" s="201" t="str">
        <f>'Algemene informatie'!B4</f>
        <v>T2A_59</v>
      </c>
    </row>
    <row r="3">
      <c r="B3" s="11" t="s">
        <v>64</v>
      </c>
      <c r="C3" s="202">
        <f ca="1">'Algemene informatie'!B7</f>
        <v>42</v>
      </c>
      <c r="D3" t="s">
        <v>25</v>
      </c>
    </row>
    <row r="4">
      <c r="B4" s="11" t="s">
        <v>244</v>
      </c>
      <c r="C4" s="202">
        <f>'Algemene informatie'!B5</f>
        <v>1</v>
      </c>
      <c r="D4" t="s">
        <v>245</v>
      </c>
    </row>
    <row r="5">
      <c r="B5" s="11" t="s">
        <v>40</v>
      </c>
      <c r="C5" s="203">
        <f>'1A. Antropometrie'!H15</f>
        <v>80.640000000000001</v>
      </c>
      <c r="D5" t="s">
        <v>41</v>
      </c>
      <c r="L5">
        <f>45*8</f>
        <v>360</v>
      </c>
    </row>
    <row r="6">
      <c r="B6" s="11" t="s">
        <v>42</v>
      </c>
      <c r="C6" s="202">
        <f>'1A. Antropometrie'!H16</f>
        <v>178.89999999999998</v>
      </c>
      <c r="D6" t="s">
        <v>43</v>
      </c>
    </row>
    <row r="7">
      <c r="B7" s="11" t="s">
        <v>246</v>
      </c>
      <c r="C7" s="203">
        <f>'1A. Antropometrie'!B41</f>
        <v>21.662988663904116</v>
      </c>
      <c r="D7" t="s">
        <v>69</v>
      </c>
    </row>
    <row r="8">
      <c r="B8" s="11" t="s">
        <v>247</v>
      </c>
      <c r="C8" s="204">
        <f>'1B. VO2max'!B57</f>
        <v>51.686507936507937</v>
      </c>
      <c r="D8" t="s">
        <v>128</v>
      </c>
    </row>
    <row r="9">
      <c r="B9" s="11" t="s">
        <v>248</v>
      </c>
      <c r="C9" s="204">
        <f>'2B. Wingate'!B34</f>
        <v>12.380000000000001</v>
      </c>
      <c r="D9" t="s">
        <v>170</v>
      </c>
    </row>
    <row r="10">
      <c r="B10" s="11" t="s">
        <v>249</v>
      </c>
      <c r="C10" s="205">
        <f>'3B. NIRS+Time Trial'!B75</f>
        <v>0.25694444444444448</v>
      </c>
      <c r="D10" t="s">
        <v>237</v>
      </c>
    </row>
    <row r="13">
      <c r="B13" s="11" t="s">
        <v>243</v>
      </c>
      <c r="C13" s="11" t="s">
        <v>64</v>
      </c>
      <c r="D13" s="11" t="s">
        <v>244</v>
      </c>
      <c r="E13" s="11" t="s">
        <v>40</v>
      </c>
      <c r="F13" s="11" t="s">
        <v>42</v>
      </c>
      <c r="G13" s="11" t="s">
        <v>246</v>
      </c>
      <c r="H13" s="11" t="s">
        <v>247</v>
      </c>
      <c r="I13" s="11" t="s">
        <v>250</v>
      </c>
      <c r="J13" s="11" t="s">
        <v>251</v>
      </c>
    </row>
    <row r="14">
      <c r="B14" t="str">
        <f>C2</f>
        <v>T2A_59</v>
      </c>
      <c r="C14" s="206">
        <f ca="1">C3</f>
        <v>42</v>
      </c>
      <c r="D14" s="206">
        <f>C4</f>
        <v>1</v>
      </c>
      <c r="E14" s="207">
        <f>C5</f>
        <v>80.640000000000001</v>
      </c>
      <c r="F14" s="206">
        <f>C6</f>
        <v>178.89999999999998</v>
      </c>
      <c r="G14" s="207">
        <f>C7</f>
        <v>21.662988663904116</v>
      </c>
      <c r="H14" s="208">
        <f>C8</f>
        <v>51.686507936507937</v>
      </c>
      <c r="I14" s="208">
        <f>C9</f>
        <v>12.380000000000001</v>
      </c>
      <c r="J14" s="209">
        <f>C10</f>
        <v>0.25694444444444448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1</cp:revision>
  <dcterms:created xsi:type="dcterms:W3CDTF">2022-07-15T14:05:02Z</dcterms:created>
  <dcterms:modified xsi:type="dcterms:W3CDTF">2022-12-22T12:40:13Z</dcterms:modified>
</cp:coreProperties>
</file>