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2\13 September\"/>
    </mc:Choice>
  </mc:AlternateContent>
  <xr:revisionPtr revIDLastSave="0" documentId="13_ncr:1_{1C7321F4-850C-41DC-A30D-E6383BD9E532}" xr6:coauthVersionLast="47" xr6:coauthVersionMax="47" xr10:uidLastSave="{00000000-0000-0000-0000-000000000000}"/>
  <bookViews>
    <workbookView xWindow="-108" yWindow="-108" windowWidth="23256" windowHeight="12456" firstSheet="2" activeTab="6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" l="1"/>
  <c r="G14" i="8" s="1"/>
  <c r="H16" i="2"/>
  <c r="B7" i="3" s="1"/>
  <c r="H15" i="2"/>
  <c r="F16" i="2"/>
  <c r="F15" i="2"/>
  <c r="L23" i="2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B7" i="1"/>
  <c r="G36" i="2" s="1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G15" i="2"/>
  <c r="B33" i="7"/>
  <c r="B5" i="7"/>
  <c r="B4" i="7"/>
  <c r="B79" i="7" s="1"/>
  <c r="B80" i="7" s="1"/>
  <c r="B22" i="6"/>
  <c r="B5" i="6"/>
  <c r="B4" i="6"/>
  <c r="B29" i="6" l="1"/>
  <c r="B26" i="6"/>
  <c r="B28" i="6"/>
  <c r="B77" i="7"/>
  <c r="B78" i="7"/>
  <c r="B8" i="3"/>
  <c r="B57" i="3" s="1"/>
  <c r="C5" i="8"/>
  <c r="E14" i="8" s="1"/>
  <c r="C6" i="8"/>
  <c r="F14" i="8" s="1"/>
  <c r="B16" i="5"/>
  <c r="B6" i="5"/>
  <c r="B5" i="5"/>
  <c r="B4" i="5"/>
  <c r="B37" i="5" s="1"/>
  <c r="B6" i="4"/>
  <c r="B5" i="4"/>
  <c r="B4" i="4"/>
  <c r="B18" i="4" l="1"/>
  <c r="B17" i="4"/>
  <c r="B16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G16" i="2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B39" i="2" s="1"/>
  <c r="B61" i="3"/>
  <c r="B7" i="7"/>
  <c r="B8" i="6"/>
  <c r="B8" i="5"/>
  <c r="B8" i="7"/>
  <c r="B7" i="6"/>
  <c r="B7" i="5"/>
  <c r="B42" i="2" l="1"/>
  <c r="C37" i="2"/>
  <c r="C38" i="2"/>
  <c r="C40" i="2"/>
  <c r="B38" i="2"/>
  <c r="C39" i="2"/>
  <c r="C42" i="2"/>
  <c r="B40" i="2"/>
  <c r="B41" i="2"/>
  <c r="C41" i="2"/>
  <c r="B37" i="2"/>
  <c r="B20" i="5"/>
  <c r="B34" i="5"/>
  <c r="C9" i="8" l="1"/>
  <c r="I14" i="8" s="1"/>
</calcChain>
</file>

<file path=xl/sharedStrings.xml><?xml version="1.0" encoding="utf-8"?>
<sst xmlns="http://schemas.openxmlformats.org/spreadsheetml/2006/main" count="436" uniqueCount="239">
  <si>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</si>
  <si>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</si>
  <si>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</si>
  <si>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</si>
  <si>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</si>
  <si>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</si>
  <si>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</si>
  <si>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</si>
  <si>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</si>
  <si>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</si>
  <si>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</si>
  <si>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</si>
  <si>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</si>
  <si>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</si>
  <si>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</si>
  <si>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</si>
  <si>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</si>
  <si>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</si>
  <si>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</si>
  <si>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</si>
  <si>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</si>
  <si>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</si>
  <si>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</si>
  <si>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</si>
  <si>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</si>
  <si>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</si>
  <si>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</si>
  <si>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</si>
  <si>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</si>
  <si>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</si>
  <si>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</si>
  <si>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</si>
  <si>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</si>
  <si>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</si>
  <si>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</si>
  <si>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</si>
  <si>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</si>
  <si>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</si>
  <si>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</si>
  <si>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</si>
  <si>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</si>
  <si>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</si>
  <si>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</si>
  <si>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</si>
  <si>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</si>
  <si>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</si>
  <si>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</si>
  <si>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</si>
  <si>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</si>
  <si>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</si>
  <si>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</si>
  <si>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</si>
  <si>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</si>
  <si>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</si>
  <si>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</si>
  <si>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</si>
  <si>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</si>
  <si>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</si>
  <si>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</si>
  <si>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</si>
  <si>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</si>
  <si>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</si>
  <si>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</si>
  <si>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</si>
  <si>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</si>
  <si>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</si>
  <si>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</si>
  <si>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</si>
  <si>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</si>
  <si>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</si>
  <si>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</si>
  <si>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</si>
  <si>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</si>
  <si>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</si>
  <si>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</si>
  <si>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</si>
  <si>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</si>
  <si>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</si>
  <si>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</si>
  <si>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</si>
  <si>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</si>
  <si>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</si>
  <si>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</si>
  <si>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</si>
  <si>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</si>
  <si>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</si>
  <si>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</si>
  <si>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</si>
  <si>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</si>
  <si>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</si>
  <si>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</si>
  <si>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</si>
  <si>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</si>
  <si>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</si>
  <si>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</si>
  <si>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</si>
  <si>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</si>
  <si>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</si>
  <si>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</si>
  <si>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</si>
  <si>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</si>
  <si>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</si>
  <si>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</si>
  <si>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</si>
  <si>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</si>
  <si>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</si>
  <si>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</si>
  <si>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</si>
  <si>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</si>
  <si>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</si>
  <si>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</si>
  <si>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</si>
  <si>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</si>
  <si>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</si>
  <si>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</si>
  <si>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</si>
  <si>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</si>
  <si>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</si>
  <si>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</si>
  <si>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</si>
  <si>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</si>
  <si>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</si>
  <si>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</si>
  <si>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</si>
  <si>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</si>
  <si>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</si>
  <si>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</si>
  <si>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</si>
  <si>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</si>
  <si>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</si>
  <si>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</si>
  <si>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</si>
  <si>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</si>
  <si>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</si>
  <si>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</si>
  <si>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</si>
  <si>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</si>
  <si>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</si>
  <si>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</si>
  <si>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</si>
  <si>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</si>
  <si>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</si>
  <si>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</si>
  <si>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</si>
  <si>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</si>
  <si>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</si>
  <si>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</si>
  <si>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</si>
  <si>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</si>
  <si>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</si>
  <si>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</si>
  <si>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</si>
  <si>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</si>
  <si>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</si>
  <si>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</si>
  <si>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</si>
  <si>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</si>
  <si>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</si>
  <si>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</si>
  <si>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</si>
  <si>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</si>
  <si>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</si>
  <si>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</si>
  <si>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</si>
  <si>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</si>
  <si>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</si>
  <si>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</si>
  <si>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</si>
  <si>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</si>
  <si>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</si>
  <si>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</si>
  <si>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</si>
  <si>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</si>
  <si>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</si>
  <si>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</si>
  <si>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</si>
  <si>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</si>
  <si>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</si>
  <si>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</si>
  <si>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</si>
  <si>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</si>
  <si>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</si>
  <si>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</si>
  <si>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</si>
  <si>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</si>
  <si>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</si>
  <si>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</si>
  <si>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</si>
  <si>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</si>
  <si>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</si>
  <si>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</si>
  <si>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</si>
  <si>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</si>
  <si>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</si>
  <si>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</si>
  <si>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</si>
  <si>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</si>
  <si>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</si>
  <si>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</si>
  <si>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</si>
  <si>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</si>
  <si>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</si>
  <si>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</si>
  <si>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</si>
  <si>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</si>
  <si>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</si>
  <si>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</si>
  <si>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</si>
  <si>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</si>
  <si>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</si>
  <si>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</si>
  <si>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</si>
  <si>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</si>
  <si>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</si>
  <si>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</si>
  <si>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</si>
  <si>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</si>
  <si>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>T2A_63</t>
  </si>
  <si>
    <t>Renske</t>
  </si>
  <si>
    <t>Recreatief</t>
  </si>
  <si>
    <t>Asfald en graffel</t>
  </si>
  <si>
    <t xml:space="preserve">2 tot 3x </t>
  </si>
  <si>
    <t>tussen 2 en 5 uur</t>
  </si>
  <si>
    <t xml:space="preserve">100 tot 200km ongeveer </t>
  </si>
  <si>
    <t>4,5</t>
  </si>
  <si>
    <t>Luuk</t>
  </si>
  <si>
    <t>SPD</t>
  </si>
  <si>
    <t>M</t>
  </si>
  <si>
    <t>S</t>
  </si>
  <si>
    <t xml:space="preserve">Snel op RER van 1,0. Hartslagband 23 gebruikt. Hartslag viel af en toe weg. Fiets rond de 95RPM. </t>
  </si>
  <si>
    <t>8 of 9</t>
  </si>
  <si>
    <t>Tweede gat van achteren</t>
  </si>
  <si>
    <t>Links</t>
  </si>
  <si>
    <t xml:space="preserve">Afgenomen in de andere ruimte, dus geen temperatuur en luchtvochtigheid </t>
  </si>
  <si>
    <t xml:space="preserve">Bij de eerste sprong benen ligt ingetrokken. </t>
  </si>
  <si>
    <t xml:space="preserve">Heel lastig te knijpen </t>
  </si>
  <si>
    <t>RAW00186.DAT</t>
  </si>
  <si>
    <t>RAW00358.DAT</t>
  </si>
  <si>
    <t>NIRS geeft rode lampjes aan.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</si>
</sst>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4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20" fontId="6" fillId="0" borderId="12" xfId="0" applyNumberFormat="1" applyFont="1" applyBorder="1" applyAlignment="1">
      <alignment horizontal="left"/>
    </xf>
    <xf numFmtId="16" fontId="0" fillId="0" borderId="2" xfId="0" applyNumberFormat="1" applyBorder="1"/>
    <xf numFmtId="0" fontId="6" fillId="0" borderId="18" xfId="0" applyFont="1" applyBorder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B21" sqref="B21"/>
    </sheetView>
  </sheetViews>
  <sheetFormatPr defaultRowHeight="14.4" x14ac:dyDescent="0.3"/>
  <cols>
    <col min="1" max="1" width="26.33203125" bestFit="1" customWidth="1"/>
    <col min="2" max="2" width="10.7773437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5" t="s">
        <v>33</v>
      </c>
    </row>
    <row r="2" spans="1:6" ht="15.6" thickTop="1" thickBot="1" x14ac:dyDescent="0.35">
      <c r="A2" s="17"/>
      <c r="D2" s="21"/>
      <c r="E2" s="21"/>
      <c r="F2" s="21"/>
    </row>
    <row r="3" spans="1:6" ht="18" customHeight="1" thickTop="1" thickBot="1" x14ac:dyDescent="0.35">
      <c r="A3" s="200" t="s">
        <v>32</v>
      </c>
      <c r="B3" s="201"/>
      <c r="C3" s="27"/>
      <c r="D3" s="200" t="s">
        <v>34</v>
      </c>
      <c r="E3" s="202"/>
      <c r="F3" s="201"/>
    </row>
    <row r="4" spans="1:6" ht="15" customHeight="1" thickTop="1" x14ac:dyDescent="0.3">
      <c r="A4" s="24" t="s">
        <v>17</v>
      </c>
      <c r="B4" s="18" t="s">
        <v>217</v>
      </c>
      <c r="C4" s="28"/>
      <c r="D4" s="24" t="s">
        <v>19</v>
      </c>
      <c r="E4" s="14" t="s">
        <v>219</v>
      </c>
      <c r="F4" s="27" t="s">
        <v>29</v>
      </c>
    </row>
    <row r="5" spans="1:6" x14ac:dyDescent="0.3">
      <c r="A5" s="25" t="s">
        <v>35</v>
      </c>
      <c r="B5" s="19">
        <v>1</v>
      </c>
      <c r="C5" s="19"/>
      <c r="D5" s="25"/>
      <c r="E5" s="136" t="s">
        <v>220</v>
      </c>
      <c r="F5" s="27" t="s">
        <v>30</v>
      </c>
    </row>
    <row r="6" spans="1:6" x14ac:dyDescent="0.3">
      <c r="A6" s="25" t="s">
        <v>18</v>
      </c>
      <c r="B6" s="20">
        <v>32098</v>
      </c>
      <c r="C6" s="20"/>
      <c r="D6" s="25"/>
      <c r="E6" s="14"/>
      <c r="F6" s="27" t="s">
        <v>31</v>
      </c>
    </row>
    <row r="7" spans="1:6" ht="15" thickBot="1" x14ac:dyDescent="0.35">
      <c r="A7" s="60" t="s">
        <v>149</v>
      </c>
      <c r="B7" s="134">
        <f ca="1">(YEAR(NOW())-YEAR(B6))</f>
        <v>35</v>
      </c>
      <c r="C7" s="25"/>
      <c r="D7" s="25" t="s">
        <v>20</v>
      </c>
      <c r="E7" s="135" t="s">
        <v>221</v>
      </c>
      <c r="F7" s="27" t="s">
        <v>21</v>
      </c>
    </row>
    <row r="8" spans="1:6" ht="15" thickTop="1" x14ac:dyDescent="0.3">
      <c r="B8" s="63"/>
      <c r="C8" s="27"/>
      <c r="D8" s="25" t="s">
        <v>22</v>
      </c>
      <c r="E8" s="16" t="s">
        <v>222</v>
      </c>
      <c r="F8" s="27" t="s">
        <v>23</v>
      </c>
    </row>
    <row r="9" spans="1:6" x14ac:dyDescent="0.3">
      <c r="C9" s="27"/>
      <c r="D9" s="25" t="s">
        <v>24</v>
      </c>
      <c r="E9" s="135" t="s">
        <v>223</v>
      </c>
      <c r="F9" s="27" t="s">
        <v>25</v>
      </c>
    </row>
    <row r="10" spans="1:6" ht="15" thickBot="1" x14ac:dyDescent="0.35">
      <c r="C10" s="27"/>
      <c r="D10" s="26" t="s">
        <v>26</v>
      </c>
      <c r="E10" s="29" t="s">
        <v>224</v>
      </c>
      <c r="F10" s="30" t="s">
        <v>27</v>
      </c>
    </row>
    <row r="11" spans="1:6" ht="15" thickTop="1" x14ac:dyDescent="0.3">
      <c r="C11" s="27"/>
      <c r="D11" s="197" t="s">
        <v>28</v>
      </c>
      <c r="E11" s="191"/>
      <c r="F11" s="192"/>
    </row>
    <row r="12" spans="1:6" x14ac:dyDescent="0.3">
      <c r="C12" s="27"/>
      <c r="D12" s="198"/>
      <c r="E12" s="193"/>
      <c r="F12" s="194"/>
    </row>
    <row r="13" spans="1:6" ht="15" thickBot="1" x14ac:dyDescent="0.35">
      <c r="C13" s="27"/>
      <c r="D13" s="199"/>
      <c r="E13" s="195"/>
      <c r="F13" s="196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21" zoomScaleNormal="100" workbookViewId="0">
      <selection activeCell="J15" sqref="J15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00" t="s">
        <v>32</v>
      </c>
      <c r="B3" s="201"/>
    </row>
    <row r="4" spans="1:9" ht="15" thickTop="1" x14ac:dyDescent="0.3">
      <c r="A4" s="24" t="s">
        <v>17</v>
      </c>
      <c r="B4" s="18" t="str">
        <f>'Algemene informatie'!B4</f>
        <v>T2A_63</v>
      </c>
    </row>
    <row r="5" spans="1:9" x14ac:dyDescent="0.3">
      <c r="A5" s="25" t="s">
        <v>35</v>
      </c>
      <c r="B5" s="19">
        <f>'Algemene informatie'!B5</f>
        <v>1</v>
      </c>
    </row>
    <row r="6" spans="1:9" ht="15" thickBot="1" x14ac:dyDescent="0.35">
      <c r="A6" s="26" t="s">
        <v>18</v>
      </c>
      <c r="B6" s="22">
        <f>'Algemene informatie'!B6</f>
        <v>32098</v>
      </c>
    </row>
    <row r="7" spans="1:9" ht="15.6" thickTop="1" thickBot="1" x14ac:dyDescent="0.35"/>
    <row r="8" spans="1:9" ht="15.6" thickTop="1" thickBot="1" x14ac:dyDescent="0.35">
      <c r="A8" s="200" t="s">
        <v>58</v>
      </c>
      <c r="B8" s="201"/>
    </row>
    <row r="9" spans="1:9" ht="15" thickTop="1" x14ac:dyDescent="0.3">
      <c r="A9" s="25" t="s">
        <v>59</v>
      </c>
      <c r="B9" s="20">
        <v>44817</v>
      </c>
    </row>
    <row r="10" spans="1:9" x14ac:dyDescent="0.3">
      <c r="A10" s="25" t="s">
        <v>209</v>
      </c>
      <c r="B10" s="188" t="s">
        <v>218</v>
      </c>
    </row>
    <row r="11" spans="1:9" ht="15" thickBot="1" x14ac:dyDescent="0.35">
      <c r="A11" s="26" t="s">
        <v>60</v>
      </c>
      <c r="B11" s="58">
        <v>0.71875</v>
      </c>
    </row>
    <row r="12" spans="1:9" ht="15.6" thickTop="1" thickBot="1" x14ac:dyDescent="0.35"/>
    <row r="13" spans="1:9" ht="15.6" thickTop="1" thickBot="1" x14ac:dyDescent="0.35">
      <c r="A13" s="210" t="s">
        <v>39</v>
      </c>
      <c r="B13" s="211"/>
      <c r="C13" s="211"/>
      <c r="D13" s="211"/>
      <c r="E13" s="212"/>
      <c r="F13" s="206" t="s">
        <v>38</v>
      </c>
      <c r="G13" s="207"/>
      <c r="H13" s="216" t="s">
        <v>37</v>
      </c>
      <c r="I13" s="1"/>
    </row>
    <row r="14" spans="1:9" ht="15.6" thickTop="1" thickBot="1" x14ac:dyDescent="0.35">
      <c r="A14" s="23"/>
      <c r="B14" s="49" t="s">
        <v>46</v>
      </c>
      <c r="C14" s="49" t="s">
        <v>47</v>
      </c>
      <c r="D14" s="49" t="s">
        <v>48</v>
      </c>
      <c r="E14" s="50" t="s">
        <v>0</v>
      </c>
      <c r="F14" s="208"/>
      <c r="G14" s="209"/>
      <c r="H14" s="217"/>
      <c r="I14" s="1"/>
    </row>
    <row r="15" spans="1:9" ht="15" thickTop="1" x14ac:dyDescent="0.3">
      <c r="A15" s="45" t="s">
        <v>40</v>
      </c>
      <c r="B15" s="46">
        <v>72.540000000000006</v>
      </c>
      <c r="C15" s="5">
        <v>72.540000000000006</v>
      </c>
      <c r="D15" s="48"/>
      <c r="E15" s="27" t="s">
        <v>1</v>
      </c>
      <c r="F15" s="2">
        <f>+(C15-B15)/B15</f>
        <v>0</v>
      </c>
      <c r="G15" s="27" t="str">
        <f>IF(ABS(F15)&gt;1%,"Yes","No")</f>
        <v>No</v>
      </c>
      <c r="H15" s="34">
        <f>IF(D15=0,AVERAGE(B15,C15),MEDIAN(B15:D15))</f>
        <v>72.540000000000006</v>
      </c>
    </row>
    <row r="16" spans="1:9" x14ac:dyDescent="0.3">
      <c r="A16" s="38" t="s">
        <v>41</v>
      </c>
      <c r="B16">
        <v>173.4</v>
      </c>
      <c r="C16" s="4">
        <v>173.4</v>
      </c>
      <c r="D16" s="6"/>
      <c r="E16" s="27" t="s">
        <v>2</v>
      </c>
      <c r="F16" s="2">
        <f>+(C16-B16)/B16</f>
        <v>0</v>
      </c>
      <c r="G16" s="27" t="str">
        <f t="shared" ref="G16:G27" si="0">IF(ABS(F16)&gt;1%,"Yes","No")</f>
        <v>No</v>
      </c>
      <c r="H16" s="34">
        <f>IF(D16=0,AVERAGE(B16,C16),MEDIAN(B16:D16))</f>
        <v>173.4</v>
      </c>
    </row>
    <row r="17" spans="1:13" x14ac:dyDescent="0.3">
      <c r="A17" s="39"/>
      <c r="B17" s="8"/>
      <c r="C17" s="9"/>
      <c r="D17" s="10"/>
      <c r="E17" s="37"/>
      <c r="F17" s="7"/>
      <c r="G17" s="37"/>
      <c r="H17" s="35"/>
    </row>
    <row r="18" spans="1:13" x14ac:dyDescent="0.3">
      <c r="A18" s="40" t="s">
        <v>42</v>
      </c>
      <c r="B18" s="5">
        <v>4.5</v>
      </c>
      <c r="C18" s="4">
        <v>4.9000000000000004</v>
      </c>
      <c r="D18" s="6">
        <v>4.8</v>
      </c>
      <c r="E18" s="27" t="s">
        <v>3</v>
      </c>
      <c r="F18" s="2">
        <f t="shared" ref="F18:F27" si="1">+(C18-B18)/B18</f>
        <v>8.8888888888888962E-2</v>
      </c>
      <c r="G18" s="27" t="str">
        <f>IF(ABS(F18)&gt;5%,"Yes","No")</f>
        <v>Yes</v>
      </c>
      <c r="H18" s="34">
        <f t="shared" ref="H18:H27" si="2">IF(D18=0,AVERAGE(B18,C18),MEDIAN(B18:D18))</f>
        <v>4.8</v>
      </c>
      <c r="I18" s="218" t="s">
        <v>163</v>
      </c>
      <c r="J18" s="220"/>
      <c r="K18" s="137"/>
      <c r="L18" s="138">
        <v>33.200000000000003</v>
      </c>
      <c r="M18" s="138" t="s">
        <v>2</v>
      </c>
    </row>
    <row r="19" spans="1:13" x14ac:dyDescent="0.3">
      <c r="A19" s="41" t="s">
        <v>43</v>
      </c>
      <c r="B19" s="5">
        <v>7.9</v>
      </c>
      <c r="C19" s="4">
        <v>7.3</v>
      </c>
      <c r="D19" s="6">
        <v>7.9</v>
      </c>
      <c r="E19" s="27" t="s">
        <v>3</v>
      </c>
      <c r="F19" s="2">
        <f t="shared" si="1"/>
        <v>-7.5949367088607653E-2</v>
      </c>
      <c r="G19" s="27" t="str">
        <f t="shared" ref="G19:G21" si="3">IF(ABS(F19)&gt;5%,"Yes","No")</f>
        <v>Yes</v>
      </c>
      <c r="H19" s="34">
        <f t="shared" si="2"/>
        <v>7.9</v>
      </c>
      <c r="I19" s="218" t="s">
        <v>162</v>
      </c>
      <c r="J19" s="220"/>
      <c r="K19" s="220"/>
      <c r="L19" s="138">
        <f>L18/2</f>
        <v>16.600000000000001</v>
      </c>
      <c r="M19" s="138" t="s">
        <v>2</v>
      </c>
    </row>
    <row r="20" spans="1:13" x14ac:dyDescent="0.3">
      <c r="A20" s="40" t="s">
        <v>44</v>
      </c>
      <c r="B20" s="5">
        <v>15.8</v>
      </c>
      <c r="C20" s="4">
        <v>15.4</v>
      </c>
      <c r="D20" s="6"/>
      <c r="E20" s="27" t="s">
        <v>3</v>
      </c>
      <c r="F20" s="2">
        <f t="shared" si="1"/>
        <v>-2.5316455696202552E-2</v>
      </c>
      <c r="G20" s="27" t="str">
        <f t="shared" si="3"/>
        <v>No</v>
      </c>
      <c r="H20" s="34">
        <f t="shared" si="2"/>
        <v>15.600000000000001</v>
      </c>
    </row>
    <row r="21" spans="1:13" x14ac:dyDescent="0.3">
      <c r="A21" s="40" t="s">
        <v>45</v>
      </c>
      <c r="B21" s="5">
        <v>22.4</v>
      </c>
      <c r="C21" s="4">
        <v>21</v>
      </c>
      <c r="D21" s="6">
        <v>21.6</v>
      </c>
      <c r="E21" s="27" t="s">
        <v>3</v>
      </c>
      <c r="F21" s="2">
        <f t="shared" si="1"/>
        <v>-6.2499999999999938E-2</v>
      </c>
      <c r="G21" s="27" t="str">
        <f t="shared" si="3"/>
        <v>Yes</v>
      </c>
      <c r="H21" s="34">
        <f t="shared" si="2"/>
        <v>21.6</v>
      </c>
    </row>
    <row r="22" spans="1:13" x14ac:dyDescent="0.3">
      <c r="A22" s="42"/>
      <c r="B22" s="8"/>
      <c r="C22" s="9"/>
      <c r="D22" s="10"/>
      <c r="E22" s="37"/>
      <c r="F22" s="7"/>
      <c r="G22" s="37"/>
      <c r="H22" s="35"/>
    </row>
    <row r="23" spans="1:13" x14ac:dyDescent="0.3">
      <c r="A23" s="40" t="s">
        <v>50</v>
      </c>
      <c r="B23" s="5">
        <v>46.8</v>
      </c>
      <c r="C23" s="4">
        <v>46.9</v>
      </c>
      <c r="D23" s="6"/>
      <c r="E23" s="27" t="s">
        <v>2</v>
      </c>
      <c r="F23" s="2">
        <f>+(C23-B23)/B23</f>
        <v>2.1367521367521673E-3</v>
      </c>
      <c r="G23" s="27" t="str">
        <f t="shared" si="0"/>
        <v>No</v>
      </c>
      <c r="H23" s="34">
        <f t="shared" si="2"/>
        <v>46.849999999999994</v>
      </c>
      <c r="I23" s="218" t="s">
        <v>170</v>
      </c>
      <c r="J23" s="219"/>
      <c r="K23" s="219"/>
      <c r="L23" s="139">
        <f>B23-(B23/2)</f>
        <v>23.4</v>
      </c>
      <c r="M23" s="31" t="s">
        <v>2</v>
      </c>
    </row>
    <row r="24" spans="1:13" x14ac:dyDescent="0.3">
      <c r="A24" s="43" t="s">
        <v>49</v>
      </c>
      <c r="B24" s="5">
        <v>51</v>
      </c>
      <c r="C24" s="4">
        <v>50.6</v>
      </c>
      <c r="D24" s="6"/>
      <c r="E24" s="27" t="s">
        <v>2</v>
      </c>
      <c r="F24" s="2">
        <f t="shared" si="1"/>
        <v>-7.8431372549019329E-3</v>
      </c>
      <c r="G24" s="27" t="str">
        <f t="shared" si="0"/>
        <v>No</v>
      </c>
      <c r="H24" s="34">
        <f t="shared" si="2"/>
        <v>50.8</v>
      </c>
    </row>
    <row r="25" spans="1:13" x14ac:dyDescent="0.3">
      <c r="A25" s="42"/>
      <c r="B25" s="8"/>
      <c r="C25" s="9"/>
      <c r="D25" s="10"/>
      <c r="E25" s="37"/>
      <c r="F25" s="7"/>
      <c r="G25" s="37"/>
      <c r="H25" s="35"/>
    </row>
    <row r="26" spans="1:13" x14ac:dyDescent="0.3">
      <c r="A26" s="43" t="s">
        <v>51</v>
      </c>
      <c r="B26" s="5">
        <v>35.799999999999997</v>
      </c>
      <c r="C26" s="4">
        <v>36.1</v>
      </c>
      <c r="D26" s="6"/>
      <c r="E26" s="27" t="s">
        <v>2</v>
      </c>
      <c r="F26" s="2">
        <f t="shared" si="1"/>
        <v>8.3798882681565441E-3</v>
      </c>
      <c r="G26" s="27" t="str">
        <f t="shared" si="0"/>
        <v>No</v>
      </c>
      <c r="H26" s="34">
        <f t="shared" si="2"/>
        <v>35.950000000000003</v>
      </c>
    </row>
    <row r="27" spans="1:13" x14ac:dyDescent="0.3">
      <c r="A27" s="41" t="s">
        <v>52</v>
      </c>
      <c r="B27" s="55">
        <v>41.2</v>
      </c>
      <c r="C27" s="56">
        <v>41</v>
      </c>
      <c r="D27" s="57"/>
      <c r="E27" s="27" t="s">
        <v>2</v>
      </c>
      <c r="F27" s="2">
        <f t="shared" si="1"/>
        <v>-4.8543689320389039E-3</v>
      </c>
      <c r="G27" s="27" t="str">
        <f t="shared" si="0"/>
        <v>No</v>
      </c>
      <c r="H27" s="34">
        <f t="shared" si="2"/>
        <v>41.1</v>
      </c>
    </row>
    <row r="28" spans="1:13" x14ac:dyDescent="0.3">
      <c r="A28" s="51"/>
      <c r="B28" s="52"/>
      <c r="C28" s="53"/>
      <c r="D28" s="54"/>
      <c r="E28" s="37"/>
      <c r="F28" s="7"/>
      <c r="G28" s="37"/>
      <c r="H28" s="35"/>
      <c r="J28" s="2"/>
    </row>
    <row r="29" spans="1:13" x14ac:dyDescent="0.3">
      <c r="A29" s="40" t="s">
        <v>54</v>
      </c>
      <c r="B29" s="5"/>
      <c r="C29" s="156"/>
      <c r="D29" s="157"/>
      <c r="E29" s="27" t="s">
        <v>3</v>
      </c>
      <c r="F29" s="2" t="e">
        <f t="shared" ref="F29:F32" si="4">+(C29-B29)/B29</f>
        <v>#DIV/0!</v>
      </c>
      <c r="G29" s="27" t="e">
        <f>IF(ABS(F29)&gt;5%,"Yes","No")</f>
        <v>#DIV/0!</v>
      </c>
      <c r="H29" s="34" t="e">
        <f t="shared" ref="H29:H32" si="5">IF(D29=0,AVERAGE(B29,C29),MEDIAN(B29:D29))</f>
        <v>#DIV/0!</v>
      </c>
      <c r="I29" s="213" t="s">
        <v>169</v>
      </c>
      <c r="J29" s="215"/>
      <c r="K29" s="138" t="str">
        <f>B4&amp;"_Biceps"</f>
        <v>T2A_63_Biceps</v>
      </c>
    </row>
    <row r="30" spans="1:13" x14ac:dyDescent="0.3">
      <c r="A30" s="41" t="s">
        <v>55</v>
      </c>
      <c r="B30" s="5"/>
      <c r="C30" s="156"/>
      <c r="D30" s="157"/>
      <c r="E30" s="27" t="s">
        <v>3</v>
      </c>
      <c r="F30" s="2" t="e">
        <f t="shared" si="4"/>
        <v>#DIV/0!</v>
      </c>
      <c r="G30" s="27" t="e">
        <f t="shared" ref="G30:G32" si="6">IF(ABS(F30)&gt;5%,"Yes","No")</f>
        <v>#DIV/0!</v>
      </c>
      <c r="H30" s="34" t="e">
        <f t="shared" si="5"/>
        <v>#DIV/0!</v>
      </c>
      <c r="I30" s="213" t="s">
        <v>169</v>
      </c>
      <c r="J30" s="215"/>
      <c r="K30" s="138" t="str">
        <f>B4&amp;"_Triceps"</f>
        <v>T2A_63_Triceps</v>
      </c>
    </row>
    <row r="31" spans="1:13" x14ac:dyDescent="0.3">
      <c r="A31" s="40" t="s">
        <v>56</v>
      </c>
      <c r="B31" s="5"/>
      <c r="C31" s="156"/>
      <c r="D31" s="157"/>
      <c r="E31" s="27" t="s">
        <v>3</v>
      </c>
      <c r="F31" s="2" t="e">
        <f t="shared" si="4"/>
        <v>#DIV/0!</v>
      </c>
      <c r="G31" s="27" t="e">
        <f t="shared" si="6"/>
        <v>#DIV/0!</v>
      </c>
      <c r="H31" s="34" t="e">
        <f t="shared" si="5"/>
        <v>#DIV/0!</v>
      </c>
      <c r="I31" s="213" t="s">
        <v>169</v>
      </c>
      <c r="J31" s="215"/>
      <c r="K31" s="138" t="str">
        <f>B4&amp;"_Subscapular"</f>
        <v>T2A_63_Subscapular</v>
      </c>
    </row>
    <row r="32" spans="1:13" ht="15" thickBot="1" x14ac:dyDescent="0.35">
      <c r="A32" s="44" t="s">
        <v>57</v>
      </c>
      <c r="B32" s="32"/>
      <c r="C32" s="158"/>
      <c r="D32" s="159"/>
      <c r="E32" s="30" t="s">
        <v>3</v>
      </c>
      <c r="F32" s="21" t="e">
        <f t="shared" si="4"/>
        <v>#DIV/0!</v>
      </c>
      <c r="G32" s="30" t="e">
        <f t="shared" si="6"/>
        <v>#DIV/0!</v>
      </c>
      <c r="H32" s="36" t="e">
        <f t="shared" si="5"/>
        <v>#DIV/0!</v>
      </c>
      <c r="I32" s="213" t="s">
        <v>169</v>
      </c>
      <c r="J32" s="215"/>
      <c r="K32" s="138" t="str">
        <f>B4&amp;"_Iliac"</f>
        <v>T2A_63_Iliac</v>
      </c>
    </row>
    <row r="33" spans="1:11" ht="15.6" thickTop="1" thickBot="1" x14ac:dyDescent="0.35">
      <c r="A33" s="131"/>
      <c r="B33" s="63"/>
      <c r="C33" s="63"/>
      <c r="D33" s="2"/>
      <c r="E33" s="2"/>
      <c r="F33" s="2"/>
      <c r="G33" s="125" t="s">
        <v>148</v>
      </c>
      <c r="H33" s="126">
        <f>SUM(H18:H21)</f>
        <v>49.900000000000006</v>
      </c>
    </row>
    <row r="34" spans="1:11" ht="15.6" thickTop="1" thickBot="1" x14ac:dyDescent="0.35">
      <c r="A34" s="200" t="s">
        <v>159</v>
      </c>
      <c r="B34" s="202"/>
      <c r="C34" s="202"/>
      <c r="D34" s="201"/>
      <c r="E34" s="98"/>
      <c r="F34" s="2"/>
      <c r="G34" s="63"/>
      <c r="H34" s="2"/>
    </row>
    <row r="35" spans="1:11" ht="15.6" thickTop="1" thickBot="1" x14ac:dyDescent="0.35">
      <c r="A35" s="210" t="s">
        <v>161</v>
      </c>
      <c r="B35" s="211"/>
      <c r="C35" s="211"/>
      <c r="D35" s="212"/>
      <c r="E35" s="2"/>
      <c r="F35" s="2"/>
      <c r="G35" s="2"/>
      <c r="H35" s="2"/>
    </row>
    <row r="36" spans="1:11" ht="15.6" thickTop="1" thickBot="1" x14ac:dyDescent="0.35">
      <c r="A36" s="132" t="s">
        <v>160</v>
      </c>
      <c r="B36" s="68" t="s">
        <v>147</v>
      </c>
      <c r="C36" s="132" t="s">
        <v>150</v>
      </c>
      <c r="D36" s="133"/>
      <c r="E36" s="213" t="s">
        <v>171</v>
      </c>
      <c r="F36" s="214"/>
      <c r="G36" s="140">
        <f ca="1">'Algemene informatie'!B7</f>
        <v>35</v>
      </c>
      <c r="H36" s="2" t="s">
        <v>27</v>
      </c>
    </row>
    <row r="37" spans="1:11" ht="15" thickTop="1" x14ac:dyDescent="0.3">
      <c r="A37" s="25" t="s">
        <v>153</v>
      </c>
      <c r="B37" s="27">
        <f>(495/(1.1533-(0.0643*LOG(H33))))-450</f>
        <v>24.087009858980423</v>
      </c>
      <c r="C37" s="27">
        <f>(495/(1.1369-(0.0598*LOG(H33))))-450</f>
        <v>28.09753695505475</v>
      </c>
      <c r="D37" s="27" t="s">
        <v>13</v>
      </c>
      <c r="E37" s="2"/>
      <c r="F37" s="2"/>
      <c r="G37" s="2"/>
      <c r="H37" s="2"/>
    </row>
    <row r="38" spans="1:11" x14ac:dyDescent="0.3">
      <c r="A38" s="25" t="s">
        <v>154</v>
      </c>
      <c r="B38" s="27">
        <f>(495/(1.162-(0.063*LOG(H33))))-450</f>
        <v>19.185566987908487</v>
      </c>
      <c r="C38" s="27">
        <f>(495/(1.1549-(0.0678*LOG(H33))))-450</f>
        <v>26.06737968088629</v>
      </c>
      <c r="D38" s="27" t="s">
        <v>13</v>
      </c>
      <c r="E38" s="2"/>
      <c r="F38" s="2"/>
      <c r="G38" s="2"/>
      <c r="H38" s="2"/>
    </row>
    <row r="39" spans="1:11" x14ac:dyDescent="0.3">
      <c r="A39" s="25" t="s">
        <v>155</v>
      </c>
      <c r="B39" s="27">
        <f>(495/(1.1631-(0.0632*LOG(H33))))-450</f>
        <v>18.847656386413803</v>
      </c>
      <c r="C39" s="27">
        <f>(495/(1.1599-(0.0717*LOG(H33))))-450</f>
        <v>26.811459069147816</v>
      </c>
      <c r="D39" s="27" t="s">
        <v>13</v>
      </c>
      <c r="E39" s="2"/>
      <c r="F39" s="2"/>
      <c r="G39" s="2"/>
      <c r="H39" s="2"/>
      <c r="J39" s="87"/>
      <c r="K39" s="87"/>
    </row>
    <row r="40" spans="1:11" x14ac:dyDescent="0.3">
      <c r="A40" s="25" t="s">
        <v>156</v>
      </c>
      <c r="B40" s="27">
        <f>(495/(1.1422-(0.0544*LOG(H33))))-450</f>
        <v>21.507905858806851</v>
      </c>
      <c r="C40" s="27">
        <f>(495/(1.1423-(0.0632*LOG(H33))))-450</f>
        <v>28.27009046626091</v>
      </c>
      <c r="D40" s="27" t="s">
        <v>13</v>
      </c>
      <c r="E40" s="2"/>
      <c r="F40" s="2"/>
      <c r="G40" s="2"/>
      <c r="H40" s="2"/>
      <c r="J40" s="130"/>
      <c r="K40" s="130"/>
    </row>
    <row r="41" spans="1:11" x14ac:dyDescent="0.3">
      <c r="A41" s="25" t="s">
        <v>157</v>
      </c>
      <c r="B41" s="27">
        <f>(495/(1.162-(0.07*LOG(H33))))-450</f>
        <v>24.532028153748627</v>
      </c>
      <c r="C41" s="27">
        <f>(495/(1.1333-(0.0612*LOG(H33))))-450</f>
        <v>30.87373458557704</v>
      </c>
      <c r="D41" s="27" t="s">
        <v>13</v>
      </c>
      <c r="E41" s="2"/>
      <c r="F41" s="2"/>
      <c r="G41" s="2"/>
      <c r="H41" s="2"/>
      <c r="J41" s="130"/>
      <c r="K41" s="130"/>
    </row>
    <row r="42" spans="1:11" ht="15" thickBot="1" x14ac:dyDescent="0.35">
      <c r="A42" s="26" t="s">
        <v>158</v>
      </c>
      <c r="B42" s="30">
        <f>(495/(1.1715-(0.0779*LOG(H33))))-450</f>
        <v>26.319709129677733</v>
      </c>
      <c r="C42" s="30">
        <f>(495/(1.1339-(0.0645*LOG(H33))))-450</f>
        <v>33.222648836025428</v>
      </c>
      <c r="D42" s="30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00" t="s">
        <v>86</v>
      </c>
      <c r="B44" s="201"/>
      <c r="D44" s="2"/>
      <c r="E44" s="2"/>
      <c r="F44" s="2"/>
      <c r="G44" s="2"/>
      <c r="H44" s="2"/>
    </row>
    <row r="45" spans="1:11" ht="15" thickTop="1" x14ac:dyDescent="0.3">
      <c r="A45" s="25" t="s">
        <v>194</v>
      </c>
      <c r="B45" s="160" t="str">
        <f>B4&amp;"_PRE_Biceps"</f>
        <v>T2A_63_PRE_Biceps</v>
      </c>
      <c r="D45" s="2"/>
      <c r="E45" s="2"/>
      <c r="F45" s="2"/>
      <c r="G45" s="2"/>
      <c r="H45" s="2"/>
    </row>
    <row r="46" spans="1:11" x14ac:dyDescent="0.3">
      <c r="A46" s="25"/>
      <c r="B46" s="141" t="str">
        <f>B4&amp;"_PRE_Triceps"</f>
        <v>T2A_63_PRE_Triceps</v>
      </c>
      <c r="D46" s="2"/>
      <c r="E46" s="2"/>
      <c r="F46" s="2"/>
      <c r="G46" s="2"/>
      <c r="H46" s="2"/>
    </row>
    <row r="47" spans="1:11" x14ac:dyDescent="0.3">
      <c r="A47" s="25"/>
      <c r="B47" s="141" t="str">
        <f>B4&amp;"_PRE_Subscapula"</f>
        <v>T2A_63_PRE_Subscapula</v>
      </c>
      <c r="D47" s="2"/>
      <c r="E47" s="2"/>
      <c r="F47" s="2"/>
      <c r="G47" s="2"/>
      <c r="H47" s="2"/>
    </row>
    <row r="48" spans="1:11" ht="15" thickBot="1" x14ac:dyDescent="0.35">
      <c r="A48" s="26"/>
      <c r="B48" s="161" t="str">
        <f>B4&amp;"_PRE_Crista"</f>
        <v>T2A_63_PRE_Crista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00" t="s">
        <v>109</v>
      </c>
      <c r="B50" s="202"/>
      <c r="C50" s="201"/>
    </row>
    <row r="51" spans="1:3" ht="15" thickTop="1" x14ac:dyDescent="0.3">
      <c r="A51" s="191"/>
      <c r="B51" s="203"/>
      <c r="C51" s="192"/>
    </row>
    <row r="52" spans="1:3" x14ac:dyDescent="0.3">
      <c r="A52" s="193"/>
      <c r="B52" s="204"/>
      <c r="C52" s="194"/>
    </row>
    <row r="53" spans="1:3" x14ac:dyDescent="0.3">
      <c r="A53" s="193"/>
      <c r="B53" s="204"/>
      <c r="C53" s="194"/>
    </row>
    <row r="54" spans="1:3" x14ac:dyDescent="0.3">
      <c r="A54" s="193"/>
      <c r="B54" s="204"/>
      <c r="C54" s="194"/>
    </row>
    <row r="55" spans="1:3" ht="15" thickBot="1" x14ac:dyDescent="0.35">
      <c r="A55" s="195"/>
      <c r="B55" s="205"/>
      <c r="C55" s="196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21" zoomScaleNormal="100" workbookViewId="0">
      <selection activeCell="E57" sqref="E57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65" t="str">
        <f>'Algemene informatie'!B4</f>
        <v>T2A_63</v>
      </c>
      <c r="C4" s="64"/>
    </row>
    <row r="5" spans="1:3" ht="28.8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32098</v>
      </c>
      <c r="C6" s="27"/>
    </row>
    <row r="7" spans="1:3" x14ac:dyDescent="0.3">
      <c r="A7" s="59" t="s">
        <v>62</v>
      </c>
      <c r="B7" s="61">
        <f>'1A. Antropometrie'!H16</f>
        <v>173.4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72.540000000000006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f>'1A. Antropometrie'!B9</f>
        <v>44817</v>
      </c>
      <c r="C11" s="27"/>
    </row>
    <row r="12" spans="1:3" x14ac:dyDescent="0.3">
      <c r="A12" s="25" t="s">
        <v>207</v>
      </c>
      <c r="B12" s="67" t="s">
        <v>225</v>
      </c>
      <c r="C12" s="27"/>
    </row>
    <row r="13" spans="1:3" x14ac:dyDescent="0.3">
      <c r="A13" s="25" t="s">
        <v>60</v>
      </c>
      <c r="B13" s="71">
        <v>0.74305555555555547</v>
      </c>
      <c r="C13" s="27" t="s">
        <v>108</v>
      </c>
    </row>
    <row r="14" spans="1:3" x14ac:dyDescent="0.3">
      <c r="A14" s="70" t="s">
        <v>63</v>
      </c>
      <c r="B14" s="16">
        <v>19.3</v>
      </c>
      <c r="C14" s="27" t="s">
        <v>12</v>
      </c>
    </row>
    <row r="15" spans="1:3" x14ac:dyDescent="0.3">
      <c r="A15" s="70" t="s">
        <v>75</v>
      </c>
      <c r="B15" s="75">
        <v>59</v>
      </c>
      <c r="C15" s="27" t="s">
        <v>13</v>
      </c>
    </row>
    <row r="16" spans="1:3" x14ac:dyDescent="0.3">
      <c r="A16" s="76" t="s">
        <v>76</v>
      </c>
      <c r="B16" s="75">
        <v>4</v>
      </c>
      <c r="C16" s="27"/>
    </row>
    <row r="17" spans="1:7" x14ac:dyDescent="0.3">
      <c r="A17" s="76" t="s">
        <v>77</v>
      </c>
      <c r="B17" s="75" t="s">
        <v>226</v>
      </c>
      <c r="C17" s="27"/>
    </row>
    <row r="18" spans="1:7" x14ac:dyDescent="0.3">
      <c r="A18" s="76" t="s">
        <v>78</v>
      </c>
      <c r="B18" s="75" t="s">
        <v>227</v>
      </c>
      <c r="C18" s="27" t="s">
        <v>80</v>
      </c>
    </row>
    <row r="19" spans="1:7" ht="15" thickBot="1" x14ac:dyDescent="0.35">
      <c r="A19" s="77" t="s">
        <v>79</v>
      </c>
      <c r="B19" s="29" t="s">
        <v>228</v>
      </c>
      <c r="C19" s="30" t="s">
        <v>81</v>
      </c>
    </row>
    <row r="20" spans="1:7" ht="15.6" thickTop="1" thickBot="1" x14ac:dyDescent="0.35">
      <c r="A20" s="21"/>
      <c r="B20" s="21"/>
      <c r="C20" s="21"/>
      <c r="D20" s="21"/>
    </row>
    <row r="21" spans="1:7" ht="15.6" thickTop="1" thickBot="1" x14ac:dyDescent="0.35">
      <c r="A21" s="200" t="s">
        <v>64</v>
      </c>
      <c r="B21" s="202"/>
      <c r="C21" s="202"/>
      <c r="D21" s="201"/>
    </row>
    <row r="22" spans="1:7" ht="15.6" thickTop="1" thickBot="1" x14ac:dyDescent="0.35">
      <c r="A22" s="221" t="s">
        <v>73</v>
      </c>
      <c r="B22" s="222"/>
      <c r="C22" s="221" t="s">
        <v>74</v>
      </c>
      <c r="D22" s="222"/>
    </row>
    <row r="23" spans="1:7" ht="15" thickTop="1" x14ac:dyDescent="0.3">
      <c r="A23" s="24" t="s">
        <v>65</v>
      </c>
      <c r="B23" s="27"/>
      <c r="C23" s="24" t="s">
        <v>65</v>
      </c>
      <c r="D23" s="27"/>
    </row>
    <row r="24" spans="1:7" x14ac:dyDescent="0.3">
      <c r="A24" s="25" t="s">
        <v>66</v>
      </c>
      <c r="B24" s="27"/>
      <c r="C24" s="25" t="s">
        <v>66</v>
      </c>
      <c r="D24" s="27"/>
    </row>
    <row r="25" spans="1:7" x14ac:dyDescent="0.3">
      <c r="A25" s="25" t="s">
        <v>67</v>
      </c>
      <c r="B25" s="27"/>
      <c r="C25" s="25" t="s">
        <v>67</v>
      </c>
      <c r="D25" s="27"/>
    </row>
    <row r="26" spans="1:7" x14ac:dyDescent="0.3">
      <c r="A26" s="25" t="s">
        <v>68</v>
      </c>
      <c r="B26" s="27"/>
      <c r="C26" s="25" t="s">
        <v>68</v>
      </c>
      <c r="D26" s="27"/>
    </row>
    <row r="27" spans="1:7" x14ac:dyDescent="0.3">
      <c r="A27" s="25" t="s">
        <v>69</v>
      </c>
      <c r="B27" s="27"/>
      <c r="C27" s="25"/>
      <c r="D27" s="27"/>
    </row>
    <row r="28" spans="1:7" x14ac:dyDescent="0.3">
      <c r="A28" s="25" t="s">
        <v>70</v>
      </c>
      <c r="B28" s="27"/>
      <c r="C28" s="25" t="s">
        <v>70</v>
      </c>
      <c r="D28" s="27"/>
    </row>
    <row r="29" spans="1:7" ht="15" thickBot="1" x14ac:dyDescent="0.35">
      <c r="A29" s="26" t="s">
        <v>71</v>
      </c>
      <c r="B29" s="30"/>
      <c r="C29" s="26" t="s">
        <v>72</v>
      </c>
      <c r="D29" s="30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00" t="s">
        <v>164</v>
      </c>
      <c r="B32" s="202"/>
      <c r="C32" s="202"/>
      <c r="D32" s="202"/>
      <c r="E32" s="202"/>
      <c r="F32" s="202"/>
      <c r="G32" s="201"/>
    </row>
    <row r="33" spans="1:11" ht="15.6" thickTop="1" thickBot="1" x14ac:dyDescent="0.35">
      <c r="A33" s="116" t="s">
        <v>83</v>
      </c>
      <c r="B33" s="80" t="s">
        <v>84</v>
      </c>
      <c r="C33" s="80" t="s">
        <v>4</v>
      </c>
      <c r="D33" s="80" t="s">
        <v>5</v>
      </c>
      <c r="E33" s="80" t="s">
        <v>6</v>
      </c>
      <c r="F33" s="83" t="s">
        <v>7</v>
      </c>
      <c r="G33" s="84" t="s">
        <v>85</v>
      </c>
    </row>
    <row r="34" spans="1:11" ht="15" thickTop="1" x14ac:dyDescent="0.3">
      <c r="A34" s="117">
        <v>4.1666666666666664E-2</v>
      </c>
      <c r="B34" s="47">
        <v>100</v>
      </c>
      <c r="C34" s="47">
        <v>1616</v>
      </c>
      <c r="D34" s="47">
        <v>136</v>
      </c>
      <c r="E34" s="47">
        <v>0.93</v>
      </c>
      <c r="F34" s="81"/>
      <c r="G34" s="27">
        <v>445</v>
      </c>
    </row>
    <row r="35" spans="1:11" x14ac:dyDescent="0.3">
      <c r="A35" s="118">
        <v>8.3333333333333329E-2</v>
      </c>
      <c r="B35" s="4">
        <v>100</v>
      </c>
      <c r="C35" s="4">
        <v>1932</v>
      </c>
      <c r="D35" s="4">
        <v>136</v>
      </c>
      <c r="E35" s="4">
        <v>0.97</v>
      </c>
      <c r="F35" s="4">
        <v>1</v>
      </c>
      <c r="G35" s="79">
        <v>448</v>
      </c>
    </row>
    <row r="36" spans="1:11" x14ac:dyDescent="0.3">
      <c r="A36" s="118">
        <v>0.125</v>
      </c>
      <c r="B36" s="4">
        <v>100</v>
      </c>
      <c r="C36" s="4">
        <v>1840</v>
      </c>
      <c r="D36" s="4">
        <v>130</v>
      </c>
      <c r="E36" s="4">
        <v>1</v>
      </c>
      <c r="F36" s="4">
        <v>1</v>
      </c>
      <c r="G36" s="79">
        <v>457</v>
      </c>
    </row>
    <row r="37" spans="1:11" x14ac:dyDescent="0.3">
      <c r="A37" s="118">
        <v>0.16666666666666666</v>
      </c>
      <c r="B37" s="4">
        <f>B36+25</f>
        <v>125</v>
      </c>
      <c r="C37" s="4">
        <v>2156</v>
      </c>
      <c r="D37" s="4">
        <v>144</v>
      </c>
      <c r="E37" s="4">
        <v>0.99</v>
      </c>
      <c r="F37" s="4">
        <v>1</v>
      </c>
      <c r="G37" s="27">
        <v>464</v>
      </c>
    </row>
    <row r="38" spans="1:11" x14ac:dyDescent="0.3">
      <c r="A38" s="118">
        <v>0.20833333333333334</v>
      </c>
      <c r="B38" s="4">
        <f t="shared" ref="B38:B48" si="0">B37+25</f>
        <v>150</v>
      </c>
      <c r="C38" s="4">
        <v>2179</v>
      </c>
      <c r="D38" s="4">
        <v>149</v>
      </c>
      <c r="E38" s="4">
        <v>0.99</v>
      </c>
      <c r="F38" s="4">
        <v>1</v>
      </c>
      <c r="G38" s="82">
        <v>477</v>
      </c>
    </row>
    <row r="39" spans="1:11" x14ac:dyDescent="0.3">
      <c r="A39" s="118">
        <v>0.25</v>
      </c>
      <c r="B39" s="4">
        <f t="shared" si="0"/>
        <v>175</v>
      </c>
      <c r="C39" s="4">
        <v>2358</v>
      </c>
      <c r="D39" s="4">
        <v>157</v>
      </c>
      <c r="E39" s="4">
        <v>1.01</v>
      </c>
      <c r="F39" s="4">
        <v>2</v>
      </c>
      <c r="G39" s="79">
        <v>480</v>
      </c>
    </row>
    <row r="40" spans="1:11" x14ac:dyDescent="0.3">
      <c r="A40" s="118">
        <v>0.29166666666666669</v>
      </c>
      <c r="B40" s="4">
        <f t="shared" si="0"/>
        <v>200</v>
      </c>
      <c r="C40" s="4">
        <v>2764</v>
      </c>
      <c r="D40" s="4">
        <v>164</v>
      </c>
      <c r="E40" s="4">
        <v>1.06</v>
      </c>
      <c r="F40" s="4">
        <v>3</v>
      </c>
      <c r="G40" s="27">
        <v>488</v>
      </c>
    </row>
    <row r="41" spans="1:11" x14ac:dyDescent="0.3">
      <c r="A41" s="118">
        <v>0.33333333333333331</v>
      </c>
      <c r="B41" s="4">
        <f t="shared" si="0"/>
        <v>225</v>
      </c>
      <c r="C41" s="4">
        <v>3017</v>
      </c>
      <c r="D41" s="4">
        <v>169</v>
      </c>
      <c r="E41" s="4">
        <v>1.06</v>
      </c>
      <c r="F41" s="4">
        <v>3</v>
      </c>
      <c r="G41" s="82">
        <v>499</v>
      </c>
    </row>
    <row r="42" spans="1:11" x14ac:dyDescent="0.3">
      <c r="A42" s="118">
        <v>0.375</v>
      </c>
      <c r="B42" s="4">
        <f t="shared" si="0"/>
        <v>250</v>
      </c>
      <c r="C42" s="4">
        <v>3353</v>
      </c>
      <c r="D42" s="4">
        <v>175</v>
      </c>
      <c r="E42" s="4">
        <v>1.08</v>
      </c>
      <c r="F42" s="4">
        <v>4</v>
      </c>
      <c r="G42" s="79">
        <v>514</v>
      </c>
    </row>
    <row r="43" spans="1:11" x14ac:dyDescent="0.3">
      <c r="A43" s="118">
        <v>0.41666666666666669</v>
      </c>
      <c r="B43" s="4">
        <f t="shared" si="0"/>
        <v>275</v>
      </c>
      <c r="C43" s="4">
        <v>3411</v>
      </c>
      <c r="D43" s="4">
        <v>180</v>
      </c>
      <c r="E43" s="4">
        <v>1.1000000000000001</v>
      </c>
      <c r="F43" s="4">
        <v>4</v>
      </c>
      <c r="G43" s="27">
        <v>535</v>
      </c>
      <c r="K43" s="11"/>
    </row>
    <row r="44" spans="1:11" x14ac:dyDescent="0.3">
      <c r="A44" s="118">
        <v>0.45833333333333331</v>
      </c>
      <c r="B44" s="4">
        <f t="shared" si="0"/>
        <v>300</v>
      </c>
      <c r="C44" s="4">
        <v>3449</v>
      </c>
      <c r="D44" s="4">
        <v>183</v>
      </c>
      <c r="E44" s="4">
        <v>1.18</v>
      </c>
      <c r="F44" s="4">
        <v>6</v>
      </c>
      <c r="G44" s="82">
        <v>561</v>
      </c>
    </row>
    <row r="45" spans="1:11" x14ac:dyDescent="0.3">
      <c r="A45" s="118">
        <v>0.5</v>
      </c>
      <c r="B45" s="4">
        <f t="shared" si="0"/>
        <v>325</v>
      </c>
      <c r="C45" s="4">
        <v>3558</v>
      </c>
      <c r="D45" s="4">
        <v>185</v>
      </c>
      <c r="E45" s="4">
        <v>1.1599999999999999</v>
      </c>
      <c r="F45" s="189" t="s">
        <v>230</v>
      </c>
      <c r="G45" s="82">
        <v>626</v>
      </c>
    </row>
    <row r="46" spans="1:11" x14ac:dyDescent="0.3">
      <c r="A46" s="118">
        <v>0.54166666666666663</v>
      </c>
      <c r="B46" s="4">
        <f t="shared" si="0"/>
        <v>350</v>
      </c>
      <c r="C46" s="4"/>
      <c r="D46" s="4"/>
      <c r="E46" s="4"/>
      <c r="F46" s="4"/>
      <c r="G46" s="79"/>
    </row>
    <row r="47" spans="1:11" x14ac:dyDescent="0.3">
      <c r="A47" s="118">
        <v>0.58333333333333337</v>
      </c>
      <c r="B47" s="4">
        <f t="shared" si="0"/>
        <v>375</v>
      </c>
      <c r="C47" s="4"/>
      <c r="D47" s="4"/>
      <c r="E47" s="4"/>
      <c r="F47" s="4"/>
      <c r="G47" s="79"/>
    </row>
    <row r="48" spans="1:11" x14ac:dyDescent="0.3">
      <c r="A48" s="117">
        <v>0.625</v>
      </c>
      <c r="B48" s="4">
        <f t="shared" si="0"/>
        <v>400</v>
      </c>
      <c r="C48" s="47"/>
      <c r="D48" s="47"/>
      <c r="E48" s="47"/>
      <c r="F48" s="47"/>
      <c r="G48" s="79"/>
    </row>
    <row r="49" spans="1:8" x14ac:dyDescent="0.3">
      <c r="A49" s="118">
        <v>0.66666666666666663</v>
      </c>
      <c r="B49" s="4">
        <f>B48+25</f>
        <v>425</v>
      </c>
      <c r="C49" s="4"/>
      <c r="D49" s="4"/>
      <c r="E49" s="4"/>
      <c r="F49" s="4"/>
      <c r="G49" s="79"/>
    </row>
    <row r="50" spans="1:8" x14ac:dyDescent="0.3">
      <c r="A50" s="118">
        <v>0.70833333333333337</v>
      </c>
      <c r="B50" s="4">
        <f t="shared" ref="B50:B53" si="1">B49+25</f>
        <v>450</v>
      </c>
      <c r="C50" s="152"/>
      <c r="D50" s="4"/>
      <c r="E50" s="4"/>
      <c r="F50" s="4"/>
      <c r="G50" s="121"/>
      <c r="H50" s="98"/>
    </row>
    <row r="51" spans="1:8" x14ac:dyDescent="0.3">
      <c r="A51" s="117">
        <v>0.75</v>
      </c>
      <c r="B51" s="4">
        <f t="shared" si="1"/>
        <v>475</v>
      </c>
      <c r="C51" s="153"/>
      <c r="D51" s="47"/>
      <c r="E51" s="47"/>
      <c r="F51" s="47"/>
      <c r="G51" s="121"/>
    </row>
    <row r="52" spans="1:8" x14ac:dyDescent="0.3">
      <c r="A52" s="117">
        <v>0.79166666666666663</v>
      </c>
      <c r="B52" s="4">
        <f t="shared" si="1"/>
        <v>500</v>
      </c>
      <c r="C52" s="153"/>
      <c r="D52" s="47"/>
      <c r="E52" s="47"/>
      <c r="F52" s="47"/>
      <c r="G52" s="121"/>
      <c r="H52" s="98"/>
    </row>
    <row r="53" spans="1:8" ht="15" thickBot="1" x14ac:dyDescent="0.35">
      <c r="A53" s="155">
        <v>0.83333333333333337</v>
      </c>
      <c r="B53" s="33">
        <f t="shared" si="1"/>
        <v>525</v>
      </c>
      <c r="C53" s="154"/>
      <c r="D53" s="78"/>
      <c r="E53" s="78"/>
      <c r="F53" s="78"/>
      <c r="G53" s="21"/>
      <c r="H53" s="98"/>
    </row>
    <row r="54" spans="1:8" ht="15.6" thickTop="1" thickBot="1" x14ac:dyDescent="0.35">
      <c r="A54" s="149"/>
      <c r="B54" s="2"/>
      <c r="C54" s="2"/>
      <c r="D54" s="63"/>
      <c r="E54" s="2"/>
      <c r="F54" s="63"/>
      <c r="G54" s="2"/>
    </row>
    <row r="55" spans="1:8" ht="15.6" thickTop="1" thickBot="1" x14ac:dyDescent="0.35">
      <c r="A55" s="200" t="s">
        <v>192</v>
      </c>
      <c r="B55" s="202"/>
      <c r="C55" s="201"/>
      <c r="D55" s="2"/>
      <c r="E55" s="2"/>
      <c r="F55" s="2"/>
      <c r="G55" s="2"/>
    </row>
    <row r="56" spans="1:8" ht="15.6" thickTop="1" thickBot="1" x14ac:dyDescent="0.35">
      <c r="A56" t="s">
        <v>214</v>
      </c>
      <c r="B56" s="180">
        <v>3478</v>
      </c>
      <c r="C56" t="s">
        <v>215</v>
      </c>
      <c r="D56" s="98"/>
      <c r="E56" s="2"/>
      <c r="F56" s="2"/>
      <c r="G56" s="2"/>
    </row>
    <row r="57" spans="1:8" ht="15.6" thickTop="1" thickBot="1" x14ac:dyDescent="0.35">
      <c r="A57" s="148" t="s">
        <v>193</v>
      </c>
      <c r="B57" s="180">
        <f>B56/B8</f>
        <v>47.945960849186655</v>
      </c>
      <c r="C57" s="150" t="s">
        <v>186</v>
      </c>
      <c r="D57" s="2"/>
      <c r="E57" s="2"/>
      <c r="F57" s="2"/>
      <c r="G57" s="2"/>
    </row>
    <row r="58" spans="1:8" ht="15.6" thickTop="1" thickBot="1" x14ac:dyDescent="0.35">
      <c r="A58" s="86"/>
      <c r="B58" s="21"/>
      <c r="C58" s="68"/>
      <c r="D58" s="2"/>
      <c r="E58" s="2"/>
      <c r="F58" s="2"/>
    </row>
    <row r="59" spans="1:8" ht="15.6" thickTop="1" thickBot="1" x14ac:dyDescent="0.35">
      <c r="A59" s="200" t="s">
        <v>86</v>
      </c>
      <c r="B59" s="202"/>
      <c r="C59" s="201"/>
      <c r="D59" s="2"/>
      <c r="E59" s="2"/>
      <c r="F59" s="2"/>
    </row>
    <row r="60" spans="1:8" ht="15" thickTop="1" x14ac:dyDescent="0.3">
      <c r="A60" s="25" t="s">
        <v>10</v>
      </c>
      <c r="B60" s="85" t="str">
        <f>B4&amp;"_VO2max_PRE_STEP"</f>
        <v>T2A_63_VO2max_PRE_STEP</v>
      </c>
      <c r="C60" s="27" t="s">
        <v>11</v>
      </c>
      <c r="D60" s="2"/>
      <c r="E60" s="2"/>
      <c r="F60" s="2"/>
    </row>
    <row r="61" spans="1:8" ht="15" thickBot="1" x14ac:dyDescent="0.35">
      <c r="A61" s="26" t="s">
        <v>10</v>
      </c>
      <c r="B61" s="73" t="str">
        <f>B60&amp;"10sec"</f>
        <v>T2A_63_VO2max_PRE_STEP10sec</v>
      </c>
      <c r="C61" s="30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00" t="s">
        <v>109</v>
      </c>
      <c r="B63" s="202"/>
      <c r="C63" s="201"/>
    </row>
    <row r="64" spans="1:8" ht="15" thickTop="1" x14ac:dyDescent="0.3">
      <c r="A64" s="191" t="s">
        <v>229</v>
      </c>
      <c r="B64" s="203"/>
      <c r="C64" s="192"/>
      <c r="D64" s="2"/>
    </row>
    <row r="65" spans="1:4" x14ac:dyDescent="0.3">
      <c r="A65" s="193"/>
      <c r="B65" s="204"/>
      <c r="C65" s="194"/>
      <c r="D65" s="2"/>
    </row>
    <row r="66" spans="1:4" x14ac:dyDescent="0.3">
      <c r="A66" s="193"/>
      <c r="B66" s="204"/>
      <c r="C66" s="194"/>
    </row>
    <row r="67" spans="1:4" x14ac:dyDescent="0.3">
      <c r="A67" s="193"/>
      <c r="B67" s="204"/>
      <c r="C67" s="194"/>
    </row>
    <row r="68" spans="1:4" ht="15" thickBot="1" x14ac:dyDescent="0.35">
      <c r="A68" s="195"/>
      <c r="B68" s="205"/>
      <c r="C68" s="196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D14" sqref="D14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00" t="s">
        <v>32</v>
      </c>
      <c r="B3" s="201"/>
    </row>
    <row r="4" spans="1:3" ht="15" thickTop="1" x14ac:dyDescent="0.3">
      <c r="A4" s="24" t="s">
        <v>17</v>
      </c>
      <c r="B4" s="18" t="str">
        <f>'Algemene informatie'!B4</f>
        <v>T2A_63</v>
      </c>
    </row>
    <row r="5" spans="1:3" x14ac:dyDescent="0.3">
      <c r="A5" s="25" t="s">
        <v>35</v>
      </c>
      <c r="B5" s="19">
        <f>'Algemene informatie'!B5</f>
        <v>1</v>
      </c>
    </row>
    <row r="6" spans="1:3" ht="15" thickBot="1" x14ac:dyDescent="0.35">
      <c r="A6" s="26" t="s">
        <v>18</v>
      </c>
      <c r="B6" s="22">
        <f>'Algemene informatie'!B6</f>
        <v>32098</v>
      </c>
    </row>
    <row r="7" spans="1:3" ht="15.6" thickTop="1" thickBot="1" x14ac:dyDescent="0.35"/>
    <row r="8" spans="1:3" ht="15.6" thickTop="1" thickBot="1" x14ac:dyDescent="0.35">
      <c r="A8" s="200" t="s">
        <v>58</v>
      </c>
      <c r="B8" s="201"/>
    </row>
    <row r="9" spans="1:3" ht="15" thickTop="1" x14ac:dyDescent="0.3">
      <c r="A9" s="25" t="s">
        <v>59</v>
      </c>
      <c r="B9" s="20">
        <v>44819</v>
      </c>
    </row>
    <row r="10" spans="1:3" x14ac:dyDescent="0.3">
      <c r="A10" s="25" t="s">
        <v>207</v>
      </c>
      <c r="B10" s="20" t="s">
        <v>218</v>
      </c>
    </row>
    <row r="11" spans="1:3" x14ac:dyDescent="0.3">
      <c r="A11" s="25" t="s">
        <v>60</v>
      </c>
      <c r="B11" s="127">
        <v>0.72916666666666663</v>
      </c>
    </row>
    <row r="12" spans="1:3" x14ac:dyDescent="0.3">
      <c r="A12" s="25" t="s">
        <v>151</v>
      </c>
      <c r="B12" s="181"/>
      <c r="C12" t="s">
        <v>2</v>
      </c>
    </row>
    <row r="13" spans="1:3" ht="15" thickBot="1" x14ac:dyDescent="0.35">
      <c r="A13" s="69" t="s">
        <v>167</v>
      </c>
      <c r="B13" s="128"/>
      <c r="C13" s="98" t="s">
        <v>2</v>
      </c>
    </row>
    <row r="14" spans="1:3" ht="15.6" thickTop="1" thickBot="1" x14ac:dyDescent="0.35">
      <c r="A14" s="68"/>
      <c r="B14" s="68"/>
    </row>
    <row r="15" spans="1:3" ht="15.6" thickTop="1" thickBot="1" x14ac:dyDescent="0.35">
      <c r="A15" s="200" t="s">
        <v>86</v>
      </c>
      <c r="B15" s="201"/>
    </row>
    <row r="16" spans="1:3" ht="15" thickTop="1" x14ac:dyDescent="0.3">
      <c r="A16" s="25" t="s">
        <v>88</v>
      </c>
      <c r="B16" s="18" t="str">
        <f>B4&amp;"_PRE_3D_scan1.mhd"</f>
        <v>T2A_63_PRE_3D_scan1.mhd</v>
      </c>
    </row>
    <row r="17" spans="1:7" x14ac:dyDescent="0.3">
      <c r="A17" s="25" t="s">
        <v>89</v>
      </c>
      <c r="B17" s="18" t="str">
        <f>B4&amp;"_PRE_3D_scan2.mhd"</f>
        <v>T2A_63_PRE_3D_scan2.mhd</v>
      </c>
    </row>
    <row r="18" spans="1:7" ht="15" thickBot="1" x14ac:dyDescent="0.35">
      <c r="A18" s="69" t="s">
        <v>166</v>
      </c>
      <c r="B18" s="89" t="str">
        <f>B4&amp;"_PRE_3D_botpunten.mhd"</f>
        <v>T2A_63_PRE_3D_botpunten.mhd</v>
      </c>
      <c r="C18" s="2"/>
    </row>
    <row r="19" spans="1:7" ht="15.6" thickTop="1" thickBot="1" x14ac:dyDescent="0.35">
      <c r="A19" s="63"/>
      <c r="B19" s="88"/>
      <c r="C19" s="87"/>
      <c r="D19" s="87"/>
      <c r="E19" s="87"/>
      <c r="F19" s="87"/>
      <c r="G19" s="87"/>
    </row>
    <row r="20" spans="1:7" ht="15.6" thickTop="1" thickBot="1" x14ac:dyDescent="0.35">
      <c r="A20" s="200" t="s">
        <v>109</v>
      </c>
      <c r="B20" s="202"/>
      <c r="C20" s="201"/>
    </row>
    <row r="21" spans="1:7" ht="15" thickTop="1" x14ac:dyDescent="0.3">
      <c r="A21" s="191"/>
      <c r="B21" s="203"/>
      <c r="C21" s="192"/>
    </row>
    <row r="22" spans="1:7" x14ac:dyDescent="0.3">
      <c r="A22" s="193"/>
      <c r="B22" s="204"/>
      <c r="C22" s="194"/>
    </row>
    <row r="23" spans="1:7" x14ac:dyDescent="0.3">
      <c r="A23" s="193"/>
      <c r="B23" s="204"/>
      <c r="C23" s="194"/>
    </row>
    <row r="24" spans="1:7" x14ac:dyDescent="0.3">
      <c r="A24" s="193"/>
      <c r="B24" s="204"/>
      <c r="C24" s="194"/>
    </row>
    <row r="25" spans="1:7" ht="15" thickBot="1" x14ac:dyDescent="0.35">
      <c r="A25" s="195"/>
      <c r="B25" s="205"/>
      <c r="C25" s="196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22" workbookViewId="0">
      <selection activeCell="H35" sqref="H35"/>
    </sheetView>
  </sheetViews>
  <sheetFormatPr defaultRowHeight="14.4" x14ac:dyDescent="0.3"/>
  <cols>
    <col min="1" max="1" width="26" bestFit="1" customWidth="1"/>
    <col min="2" max="2" width="16.109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1"/>
    </row>
    <row r="3" spans="1:12" ht="15.6" thickTop="1" thickBot="1" x14ac:dyDescent="0.35">
      <c r="A3" s="200" t="s">
        <v>32</v>
      </c>
      <c r="B3" s="202"/>
      <c r="C3" s="201"/>
    </row>
    <row r="4" spans="1:12" ht="15" thickTop="1" x14ac:dyDescent="0.3">
      <c r="A4" s="24" t="s">
        <v>17</v>
      </c>
      <c r="B4" s="85" t="str">
        <f>'Algemene informatie'!B4</f>
        <v>T2A_63</v>
      </c>
      <c r="C4" s="64"/>
    </row>
    <row r="5" spans="1:12" x14ac:dyDescent="0.3">
      <c r="A5" s="25" t="s">
        <v>35</v>
      </c>
      <c r="B5" s="94">
        <f>'Algemene informatie'!B5</f>
        <v>1</v>
      </c>
      <c r="C5" s="27"/>
    </row>
    <row r="6" spans="1:12" x14ac:dyDescent="0.3">
      <c r="A6" s="25" t="s">
        <v>18</v>
      </c>
      <c r="B6" s="67">
        <f>'Algemene informatie'!B6</f>
        <v>32098</v>
      </c>
      <c r="C6" s="27"/>
    </row>
    <row r="7" spans="1:12" x14ac:dyDescent="0.3">
      <c r="A7" s="70" t="s">
        <v>61</v>
      </c>
      <c r="B7" s="91">
        <f>'1A. Antropometrie'!H15</f>
        <v>72.540000000000006</v>
      </c>
      <c r="C7" s="27" t="s">
        <v>1</v>
      </c>
    </row>
    <row r="8" spans="1:12" ht="15" thickBot="1" x14ac:dyDescent="0.35">
      <c r="A8" s="69" t="s">
        <v>62</v>
      </c>
      <c r="B8" s="92">
        <f>'1A. Antropometrie'!H16</f>
        <v>173.4</v>
      </c>
      <c r="C8" s="30" t="s">
        <v>2</v>
      </c>
    </row>
    <row r="9" spans="1:12" ht="15.6" thickTop="1" thickBot="1" x14ac:dyDescent="0.35">
      <c r="C9" s="21"/>
      <c r="L9" s="3"/>
    </row>
    <row r="10" spans="1:12" ht="15.6" thickTop="1" thickBot="1" x14ac:dyDescent="0.35">
      <c r="A10" s="200" t="s">
        <v>58</v>
      </c>
      <c r="B10" s="202"/>
      <c r="C10" s="201"/>
    </row>
    <row r="11" spans="1:12" ht="15" thickTop="1" x14ac:dyDescent="0.3">
      <c r="A11" s="25" t="s">
        <v>59</v>
      </c>
      <c r="B11" s="72">
        <f>'2A. 3D US'!B9</f>
        <v>44819</v>
      </c>
      <c r="C11" s="27"/>
    </row>
    <row r="12" spans="1:12" x14ac:dyDescent="0.3">
      <c r="A12" s="25" t="s">
        <v>207</v>
      </c>
      <c r="B12" s="67" t="s">
        <v>218</v>
      </c>
      <c r="C12" s="27"/>
    </row>
    <row r="13" spans="1:12" x14ac:dyDescent="0.3">
      <c r="A13" s="25" t="s">
        <v>60</v>
      </c>
      <c r="B13" s="71">
        <v>0.75</v>
      </c>
      <c r="C13" s="27"/>
    </row>
    <row r="14" spans="1:12" x14ac:dyDescent="0.3">
      <c r="A14" s="25" t="s">
        <v>63</v>
      </c>
      <c r="B14" s="91"/>
      <c r="C14" s="27" t="s">
        <v>12</v>
      </c>
    </row>
    <row r="15" spans="1:12" x14ac:dyDescent="0.3">
      <c r="A15" s="25" t="s">
        <v>75</v>
      </c>
      <c r="B15" s="91"/>
      <c r="C15" s="27" t="s">
        <v>13</v>
      </c>
    </row>
    <row r="16" spans="1:12" x14ac:dyDescent="0.3">
      <c r="A16" s="70" t="s">
        <v>77</v>
      </c>
      <c r="B16" s="129" t="str">
        <f>'1B. VO2max'!B17</f>
        <v>SPD</v>
      </c>
      <c r="C16" s="27"/>
    </row>
    <row r="17" spans="1:7" x14ac:dyDescent="0.3">
      <c r="A17" s="70" t="s">
        <v>91</v>
      </c>
      <c r="B17" s="129">
        <v>10</v>
      </c>
      <c r="C17" s="27"/>
    </row>
    <row r="18" spans="1:7" x14ac:dyDescent="0.3">
      <c r="A18" s="70" t="s">
        <v>92</v>
      </c>
      <c r="B18" s="129" t="s">
        <v>231</v>
      </c>
      <c r="C18" s="27"/>
    </row>
    <row r="19" spans="1:7" x14ac:dyDescent="0.3">
      <c r="A19" s="70" t="s">
        <v>93</v>
      </c>
      <c r="B19" s="129" t="s">
        <v>232</v>
      </c>
      <c r="C19" s="27"/>
    </row>
    <row r="20" spans="1:7" ht="15" thickBot="1" x14ac:dyDescent="0.35">
      <c r="A20" s="69" t="s">
        <v>94</v>
      </c>
      <c r="B20" s="93">
        <f>0.075*B7</f>
        <v>5.4405000000000001</v>
      </c>
      <c r="C20" s="30" t="s">
        <v>1</v>
      </c>
      <c r="D20" s="223" t="s">
        <v>103</v>
      </c>
      <c r="E20" s="224"/>
      <c r="F20" s="224"/>
      <c r="G20" s="224"/>
    </row>
    <row r="21" spans="1:7" ht="15.6" thickTop="1" thickBot="1" x14ac:dyDescent="0.35">
      <c r="A21" s="68"/>
      <c r="B21" s="68"/>
      <c r="C21" s="68"/>
    </row>
    <row r="22" spans="1:7" ht="15.6" thickTop="1" thickBot="1" x14ac:dyDescent="0.35">
      <c r="A22" s="200" t="s">
        <v>82</v>
      </c>
      <c r="B22" s="202"/>
      <c r="C22" s="201"/>
      <c r="D22" s="99"/>
      <c r="E22" s="87"/>
      <c r="F22" s="87"/>
    </row>
    <row r="23" spans="1:7" ht="15.6" thickTop="1" thickBot="1" x14ac:dyDescent="0.35">
      <c r="A23" s="109" t="s">
        <v>95</v>
      </c>
      <c r="B23" s="110" t="s">
        <v>168</v>
      </c>
      <c r="C23" s="110" t="s">
        <v>98</v>
      </c>
      <c r="D23" s="98"/>
    </row>
    <row r="24" spans="1:7" ht="15" thickTop="1" x14ac:dyDescent="0.3">
      <c r="A24" s="106" t="s">
        <v>9</v>
      </c>
      <c r="B24" s="108" t="s">
        <v>152</v>
      </c>
      <c r="C24" s="107" t="s">
        <v>96</v>
      </c>
    </row>
    <row r="25" spans="1:7" x14ac:dyDescent="0.3">
      <c r="A25" s="101" t="s">
        <v>105</v>
      </c>
      <c r="B25" s="96"/>
      <c r="C25" s="104" t="s">
        <v>99</v>
      </c>
    </row>
    <row r="26" spans="1:7" x14ac:dyDescent="0.3">
      <c r="A26" s="101" t="s">
        <v>106</v>
      </c>
      <c r="B26" s="96"/>
      <c r="C26" s="104" t="s">
        <v>100</v>
      </c>
    </row>
    <row r="27" spans="1:7" x14ac:dyDescent="0.3">
      <c r="A27" s="101" t="s">
        <v>107</v>
      </c>
      <c r="B27" s="96"/>
      <c r="C27" s="104" t="s">
        <v>101</v>
      </c>
    </row>
    <row r="28" spans="1:7" x14ac:dyDescent="0.3">
      <c r="A28" s="100" t="s">
        <v>8</v>
      </c>
      <c r="B28" s="97"/>
      <c r="C28" s="104" t="s">
        <v>102</v>
      </c>
    </row>
    <row r="29" spans="1:7" x14ac:dyDescent="0.3">
      <c r="A29" s="100" t="s">
        <v>15</v>
      </c>
      <c r="B29" s="12">
        <v>7.4999999999999997E-2</v>
      </c>
      <c r="C29" s="104" t="s">
        <v>14</v>
      </c>
    </row>
    <row r="30" spans="1:7" ht="15" thickBot="1" x14ac:dyDescent="0.35">
      <c r="A30" s="102" t="s">
        <v>16</v>
      </c>
      <c r="B30" s="103" t="s">
        <v>152</v>
      </c>
      <c r="C30" s="105" t="s">
        <v>97</v>
      </c>
    </row>
    <row r="31" spans="1:7" ht="15.6" thickTop="1" thickBot="1" x14ac:dyDescent="0.35">
      <c r="A31" s="13"/>
      <c r="B31" s="147"/>
      <c r="C31" s="2"/>
    </row>
    <row r="32" spans="1:7" ht="15.6" thickTop="1" thickBot="1" x14ac:dyDescent="0.35">
      <c r="A32" s="200" t="s">
        <v>192</v>
      </c>
      <c r="B32" s="202"/>
      <c r="C32" s="201"/>
    </row>
    <row r="33" spans="1:4" ht="15.6" thickTop="1" thickBot="1" x14ac:dyDescent="0.35">
      <c r="A33" s="148" t="s">
        <v>213</v>
      </c>
      <c r="B33" s="180">
        <v>1069.1500000000001</v>
      </c>
      <c r="C33" s="150" t="s">
        <v>187</v>
      </c>
      <c r="D33" s="98"/>
    </row>
    <row r="34" spans="1:4" ht="15.6" thickTop="1" thickBot="1" x14ac:dyDescent="0.35">
      <c r="A34" s="179" t="s">
        <v>212</v>
      </c>
      <c r="B34" s="180">
        <f>B33/B7</f>
        <v>14.738764819409981</v>
      </c>
      <c r="C34" s="13" t="s">
        <v>216</v>
      </c>
      <c r="D34" s="98"/>
    </row>
    <row r="35" spans="1:4" ht="15.6" thickTop="1" thickBot="1" x14ac:dyDescent="0.35">
      <c r="A35" s="68"/>
      <c r="B35" s="68"/>
      <c r="C35" s="68"/>
    </row>
    <row r="36" spans="1:4" ht="15.6" thickTop="1" thickBot="1" x14ac:dyDescent="0.35">
      <c r="A36" s="200" t="s">
        <v>86</v>
      </c>
      <c r="B36" s="202"/>
      <c r="C36" s="201"/>
    </row>
    <row r="37" spans="1:4" ht="15.6" thickTop="1" thickBot="1" x14ac:dyDescent="0.35">
      <c r="A37" s="26" t="s">
        <v>104</v>
      </c>
      <c r="B37" s="225" t="str">
        <f>B4&amp;"_PRE_Wingate"</f>
        <v>T2A_63_PRE_Wingate</v>
      </c>
      <c r="C37" s="226"/>
      <c r="D37" s="98"/>
    </row>
    <row r="38" spans="1:4" ht="15" thickBot="1" x14ac:dyDescent="0.35">
      <c r="C38" s="2"/>
    </row>
    <row r="39" spans="1:4" ht="15.6" thickTop="1" thickBot="1" x14ac:dyDescent="0.35">
      <c r="A39" s="200" t="s">
        <v>109</v>
      </c>
      <c r="B39" s="202"/>
      <c r="C39" s="201"/>
    </row>
    <row r="40" spans="1:4" ht="15" thickTop="1" x14ac:dyDescent="0.3">
      <c r="A40" s="191" t="s">
        <v>233</v>
      </c>
      <c r="B40" s="203"/>
      <c r="C40" s="192"/>
    </row>
    <row r="41" spans="1:4" x14ac:dyDescent="0.3">
      <c r="A41" s="193"/>
      <c r="B41" s="204"/>
      <c r="C41" s="194"/>
    </row>
    <row r="42" spans="1:4" x14ac:dyDescent="0.3">
      <c r="A42" s="193"/>
      <c r="B42" s="204"/>
      <c r="C42" s="194"/>
    </row>
    <row r="43" spans="1:4" x14ac:dyDescent="0.3">
      <c r="A43" s="193"/>
      <c r="B43" s="204"/>
      <c r="C43" s="194"/>
    </row>
    <row r="44" spans="1:4" ht="15" thickBot="1" x14ac:dyDescent="0.35">
      <c r="A44" s="195"/>
      <c r="B44" s="205"/>
      <c r="C44" s="196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workbookViewId="0">
      <selection activeCell="H29" sqref="H29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85" t="str">
        <f>'Algemene informatie'!B4</f>
        <v>T2A_63</v>
      </c>
      <c r="C4" s="64"/>
    </row>
    <row r="5" spans="1:3" x14ac:dyDescent="0.3">
      <c r="A5" s="25" t="s">
        <v>35</v>
      </c>
      <c r="B5" s="94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32098</v>
      </c>
      <c r="C6" s="27"/>
    </row>
    <row r="7" spans="1:3" x14ac:dyDescent="0.3">
      <c r="A7" s="70" t="s">
        <v>61</v>
      </c>
      <c r="B7" s="91">
        <f>'1A. Antropometrie'!H15</f>
        <v>72.540000000000006</v>
      </c>
      <c r="C7" s="27" t="s">
        <v>1</v>
      </c>
    </row>
    <row r="8" spans="1:3" ht="15" thickBot="1" x14ac:dyDescent="0.35">
      <c r="A8" s="69" t="s">
        <v>62</v>
      </c>
      <c r="B8" s="92">
        <f>'1A. Antropometrie'!H16</f>
        <v>173.4</v>
      </c>
      <c r="C8" s="30" t="s">
        <v>2</v>
      </c>
    </row>
    <row r="9" spans="1:3" ht="15.6" thickTop="1" thickBot="1" x14ac:dyDescent="0.35">
      <c r="C9" s="21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v>44821</v>
      </c>
      <c r="C11" s="27"/>
    </row>
    <row r="12" spans="1:3" x14ac:dyDescent="0.3">
      <c r="A12" s="25" t="s">
        <v>207</v>
      </c>
      <c r="B12" s="187" t="s">
        <v>218</v>
      </c>
      <c r="C12" s="27"/>
    </row>
    <row r="13" spans="1:3" ht="15" thickBot="1" x14ac:dyDescent="0.35">
      <c r="A13" s="25" t="s">
        <v>60</v>
      </c>
      <c r="B13" s="95">
        <v>0.70833333333333337</v>
      </c>
      <c r="C13" s="30" t="s">
        <v>108</v>
      </c>
    </row>
    <row r="14" spans="1:3" ht="15.6" thickTop="1" thickBot="1" x14ac:dyDescent="0.35">
      <c r="A14" s="63"/>
      <c r="B14" s="90"/>
      <c r="C14" s="2"/>
    </row>
    <row r="15" spans="1:3" ht="15.6" thickTop="1" thickBot="1" x14ac:dyDescent="0.35">
      <c r="A15" s="200" t="s">
        <v>111</v>
      </c>
      <c r="B15" s="202"/>
      <c r="C15" s="201"/>
    </row>
    <row r="16" spans="1:3" ht="15" thickTop="1" x14ac:dyDescent="0.3">
      <c r="A16" s="25" t="s">
        <v>112</v>
      </c>
      <c r="B16" s="111"/>
      <c r="C16" s="27"/>
    </row>
    <row r="17" spans="1:12" x14ac:dyDescent="0.3">
      <c r="A17" s="113" t="s">
        <v>113</v>
      </c>
      <c r="B17" s="61"/>
      <c r="C17" s="27" t="s">
        <v>2</v>
      </c>
    </row>
    <row r="18" spans="1:12" x14ac:dyDescent="0.3">
      <c r="A18" s="113" t="s">
        <v>114</v>
      </c>
      <c r="B18" s="61"/>
      <c r="C18" s="27" t="s">
        <v>2</v>
      </c>
    </row>
    <row r="19" spans="1:12" x14ac:dyDescent="0.3">
      <c r="A19" s="113" t="s">
        <v>115</v>
      </c>
      <c r="B19" s="61"/>
      <c r="C19" s="27" t="s">
        <v>2</v>
      </c>
    </row>
    <row r="20" spans="1:12" x14ac:dyDescent="0.3">
      <c r="A20" s="113" t="s">
        <v>116</v>
      </c>
      <c r="B20" s="61"/>
      <c r="C20" s="27" t="s">
        <v>2</v>
      </c>
      <c r="I20" t="s">
        <v>119</v>
      </c>
    </row>
    <row r="21" spans="1:12" x14ac:dyDescent="0.3">
      <c r="A21" s="113" t="s">
        <v>117</v>
      </c>
      <c r="B21" s="61"/>
      <c r="C21" s="27" t="s">
        <v>2</v>
      </c>
    </row>
    <row r="22" spans="1:12" ht="15" thickBot="1" x14ac:dyDescent="0.35">
      <c r="A22" s="114" t="s">
        <v>118</v>
      </c>
      <c r="B22" s="112">
        <f>MAX(B17:B21)</f>
        <v>0</v>
      </c>
      <c r="C22" s="30" t="s">
        <v>2</v>
      </c>
    </row>
    <row r="23" spans="1:12" ht="15.6" thickTop="1" thickBot="1" x14ac:dyDescent="0.35">
      <c r="A23" s="68"/>
    </row>
    <row r="24" spans="1:12" ht="15.6" thickTop="1" thickBot="1" x14ac:dyDescent="0.35">
      <c r="A24" s="200" t="s">
        <v>86</v>
      </c>
      <c r="B24" s="201"/>
      <c r="C24" s="98"/>
    </row>
    <row r="25" spans="1:12" ht="15" thickTop="1" x14ac:dyDescent="0.3">
      <c r="A25" s="24" t="s">
        <v>172</v>
      </c>
      <c r="B25" s="14" t="s">
        <v>237</v>
      </c>
      <c r="C25" s="98" t="s">
        <v>174</v>
      </c>
      <c r="D25" s="227" t="s">
        <v>120</v>
      </c>
      <c r="E25" s="227"/>
      <c r="F25" s="227"/>
      <c r="G25" s="227"/>
      <c r="H25" s="227"/>
      <c r="I25" s="227"/>
      <c r="J25" s="227"/>
      <c r="K25" s="227"/>
      <c r="L25" s="227"/>
    </row>
    <row r="26" spans="1:12" x14ac:dyDescent="0.3">
      <c r="A26" s="25" t="s">
        <v>172</v>
      </c>
      <c r="B26" s="141" t="str">
        <f>B4&amp;"_PRE_Leftfoot.DAT"</f>
        <v>T2A_63_PRE_Leftfoot.DAT</v>
      </c>
      <c r="C26" s="98"/>
      <c r="D26" s="227" t="s">
        <v>120</v>
      </c>
      <c r="E26" s="227"/>
      <c r="F26" s="227"/>
      <c r="G26" s="227"/>
      <c r="H26" s="227"/>
      <c r="I26" s="227"/>
      <c r="J26" s="227"/>
      <c r="K26" s="227"/>
      <c r="L26" s="227"/>
    </row>
    <row r="27" spans="1:12" x14ac:dyDescent="0.3">
      <c r="A27" s="25" t="s">
        <v>173</v>
      </c>
      <c r="B27" s="141" t="s">
        <v>236</v>
      </c>
      <c r="C27" s="2" t="s">
        <v>174</v>
      </c>
      <c r="D27" s="2"/>
    </row>
    <row r="28" spans="1:12" x14ac:dyDescent="0.3">
      <c r="A28" s="25" t="s">
        <v>173</v>
      </c>
      <c r="B28" s="141" t="str">
        <f>B4&amp;"_PRE_Rightfoot.DAT"</f>
        <v>T2A_63_PRE_Rightfoot.DAT</v>
      </c>
      <c r="E28" s="2"/>
    </row>
    <row r="29" spans="1:12" ht="15" thickBot="1" x14ac:dyDescent="0.35">
      <c r="A29" s="26" t="s">
        <v>175</v>
      </c>
      <c r="B29" s="14" t="str">
        <f>B4&amp;"_PRE_Sprong"</f>
        <v>T2A_63_PRE_Sprong</v>
      </c>
      <c r="C29" s="98"/>
    </row>
    <row r="30" spans="1:12" ht="15.6" thickTop="1" thickBot="1" x14ac:dyDescent="0.35">
      <c r="A30" s="68"/>
      <c r="B30" s="68"/>
    </row>
    <row r="31" spans="1:12" ht="15.6" thickTop="1" thickBot="1" x14ac:dyDescent="0.35">
      <c r="A31" s="200" t="s">
        <v>109</v>
      </c>
      <c r="B31" s="202"/>
      <c r="C31" s="201"/>
    </row>
    <row r="32" spans="1:12" ht="15" thickTop="1" x14ac:dyDescent="0.3">
      <c r="A32" s="191" t="s">
        <v>234</v>
      </c>
      <c r="B32" s="203"/>
      <c r="C32" s="192"/>
    </row>
    <row r="33" spans="1:3" x14ac:dyDescent="0.3">
      <c r="A33" s="193"/>
      <c r="B33" s="204"/>
      <c r="C33" s="194"/>
    </row>
    <row r="34" spans="1:3" x14ac:dyDescent="0.3">
      <c r="A34" s="193"/>
      <c r="B34" s="204"/>
      <c r="C34" s="194"/>
    </row>
    <row r="35" spans="1:3" x14ac:dyDescent="0.3">
      <c r="A35" s="193"/>
      <c r="B35" s="204"/>
      <c r="C35" s="194"/>
    </row>
    <row r="36" spans="1:3" ht="15" thickBot="1" x14ac:dyDescent="0.35">
      <c r="A36" s="195"/>
      <c r="B36" s="205"/>
      <c r="C36" s="196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L88"/>
  <sheetViews>
    <sheetView tabSelected="1" topLeftCell="A63" workbookViewId="0">
      <selection activeCell="E84" sqref="E84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65" t="str">
        <f>'Algemene informatie'!B4</f>
        <v>T2A_63</v>
      </c>
      <c r="C4" s="64"/>
    </row>
    <row r="5" spans="1:3" ht="57.6" customHeight="1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32098</v>
      </c>
      <c r="C6" s="27"/>
    </row>
    <row r="7" spans="1:3" x14ac:dyDescent="0.3">
      <c r="A7" s="59" t="s">
        <v>62</v>
      </c>
      <c r="B7" s="61">
        <f>'1A. Antropometrie'!H16</f>
        <v>173.4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72.540000000000006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f>'3A. Jump test'!B11</f>
        <v>44821</v>
      </c>
      <c r="C11" s="27"/>
    </row>
    <row r="12" spans="1:3" x14ac:dyDescent="0.3">
      <c r="A12" s="25" t="s">
        <v>207</v>
      </c>
      <c r="B12" s="67" t="s">
        <v>225</v>
      </c>
      <c r="C12" s="27"/>
    </row>
    <row r="13" spans="1:3" x14ac:dyDescent="0.3">
      <c r="A13" s="25" t="s">
        <v>60</v>
      </c>
      <c r="B13" s="71">
        <v>0.72916666666666663</v>
      </c>
      <c r="C13" s="27" t="s">
        <v>108</v>
      </c>
    </row>
    <row r="14" spans="1:3" x14ac:dyDescent="0.3">
      <c r="A14" s="70" t="s">
        <v>63</v>
      </c>
      <c r="B14" s="16">
        <v>18.2</v>
      </c>
      <c r="C14" s="27" t="s">
        <v>12</v>
      </c>
    </row>
    <row r="15" spans="1:3" x14ac:dyDescent="0.3">
      <c r="A15" s="70" t="s">
        <v>75</v>
      </c>
      <c r="B15" s="75">
        <v>41</v>
      </c>
      <c r="C15" s="27" t="s">
        <v>13</v>
      </c>
    </row>
    <row r="16" spans="1:3" x14ac:dyDescent="0.3">
      <c r="A16" s="76" t="s">
        <v>76</v>
      </c>
      <c r="B16" s="75">
        <f>'1B. VO2max'!B16</f>
        <v>4</v>
      </c>
      <c r="C16" s="27"/>
    </row>
    <row r="17" spans="1:4" x14ac:dyDescent="0.3">
      <c r="A17" s="76" t="s">
        <v>77</v>
      </c>
      <c r="B17" s="75" t="str">
        <f>'1B. VO2max'!B17</f>
        <v>SPD</v>
      </c>
      <c r="C17" s="27"/>
    </row>
    <row r="18" spans="1:4" x14ac:dyDescent="0.3">
      <c r="A18" s="76" t="s">
        <v>78</v>
      </c>
      <c r="B18" s="75" t="str">
        <f>'1B. VO2max'!B18</f>
        <v>M</v>
      </c>
      <c r="C18" s="27" t="s">
        <v>80</v>
      </c>
    </row>
    <row r="19" spans="1:4" ht="15" thickBot="1" x14ac:dyDescent="0.35">
      <c r="A19" s="77" t="s">
        <v>79</v>
      </c>
      <c r="B19" s="29" t="str">
        <f>'1B. VO2max'!B19</f>
        <v>S</v>
      </c>
      <c r="C19" s="30" t="s">
        <v>81</v>
      </c>
    </row>
    <row r="20" spans="1:4" ht="15.6" thickTop="1" thickBot="1" x14ac:dyDescent="0.35">
      <c r="A20" s="21"/>
      <c r="B20" s="21"/>
      <c r="C20" s="21"/>
      <c r="D20" s="21"/>
    </row>
    <row r="21" spans="1:4" ht="15.6" thickTop="1" thickBot="1" x14ac:dyDescent="0.35">
      <c r="A21" s="200" t="s">
        <v>64</v>
      </c>
      <c r="B21" s="202"/>
      <c r="C21" s="202"/>
      <c r="D21" s="201"/>
    </row>
    <row r="22" spans="1:4" ht="15.6" thickTop="1" thickBot="1" x14ac:dyDescent="0.35">
      <c r="A22" s="221" t="s">
        <v>73</v>
      </c>
      <c r="B22" s="222"/>
      <c r="C22" s="221" t="s">
        <v>74</v>
      </c>
      <c r="D22" s="222"/>
    </row>
    <row r="23" spans="1:4" ht="15" thickTop="1" x14ac:dyDescent="0.3">
      <c r="A23" s="24" t="s">
        <v>65</v>
      </c>
      <c r="B23" s="27"/>
      <c r="C23" s="24" t="s">
        <v>65</v>
      </c>
      <c r="D23" s="27"/>
    </row>
    <row r="24" spans="1:4" x14ac:dyDescent="0.3">
      <c r="A24" s="25" t="s">
        <v>66</v>
      </c>
      <c r="B24" s="27"/>
      <c r="C24" s="25" t="s">
        <v>66</v>
      </c>
      <c r="D24" s="27"/>
    </row>
    <row r="25" spans="1:4" x14ac:dyDescent="0.3">
      <c r="A25" s="25" t="s">
        <v>67</v>
      </c>
      <c r="B25" s="27"/>
      <c r="C25" s="25" t="s">
        <v>67</v>
      </c>
      <c r="D25" s="27"/>
    </row>
    <row r="26" spans="1:4" x14ac:dyDescent="0.3">
      <c r="A26" s="25" t="s">
        <v>68</v>
      </c>
      <c r="B26" s="27"/>
      <c r="C26" s="25" t="s">
        <v>68</v>
      </c>
      <c r="D26" s="27"/>
    </row>
    <row r="27" spans="1:4" x14ac:dyDescent="0.3">
      <c r="A27" s="25" t="s">
        <v>69</v>
      </c>
      <c r="B27" s="27"/>
      <c r="C27" s="25"/>
      <c r="D27" s="27"/>
    </row>
    <row r="28" spans="1:4" x14ac:dyDescent="0.3">
      <c r="A28" s="25" t="s">
        <v>70</v>
      </c>
      <c r="B28" s="27"/>
      <c r="C28" s="25" t="s">
        <v>70</v>
      </c>
      <c r="D28" s="27"/>
    </row>
    <row r="29" spans="1:4" ht="15" thickBot="1" x14ac:dyDescent="0.35">
      <c r="A29" s="26" t="s">
        <v>71</v>
      </c>
      <c r="B29" s="30"/>
      <c r="C29" s="26" t="s">
        <v>72</v>
      </c>
      <c r="D29" s="30"/>
    </row>
    <row r="30" spans="1:4" ht="15.6" thickTop="1" thickBot="1" x14ac:dyDescent="0.35"/>
    <row r="31" spans="1:4" ht="15.6" thickTop="1" thickBot="1" x14ac:dyDescent="0.35">
      <c r="A31" s="200" t="s">
        <v>122</v>
      </c>
      <c r="B31" s="202"/>
      <c r="C31" s="201"/>
    </row>
    <row r="32" spans="1:4" ht="15" thickTop="1" x14ac:dyDescent="0.3">
      <c r="A32" s="25" t="s">
        <v>125</v>
      </c>
      <c r="B32" s="111">
        <v>41</v>
      </c>
      <c r="C32" s="27" t="s">
        <v>2</v>
      </c>
    </row>
    <row r="33" spans="1:7" x14ac:dyDescent="0.3">
      <c r="A33" s="25" t="s">
        <v>124</v>
      </c>
      <c r="B33" s="61">
        <f>B32*(2/3)</f>
        <v>27.333333333333332</v>
      </c>
      <c r="C33" s="27" t="s">
        <v>2</v>
      </c>
    </row>
    <row r="34" spans="1:7" x14ac:dyDescent="0.3">
      <c r="A34" s="25" t="s">
        <v>135</v>
      </c>
      <c r="B34" s="91">
        <v>2.4</v>
      </c>
      <c r="C34" s="27" t="s">
        <v>3</v>
      </c>
    </row>
    <row r="35" spans="1:7" x14ac:dyDescent="0.3">
      <c r="A35" s="25" t="s">
        <v>136</v>
      </c>
      <c r="B35" s="91">
        <v>2</v>
      </c>
      <c r="C35" s="27" t="s">
        <v>3</v>
      </c>
      <c r="D35" t="s">
        <v>235</v>
      </c>
    </row>
    <row r="36" spans="1:7" x14ac:dyDescent="0.3">
      <c r="A36" s="25" t="s">
        <v>195</v>
      </c>
      <c r="B36" s="91"/>
      <c r="C36" s="27" t="s">
        <v>3</v>
      </c>
    </row>
    <row r="37" spans="1:7" x14ac:dyDescent="0.3">
      <c r="A37" s="70" t="s">
        <v>123</v>
      </c>
      <c r="B37" s="115">
        <v>2</v>
      </c>
      <c r="C37" s="27"/>
    </row>
    <row r="38" spans="1:7" ht="15" thickBot="1" x14ac:dyDescent="0.35">
      <c r="A38" s="60" t="s">
        <v>126</v>
      </c>
      <c r="B38" s="190" t="s">
        <v>228</v>
      </c>
      <c r="C38" s="21" t="s">
        <v>176</v>
      </c>
      <c r="D38" s="98"/>
    </row>
    <row r="39" spans="1:7" ht="15.6" thickTop="1" thickBot="1" x14ac:dyDescent="0.35"/>
    <row r="40" spans="1:7" ht="15.6" thickTop="1" thickBot="1" x14ac:dyDescent="0.35">
      <c r="A40" s="200" t="s">
        <v>127</v>
      </c>
      <c r="B40" s="202"/>
      <c r="C40" s="201"/>
    </row>
    <row r="41" spans="1:7" ht="15" thickTop="1" x14ac:dyDescent="0.3">
      <c r="A41" s="25" t="s">
        <v>128</v>
      </c>
      <c r="B41" s="111">
        <f>(F41*0.9)/(90^2)</f>
        <v>3.3333333333333333E-2</v>
      </c>
      <c r="C41" s="27" t="s">
        <v>134</v>
      </c>
      <c r="D41" s="213" t="s">
        <v>177</v>
      </c>
      <c r="E41" s="215"/>
      <c r="F41" s="138">
        <v>300</v>
      </c>
      <c r="G41" s="138" t="s">
        <v>130</v>
      </c>
    </row>
    <row r="42" spans="1:7" ht="15" thickBot="1" x14ac:dyDescent="0.35">
      <c r="A42" s="25" t="s">
        <v>129</v>
      </c>
      <c r="B42" s="61">
        <f>0.9*F42</f>
        <v>135</v>
      </c>
      <c r="C42" s="27" t="s">
        <v>130</v>
      </c>
      <c r="D42" s="218" t="s">
        <v>178</v>
      </c>
      <c r="E42" s="220"/>
      <c r="F42" s="138">
        <v>150</v>
      </c>
      <c r="G42" s="138" t="s">
        <v>130</v>
      </c>
    </row>
    <row r="43" spans="1:7" ht="15.6" thickTop="1" thickBot="1" x14ac:dyDescent="0.35">
      <c r="A43" s="68"/>
      <c r="B43" s="68"/>
      <c r="C43" s="63"/>
    </row>
    <row r="44" spans="1:7" ht="15.6" thickTop="1" thickBot="1" x14ac:dyDescent="0.35">
      <c r="A44" s="200" t="s">
        <v>204</v>
      </c>
      <c r="B44" s="201"/>
      <c r="C44" s="2"/>
    </row>
    <row r="45" spans="1:7" ht="15" thickTop="1" x14ac:dyDescent="0.3">
      <c r="A45" s="64" t="s">
        <v>205</v>
      </c>
      <c r="B45" s="64">
        <v>0</v>
      </c>
      <c r="C45" s="2"/>
    </row>
    <row r="46" spans="1:7" ht="15" thickBot="1" x14ac:dyDescent="0.35">
      <c r="A46" s="30" t="s">
        <v>206</v>
      </c>
      <c r="B46" s="30">
        <v>73.2</v>
      </c>
      <c r="C46" s="2"/>
    </row>
    <row r="47" spans="1:7" ht="15.6" thickTop="1" thickBot="1" x14ac:dyDescent="0.35">
      <c r="A47" s="68"/>
      <c r="B47" s="68"/>
      <c r="C47" s="21"/>
    </row>
    <row r="48" spans="1:7" ht="15.6" thickTop="1" thickBot="1" x14ac:dyDescent="0.35">
      <c r="A48" s="200" t="s">
        <v>82</v>
      </c>
      <c r="B48" s="202"/>
      <c r="C48" s="202"/>
      <c r="D48" s="202"/>
      <c r="E48" s="202"/>
      <c r="F48" s="202"/>
      <c r="G48" s="201"/>
    </row>
    <row r="49" spans="1:12" ht="15.6" thickTop="1" thickBot="1" x14ac:dyDescent="0.35">
      <c r="A49" s="116" t="s">
        <v>83</v>
      </c>
      <c r="B49" s="80" t="s">
        <v>84</v>
      </c>
      <c r="C49" s="80" t="s">
        <v>4</v>
      </c>
      <c r="D49" s="80" t="s">
        <v>5</v>
      </c>
      <c r="E49" s="80" t="s">
        <v>6</v>
      </c>
      <c r="F49" s="83" t="s">
        <v>7</v>
      </c>
      <c r="G49" s="84" t="s">
        <v>85</v>
      </c>
      <c r="J49" s="87"/>
      <c r="K49" s="87"/>
    </row>
    <row r="50" spans="1:12" ht="15" thickTop="1" x14ac:dyDescent="0.3">
      <c r="A50" s="163" t="s">
        <v>198</v>
      </c>
      <c r="B50" s="238" t="s">
        <v>180</v>
      </c>
      <c r="C50" s="239"/>
      <c r="D50" s="239"/>
      <c r="E50" s="239"/>
      <c r="F50" s="239"/>
      <c r="G50" s="240"/>
      <c r="H50" s="151" t="s">
        <v>199</v>
      </c>
      <c r="I50" s="151"/>
      <c r="J50" s="164"/>
      <c r="K50" s="164"/>
      <c r="L50" s="151"/>
    </row>
    <row r="51" spans="1:12" x14ac:dyDescent="0.3">
      <c r="A51" s="117">
        <v>0.16666666666666666</v>
      </c>
      <c r="B51" s="47" t="s">
        <v>137</v>
      </c>
      <c r="C51" s="47">
        <v>1964</v>
      </c>
      <c r="D51" s="47">
        <v>125</v>
      </c>
      <c r="E51" s="47">
        <v>0.93</v>
      </c>
      <c r="F51" s="47"/>
      <c r="G51" s="27"/>
      <c r="H51" s="87"/>
      <c r="I51" s="87"/>
    </row>
    <row r="52" spans="1:12" x14ac:dyDescent="0.3">
      <c r="A52" s="118">
        <v>0.25</v>
      </c>
      <c r="B52" s="4" t="s">
        <v>137</v>
      </c>
      <c r="C52" s="4">
        <v>2104</v>
      </c>
      <c r="D52" s="4">
        <v>130</v>
      </c>
      <c r="E52" s="4">
        <v>0.95</v>
      </c>
      <c r="F52" s="4"/>
      <c r="G52" s="79"/>
    </row>
    <row r="53" spans="1:12" x14ac:dyDescent="0.3">
      <c r="A53" s="118">
        <v>0.33333333333333331</v>
      </c>
      <c r="B53" s="4" t="s">
        <v>137</v>
      </c>
      <c r="C53" s="4">
        <v>2001</v>
      </c>
      <c r="D53" s="4">
        <v>128</v>
      </c>
      <c r="E53" s="4">
        <v>0.91</v>
      </c>
      <c r="F53" s="4"/>
      <c r="G53" s="79"/>
    </row>
    <row r="54" spans="1:12" x14ac:dyDescent="0.3">
      <c r="A54" s="118" t="s">
        <v>179</v>
      </c>
      <c r="B54" s="235" t="s">
        <v>196</v>
      </c>
      <c r="C54" s="236"/>
      <c r="D54" s="236"/>
      <c r="E54" s="236"/>
      <c r="F54" s="236"/>
      <c r="G54" s="237"/>
      <c r="H54" s="164" t="s">
        <v>199</v>
      </c>
      <c r="I54" s="164"/>
      <c r="J54" s="151"/>
      <c r="K54" s="151"/>
      <c r="L54" s="151"/>
    </row>
    <row r="55" spans="1:12" x14ac:dyDescent="0.3">
      <c r="A55" s="118">
        <v>0.66666666666666663</v>
      </c>
      <c r="B55" s="4" t="s">
        <v>137</v>
      </c>
      <c r="C55" s="4">
        <v>2049</v>
      </c>
      <c r="D55" s="4">
        <v>128</v>
      </c>
      <c r="E55" s="4">
        <v>0.85</v>
      </c>
      <c r="F55" s="4"/>
      <c r="G55" s="82"/>
    </row>
    <row r="56" spans="1:12" x14ac:dyDescent="0.3">
      <c r="A56" s="118">
        <v>0.75</v>
      </c>
      <c r="B56" s="4" t="s">
        <v>137</v>
      </c>
      <c r="C56" s="4">
        <v>2067</v>
      </c>
      <c r="D56" s="4">
        <v>130</v>
      </c>
      <c r="E56" s="4">
        <v>0.92</v>
      </c>
      <c r="F56" s="4"/>
      <c r="G56" s="79"/>
    </row>
    <row r="57" spans="1:12" x14ac:dyDescent="0.3">
      <c r="A57" s="142">
        <v>0.83333333333333337</v>
      </c>
      <c r="B57" s="4" t="s">
        <v>137</v>
      </c>
      <c r="C57" s="4">
        <v>2117</v>
      </c>
      <c r="D57" s="4">
        <v>129</v>
      </c>
      <c r="E57" s="4">
        <v>0.86</v>
      </c>
      <c r="F57" s="4"/>
      <c r="G57" s="27"/>
      <c r="H57" s="151" t="s">
        <v>199</v>
      </c>
      <c r="I57" s="151"/>
      <c r="J57" s="151"/>
      <c r="K57" s="151"/>
      <c r="L57" s="151"/>
    </row>
    <row r="58" spans="1:12" ht="15" thickBot="1" x14ac:dyDescent="0.35">
      <c r="A58" s="122" t="s">
        <v>200</v>
      </c>
      <c r="B58" s="232" t="s">
        <v>197</v>
      </c>
      <c r="C58" s="233"/>
      <c r="D58" s="233"/>
      <c r="E58" s="233"/>
      <c r="F58" s="233"/>
      <c r="G58" s="234"/>
      <c r="H58" s="87"/>
      <c r="I58" s="87"/>
    </row>
    <row r="59" spans="1:12" ht="15.6" thickTop="1" thickBot="1" x14ac:dyDescent="0.35">
      <c r="A59" s="123" t="s">
        <v>83</v>
      </c>
      <c r="B59" s="124" t="s">
        <v>146</v>
      </c>
      <c r="C59" s="124" t="s">
        <v>4</v>
      </c>
      <c r="D59" s="124" t="s">
        <v>5</v>
      </c>
      <c r="E59" s="124" t="s">
        <v>6</v>
      </c>
      <c r="F59" s="124" t="s">
        <v>7</v>
      </c>
      <c r="G59" s="84" t="s">
        <v>85</v>
      </c>
    </row>
    <row r="60" spans="1:12" ht="15" thickTop="1" x14ac:dyDescent="0.3">
      <c r="A60" s="119" t="s">
        <v>202</v>
      </c>
      <c r="B60" s="167">
        <v>0</v>
      </c>
      <c r="C60" s="167"/>
      <c r="D60" s="167"/>
      <c r="E60" s="167"/>
      <c r="F60" s="162"/>
      <c r="G60" s="169"/>
    </row>
    <row r="61" spans="1:12" x14ac:dyDescent="0.3">
      <c r="A61" s="165" t="s">
        <v>201</v>
      </c>
      <c r="B61" s="168"/>
      <c r="C61" s="168"/>
      <c r="D61" s="168"/>
      <c r="E61" s="168"/>
      <c r="F61" s="156"/>
      <c r="G61" s="170"/>
    </row>
    <row r="62" spans="1:12" x14ac:dyDescent="0.3">
      <c r="A62" s="166" t="s">
        <v>138</v>
      </c>
      <c r="B62" s="168"/>
      <c r="C62" s="168"/>
      <c r="D62" s="168"/>
      <c r="E62" s="168"/>
      <c r="F62" s="156"/>
      <c r="G62" s="171"/>
    </row>
    <row r="63" spans="1:12" x14ac:dyDescent="0.3">
      <c r="A63" s="166" t="s">
        <v>139</v>
      </c>
      <c r="B63" s="168"/>
      <c r="C63" s="168"/>
      <c r="D63" s="168"/>
      <c r="E63" s="168"/>
      <c r="F63" s="156"/>
      <c r="G63" s="171"/>
    </row>
    <row r="64" spans="1:12" x14ac:dyDescent="0.3">
      <c r="A64" s="119" t="s">
        <v>140</v>
      </c>
      <c r="B64" s="168"/>
      <c r="C64" s="168"/>
      <c r="D64" s="168"/>
      <c r="E64" s="168"/>
      <c r="F64" s="156"/>
      <c r="G64" s="172"/>
    </row>
    <row r="65" spans="1:7" x14ac:dyDescent="0.3">
      <c r="A65" s="119" t="s">
        <v>141</v>
      </c>
      <c r="B65" s="168"/>
      <c r="C65" s="168"/>
      <c r="D65" s="168"/>
      <c r="E65" s="168"/>
      <c r="F65" s="156"/>
      <c r="G65" s="172"/>
    </row>
    <row r="66" spans="1:7" x14ac:dyDescent="0.3">
      <c r="A66" s="119" t="s">
        <v>142</v>
      </c>
      <c r="B66" s="167"/>
      <c r="C66" s="167"/>
      <c r="D66" s="167"/>
      <c r="E66" s="167"/>
      <c r="F66" s="162"/>
      <c r="G66" s="172"/>
    </row>
    <row r="67" spans="1:7" x14ac:dyDescent="0.3">
      <c r="A67" s="119" t="s">
        <v>143</v>
      </c>
      <c r="B67" s="168"/>
      <c r="C67" s="168"/>
      <c r="D67" s="168"/>
      <c r="E67" s="168"/>
      <c r="F67" s="156"/>
      <c r="G67" s="173"/>
    </row>
    <row r="68" spans="1:7" x14ac:dyDescent="0.3">
      <c r="A68" s="120" t="s">
        <v>144</v>
      </c>
      <c r="B68" s="168"/>
      <c r="C68" s="168"/>
      <c r="D68" s="168"/>
      <c r="E68" s="168"/>
      <c r="F68" s="156"/>
      <c r="G68" s="174"/>
    </row>
    <row r="69" spans="1:7" x14ac:dyDescent="0.3">
      <c r="A69" s="119" t="s">
        <v>145</v>
      </c>
      <c r="B69" s="167"/>
      <c r="C69" s="167"/>
      <c r="D69" s="167"/>
      <c r="E69" s="167"/>
      <c r="F69" s="162"/>
      <c r="G69" s="174"/>
    </row>
    <row r="70" spans="1:7" x14ac:dyDescent="0.3">
      <c r="A70" s="119" t="s">
        <v>181</v>
      </c>
      <c r="B70" s="167"/>
      <c r="C70" s="167"/>
      <c r="D70" s="167"/>
      <c r="E70" s="167"/>
      <c r="F70" s="162"/>
      <c r="G70" s="174"/>
    </row>
    <row r="71" spans="1:7" ht="15" thickBot="1" x14ac:dyDescent="0.35">
      <c r="A71" s="120" t="s">
        <v>182</v>
      </c>
      <c r="B71" s="183"/>
      <c r="C71" s="183"/>
      <c r="D71" s="183"/>
      <c r="E71" s="183"/>
      <c r="F71" s="158"/>
      <c r="G71" s="184"/>
    </row>
    <row r="72" spans="1:7" ht="15.6" thickTop="1" thickBot="1" x14ac:dyDescent="0.35">
      <c r="A72" s="63"/>
    </row>
    <row r="73" spans="1:7" ht="15.6" thickTop="1" thickBot="1" x14ac:dyDescent="0.35">
      <c r="A73" s="200" t="s">
        <v>192</v>
      </c>
      <c r="B73" s="202"/>
      <c r="C73" s="201"/>
    </row>
    <row r="74" spans="1:7" ht="15.6" thickTop="1" thickBot="1" x14ac:dyDescent="0.35">
      <c r="A74" s="175" t="s">
        <v>208</v>
      </c>
      <c r="B74" s="186">
        <v>0.27291666666666664</v>
      </c>
      <c r="C74" s="13" t="s">
        <v>189</v>
      </c>
      <c r="D74" s="98"/>
    </row>
    <row r="75" spans="1:7" ht="15.6" thickTop="1" thickBot="1" x14ac:dyDescent="0.35">
      <c r="A75" s="21"/>
      <c r="C75" s="68"/>
    </row>
    <row r="76" spans="1:7" ht="15.6" thickTop="1" thickBot="1" x14ac:dyDescent="0.35">
      <c r="A76" s="200" t="s">
        <v>86</v>
      </c>
      <c r="B76" s="202"/>
      <c r="C76" s="201"/>
    </row>
    <row r="77" spans="1:7" ht="15" thickTop="1" x14ac:dyDescent="0.3">
      <c r="A77" s="25" t="s">
        <v>131</v>
      </c>
      <c r="B77" s="228" t="str">
        <f>B4&amp;"_PRE_NIRS"</f>
        <v>T2A_63_PRE_NIRS</v>
      </c>
      <c r="C77" s="229"/>
    </row>
    <row r="78" spans="1:7" x14ac:dyDescent="0.3">
      <c r="A78" s="70" t="s">
        <v>132</v>
      </c>
      <c r="B78" s="228" t="str">
        <f>B4&amp;"_PRE_TT_Bike"</f>
        <v>T2A_63_PRE_TT_Bike</v>
      </c>
      <c r="C78" s="229"/>
    </row>
    <row r="79" spans="1:7" x14ac:dyDescent="0.3">
      <c r="A79" s="59" t="s">
        <v>203</v>
      </c>
      <c r="B79" s="228" t="str">
        <f>B4&amp;"_PRE_TT_CPET"</f>
        <v>T2A_63_PRE_TT_CPET</v>
      </c>
      <c r="C79" s="229"/>
    </row>
    <row r="80" spans="1:7" ht="15" thickBot="1" x14ac:dyDescent="0.35">
      <c r="A80" s="69" t="s">
        <v>133</v>
      </c>
      <c r="B80" s="230" t="str">
        <f>B79&amp;"_10sec"</f>
        <v>T2A_63_PRE_TT_CPET_10sec</v>
      </c>
      <c r="C80" s="231"/>
    </row>
    <row r="82" spans="1:3" ht="15.6" thickTop="1" thickBot="1" x14ac:dyDescent="0.35">
      <c r="A82" s="200" t="s">
        <v>109</v>
      </c>
      <c r="B82" s="202"/>
      <c r="C82" s="201"/>
    </row>
    <row r="83" spans="1:3" ht="15" thickTop="1" x14ac:dyDescent="0.3">
      <c r="A83" s="191" t="s">
        <v>238</v>
      </c>
      <c r="B83" s="203"/>
      <c r="C83" s="192"/>
    </row>
    <row r="84" spans="1:3" x14ac:dyDescent="0.3">
      <c r="A84" s="193"/>
      <c r="B84" s="204"/>
      <c r="C84" s="194"/>
    </row>
    <row r="85" spans="1:3" x14ac:dyDescent="0.3">
      <c r="A85" s="193"/>
      <c r="B85" s="204"/>
      <c r="C85" s="194"/>
    </row>
    <row r="86" spans="1:3" x14ac:dyDescent="0.3">
      <c r="A86" s="193"/>
      <c r="B86" s="204"/>
      <c r="C86" s="194"/>
    </row>
    <row r="87" spans="1:3" ht="15" thickBot="1" x14ac:dyDescent="0.35">
      <c r="A87" s="195"/>
      <c r="B87" s="205"/>
      <c r="C87" s="196"/>
    </row>
    <row r="88" spans="1:3" ht="15" thickTop="1" x14ac:dyDescent="0.3"/>
  </sheetData>
  <mergeCells count="22"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  <mergeCell ref="B77:C77"/>
    <mergeCell ref="B78:C78"/>
    <mergeCell ref="B80:C80"/>
    <mergeCell ref="A82:C82"/>
    <mergeCell ref="A83:C87"/>
    <mergeCell ref="B79:C7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workbookViewId="0">
      <selection activeCell="C7" sqref="C7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191</v>
      </c>
      <c r="C2" s="143" t="str">
        <f>'Algemene informatie'!B4</f>
        <v>T2A_63</v>
      </c>
    </row>
    <row r="3" spans="2:10" x14ac:dyDescent="0.3">
      <c r="B3" s="14" t="s">
        <v>160</v>
      </c>
      <c r="C3" s="144">
        <f ca="1">'Algemene informatie'!B7</f>
        <v>35</v>
      </c>
      <c r="D3" t="s">
        <v>27</v>
      </c>
    </row>
    <row r="4" spans="2:10" x14ac:dyDescent="0.3">
      <c r="B4" s="14" t="s">
        <v>183</v>
      </c>
      <c r="C4" s="144">
        <f>'Algemene informatie'!B5</f>
        <v>1</v>
      </c>
      <c r="D4" t="s">
        <v>190</v>
      </c>
    </row>
    <row r="5" spans="2:10" x14ac:dyDescent="0.3">
      <c r="B5" s="14" t="s">
        <v>40</v>
      </c>
      <c r="C5" s="145">
        <f>'1A. Antropometrie'!H15</f>
        <v>72.540000000000006</v>
      </c>
      <c r="D5" t="s">
        <v>1</v>
      </c>
    </row>
    <row r="6" spans="2:10" x14ac:dyDescent="0.3">
      <c r="B6" s="14" t="s">
        <v>41</v>
      </c>
      <c r="C6" s="144">
        <f>'1A. Antropometrie'!H16</f>
        <v>173.4</v>
      </c>
      <c r="D6" t="s">
        <v>2</v>
      </c>
    </row>
    <row r="7" spans="2:10" x14ac:dyDescent="0.3">
      <c r="B7" s="14" t="s">
        <v>184</v>
      </c>
      <c r="C7" s="145">
        <f>'1A. Antropometrie'!B40</f>
        <v>21.507905858806851</v>
      </c>
      <c r="D7" t="s">
        <v>13</v>
      </c>
    </row>
    <row r="8" spans="2:10" x14ac:dyDescent="0.3">
      <c r="B8" s="14" t="s">
        <v>185</v>
      </c>
      <c r="C8" s="185">
        <f>'1B. VO2max'!B57</f>
        <v>47.945960849186655</v>
      </c>
      <c r="D8" t="s">
        <v>186</v>
      </c>
    </row>
    <row r="9" spans="2:10" x14ac:dyDescent="0.3">
      <c r="B9" s="14" t="s">
        <v>211</v>
      </c>
      <c r="C9" s="185">
        <f>'2B. Wingate'!B34</f>
        <v>14.738764819409981</v>
      </c>
      <c r="D9" t="s">
        <v>216</v>
      </c>
    </row>
    <row r="10" spans="2:10" x14ac:dyDescent="0.3">
      <c r="B10" s="14" t="s">
        <v>188</v>
      </c>
      <c r="C10" s="146">
        <f>'3B. NIRS+Time Trial'!B74</f>
        <v>0.27291666666666664</v>
      </c>
      <c r="D10" t="s">
        <v>189</v>
      </c>
    </row>
    <row r="13" spans="2:10" x14ac:dyDescent="0.3">
      <c r="B13" s="14" t="s">
        <v>191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211</v>
      </c>
      <c r="J13" s="14" t="s">
        <v>210</v>
      </c>
    </row>
    <row r="14" spans="2:10" x14ac:dyDescent="0.3">
      <c r="B14" t="str">
        <f>C2</f>
        <v>T2A_63</v>
      </c>
      <c r="C14" s="176">
        <f ca="1">C3</f>
        <v>35</v>
      </c>
      <c r="D14" s="176">
        <f>C4</f>
        <v>1</v>
      </c>
      <c r="E14" s="177">
        <f>C5</f>
        <v>72.540000000000006</v>
      </c>
      <c r="F14" s="176">
        <f>C6</f>
        <v>173.4</v>
      </c>
      <c r="G14" s="177">
        <f>C7</f>
        <v>21.507905858806851</v>
      </c>
      <c r="H14" s="182">
        <f>C8</f>
        <v>47.945960849186655</v>
      </c>
      <c r="I14" s="182">
        <f>C9</f>
        <v>14.738764819409981</v>
      </c>
      <c r="J14" s="178">
        <f>C10</f>
        <v>0.27291666666666664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2022-09-17T16:29:29Z</dcterms:modified>
</cp:coreProperties>
</file>