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in2Adapt\Dataverzameling\PRE\Logboek\Week2\12 September\"/>
    </mc:Choice>
  </mc:AlternateContent>
  <xr:revisionPtr revIDLastSave="0" documentId="13_ncr:1_{48DD719C-C932-41CF-B1C9-1FFE0DC98908}" xr6:coauthVersionLast="47" xr6:coauthVersionMax="47" xr10:uidLastSave="{00000000-0000-0000-0000-000000000000}"/>
  <bookViews>
    <workbookView xWindow="-108" yWindow="-108" windowWidth="23256" windowHeight="12456" firstSheet="1" activeTab="6" xr2:uid="{2C015665-98DD-4911-909D-7913BA89F879}"/>
  </bookViews>
  <sheets>
    <sheet name="Algemene informatie" sheetId="1" r:id="rId1"/>
    <sheet name="1A. Antropometrie" sheetId="2" r:id="rId2"/>
    <sheet name="1B. VO2max" sheetId="3" r:id="rId3"/>
    <sheet name="2A. 3D US" sheetId="4" r:id="rId4"/>
    <sheet name="2B. Wingate" sheetId="5" r:id="rId5"/>
    <sheet name="3A. Jump test" sheetId="6" r:id="rId6"/>
    <sheet name="3B. NIRS+Time Trial" sheetId="7" r:id="rId7"/>
    <sheet name="Factoren groepindeling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8" l="1"/>
  <c r="C7" i="8"/>
  <c r="G14" i="8" s="1"/>
  <c r="L23" i="2"/>
  <c r="C10" i="8" l="1"/>
  <c r="J14" i="8" s="1"/>
  <c r="B37" i="3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I14" i="8"/>
  <c r="C2" i="8"/>
  <c r="B14" i="8" s="1"/>
  <c r="C4" i="8"/>
  <c r="D14" i="8" s="1"/>
  <c r="B42" i="7"/>
  <c r="B41" i="7"/>
  <c r="B19" i="7"/>
  <c r="B18" i="7"/>
  <c r="B17" i="7"/>
  <c r="B16" i="7"/>
  <c r="B11" i="7"/>
  <c r="B11" i="5"/>
  <c r="B11" i="3"/>
  <c r="L19" i="2"/>
  <c r="B7" i="1"/>
  <c r="G36" i="2" s="1"/>
  <c r="B4" i="2"/>
  <c r="K30" i="2" s="1"/>
  <c r="B47" i="2" l="1"/>
  <c r="B48" i="2"/>
  <c r="B46" i="2"/>
  <c r="B45" i="2"/>
  <c r="C3" i="8"/>
  <c r="C14" i="8" s="1"/>
  <c r="K31" i="2"/>
  <c r="K32" i="2"/>
  <c r="K29" i="2"/>
  <c r="B6" i="7"/>
  <c r="B6" i="6"/>
  <c r="B6" i="3"/>
  <c r="B6" i="2"/>
  <c r="B5" i="2"/>
  <c r="F15" i="2"/>
  <c r="G15" i="2" s="1"/>
  <c r="H15" i="2"/>
  <c r="H16" i="2"/>
  <c r="B33" i="7"/>
  <c r="B5" i="7"/>
  <c r="B4" i="7"/>
  <c r="B79" i="7" s="1"/>
  <c r="B80" i="7" s="1"/>
  <c r="B22" i="6"/>
  <c r="B5" i="6"/>
  <c r="B4" i="6"/>
  <c r="B29" i="6" l="1"/>
  <c r="B26" i="6"/>
  <c r="B28" i="6"/>
  <c r="B77" i="7"/>
  <c r="B78" i="7"/>
  <c r="B8" i="3"/>
  <c r="B57" i="3" s="1"/>
  <c r="C5" i="8"/>
  <c r="E14" i="8" s="1"/>
  <c r="B7" i="3"/>
  <c r="C6" i="8"/>
  <c r="F14" i="8" s="1"/>
  <c r="B16" i="5"/>
  <c r="B6" i="5"/>
  <c r="B5" i="5"/>
  <c r="B4" i="5"/>
  <c r="B37" i="5" s="1"/>
  <c r="B6" i="4"/>
  <c r="B5" i="4"/>
  <c r="B4" i="4"/>
  <c r="B18" i="4" l="1"/>
  <c r="B16" i="4"/>
  <c r="B17" i="4"/>
  <c r="C8" i="8"/>
  <c r="H14" i="8" s="1"/>
  <c r="B5" i="3"/>
  <c r="H32" i="2"/>
  <c r="F32" i="2"/>
  <c r="G32" i="2" s="1"/>
  <c r="H31" i="2"/>
  <c r="F31" i="2"/>
  <c r="G31" i="2" s="1"/>
  <c r="H30" i="2"/>
  <c r="F30" i="2"/>
  <c r="G30" i="2" s="1"/>
  <c r="H29" i="2"/>
  <c r="F29" i="2"/>
  <c r="G29" i="2" s="1"/>
  <c r="B4" i="3"/>
  <c r="B60" i="3" s="1"/>
  <c r="F23" i="2"/>
  <c r="G23" i="2" s="1"/>
  <c r="H18" i="2"/>
  <c r="H19" i="2"/>
  <c r="H20" i="2"/>
  <c r="H21" i="2"/>
  <c r="H23" i="2"/>
  <c r="H24" i="2"/>
  <c r="H26" i="2"/>
  <c r="H27" i="2"/>
  <c r="F16" i="2"/>
  <c r="G16" i="2" s="1"/>
  <c r="F18" i="2"/>
  <c r="G18" i="2" s="1"/>
  <c r="F19" i="2"/>
  <c r="G19" i="2" s="1"/>
  <c r="F20" i="2"/>
  <c r="G20" i="2" s="1"/>
  <c r="F21" i="2"/>
  <c r="G21" i="2" s="1"/>
  <c r="F24" i="2"/>
  <c r="G24" i="2" s="1"/>
  <c r="F26" i="2"/>
  <c r="G26" i="2" s="1"/>
  <c r="F27" i="2"/>
  <c r="G27" i="2" s="1"/>
  <c r="H33" i="2" l="1"/>
  <c r="B41" i="2" s="1"/>
  <c r="B61" i="3"/>
  <c r="B7" i="7"/>
  <c r="B8" i="6"/>
  <c r="B8" i="5"/>
  <c r="B8" i="7"/>
  <c r="B7" i="6"/>
  <c r="B7" i="5"/>
  <c r="C39" i="2" l="1"/>
  <c r="C37" i="2"/>
  <c r="C42" i="2"/>
  <c r="C38" i="2"/>
  <c r="B42" i="2"/>
  <c r="C40" i="2"/>
  <c r="B37" i="2"/>
  <c r="B38" i="2"/>
  <c r="C41" i="2"/>
  <c r="B39" i="2"/>
  <c r="B40" i="2"/>
  <c r="B20" i="5"/>
  <c r="B34" i="5"/>
</calcChain>
</file>

<file path=xl/sharedStrings.xml><?xml version="1.0" encoding="utf-8"?>
<sst xmlns="http://schemas.openxmlformats.org/spreadsheetml/2006/main" count="438" uniqueCount="242">
  <si>
    <t>SI</t>
  </si>
  <si>
    <t>kg</t>
  </si>
  <si>
    <t>cm</t>
  </si>
  <si>
    <t>mm</t>
  </si>
  <si>
    <t>VO2 (ml/min)</t>
  </si>
  <si>
    <t>HR (bpm)</t>
  </si>
  <si>
    <t>RER</t>
  </si>
  <si>
    <t>RPE</t>
  </si>
  <si>
    <t>4:00-6:00</t>
  </si>
  <si>
    <t>0:00-4:00</t>
  </si>
  <si>
    <t>Filename COSMED:</t>
  </si>
  <si>
    <t>Raw</t>
  </si>
  <si>
    <t>°C</t>
  </si>
  <si>
    <t>%</t>
  </si>
  <si>
    <t>Test</t>
  </si>
  <si>
    <t>6:00-6:30</t>
  </si>
  <si>
    <t>7:00-12:00</t>
  </si>
  <si>
    <t>Proefpersooncode:</t>
  </si>
  <si>
    <t>Geboortedatum:</t>
  </si>
  <si>
    <t>Type:</t>
  </si>
  <si>
    <t>Training frequentie:</t>
  </si>
  <si>
    <t>keer/wk</t>
  </si>
  <si>
    <t>Training duur:</t>
  </si>
  <si>
    <t>uur/wk</t>
  </si>
  <si>
    <t>Training afstand:</t>
  </si>
  <si>
    <t>km/wk</t>
  </si>
  <si>
    <t>Fietservaring:</t>
  </si>
  <si>
    <t>jaar</t>
  </si>
  <si>
    <t>Opmerkingen:</t>
  </si>
  <si>
    <t>Recreatief/Wedstrijd</t>
  </si>
  <si>
    <t>Weg/Baan</t>
  </si>
  <si>
    <t>Korte/Lange afstand</t>
  </si>
  <si>
    <t>Persoonlijke gegevens</t>
  </si>
  <si>
    <t>Algemene informatie</t>
  </si>
  <si>
    <t>Informatie over wielrennen</t>
  </si>
  <si>
    <t>Geslacht (man = 1; vrouw = 2):</t>
  </si>
  <si>
    <t>Antropometrie</t>
  </si>
  <si>
    <t>Gem / Mediaan</t>
  </si>
  <si>
    <t>3de meting?</t>
  </si>
  <si>
    <t>Antropometrische metingen</t>
  </si>
  <si>
    <t>Lichaamsgewicht</t>
  </si>
  <si>
    <t>Lichaamslengte</t>
  </si>
  <si>
    <t>Biceps huidplooimeting</t>
  </si>
  <si>
    <t>Triceps huidplooimeting</t>
  </si>
  <si>
    <t>Subscapular huidplooimeting</t>
  </si>
  <si>
    <t>Iliac crest huidplooimeting</t>
  </si>
  <si>
    <t>Meting 1</t>
  </si>
  <si>
    <t>Meting 2</t>
  </si>
  <si>
    <t>Meting 3</t>
  </si>
  <si>
    <t>Bovenbeenomtrek</t>
  </si>
  <si>
    <t>Bovenbeenlengte</t>
  </si>
  <si>
    <t>Onderbeenomtrek</t>
  </si>
  <si>
    <t>Onderbeenlengte</t>
  </si>
  <si>
    <t>VO2 max test</t>
  </si>
  <si>
    <t>Biceps 3D meting</t>
  </si>
  <si>
    <t>Triceps 3D meting</t>
  </si>
  <si>
    <t>Subscapular 3D meting</t>
  </si>
  <si>
    <t>Iliac crest 3D meting</t>
  </si>
  <si>
    <t>Algemene gegevens</t>
  </si>
  <si>
    <t>Testdag:</t>
  </si>
  <si>
    <t>Aanvangstijd test:</t>
  </si>
  <si>
    <t>Lichaamsgewicht:</t>
  </si>
  <si>
    <t>Lichaamslengte:</t>
  </si>
  <si>
    <t>Temperatuur:</t>
  </si>
  <si>
    <t>Kalibratie waardes</t>
  </si>
  <si>
    <t>Gain:</t>
  </si>
  <si>
    <t>Baseline:</t>
  </si>
  <si>
    <t>Delay:</t>
  </si>
  <si>
    <t>Zero Hw:</t>
  </si>
  <si>
    <t>O2 ergo speed factor:</t>
  </si>
  <si>
    <t>Response time:</t>
  </si>
  <si>
    <t>Analyzer pressure:</t>
  </si>
  <si>
    <t>Sampling flow:</t>
  </si>
  <si>
    <t>O2 analyzer</t>
  </si>
  <si>
    <t>CO2 analyzer</t>
  </si>
  <si>
    <t>Luchtvochtigheid:</t>
  </si>
  <si>
    <t>COSMED nummer:</t>
  </si>
  <si>
    <t>Type pedaal:</t>
  </si>
  <si>
    <t>Maat van zuurstofmasker:</t>
  </si>
  <si>
    <t>Maat van hoofdband:</t>
  </si>
  <si>
    <t>S/M/L</t>
  </si>
  <si>
    <t>S/M of L</t>
  </si>
  <si>
    <t>Testprotocol</t>
  </si>
  <si>
    <t>Tijd (Min)</t>
  </si>
  <si>
    <t>Weerstand (W)</t>
  </si>
  <si>
    <t>PPM</t>
  </si>
  <si>
    <t>Opslaan</t>
  </si>
  <si>
    <t>3D Ultrasound</t>
  </si>
  <si>
    <t>Filename scan 1:</t>
  </si>
  <si>
    <t>Filename scan 2:</t>
  </si>
  <si>
    <t>Wingate test</t>
  </si>
  <si>
    <t>Zithoogte zadel:</t>
  </si>
  <si>
    <t>Horizontale positie zadel:</t>
  </si>
  <si>
    <t>Voorste voet bij start:</t>
  </si>
  <si>
    <t xml:space="preserve">Gewicht tijdens 30sec: </t>
  </si>
  <si>
    <t>Tijd (min)</t>
  </si>
  <si>
    <t>Warming-up</t>
  </si>
  <si>
    <t>Uitfietsen</t>
  </si>
  <si>
    <t>Status</t>
  </si>
  <si>
    <t>Sprint 1</t>
  </si>
  <si>
    <t>Sprint 2</t>
  </si>
  <si>
    <t>Sprint 3</t>
  </si>
  <si>
    <t>Rust</t>
  </si>
  <si>
    <t>LET OP! Gewicht van de basket is 1,0kg</t>
  </si>
  <si>
    <t>Filename (Extended Excel file):</t>
  </si>
  <si>
    <t>1:00-1:04</t>
  </si>
  <si>
    <t>2:00-2:04</t>
  </si>
  <si>
    <t>3:00-3:04</t>
  </si>
  <si>
    <t>hh:mm</t>
  </si>
  <si>
    <t>Opmerkingen</t>
  </si>
  <si>
    <t>Sprongtest</t>
  </si>
  <si>
    <t>Test informatie</t>
  </si>
  <si>
    <t>Aantal sprongen:</t>
  </si>
  <si>
    <t>Spronghoogte 1:</t>
  </si>
  <si>
    <t>Spronghoogte 2:</t>
  </si>
  <si>
    <t>Spronghoogte 3:</t>
  </si>
  <si>
    <t>Spronghoogte 4:</t>
  </si>
  <si>
    <t>Spronghoogte 5:</t>
  </si>
  <si>
    <t>Hoogste sprong:</t>
  </si>
  <si>
    <t xml:space="preserve">  </t>
  </si>
  <si>
    <t>LET OP! Noteer zowel de originele bestandsnaam als de naam die je zelf aan het bestand geeft.</t>
  </si>
  <si>
    <t>NIRS + Time trial</t>
  </si>
  <si>
    <t>NIRS</t>
  </si>
  <si>
    <t>NIRS nummer:</t>
  </si>
  <si>
    <t>Trochantor-laterale patella:</t>
  </si>
  <si>
    <t xml:space="preserve">Maat zwarte kous: </t>
  </si>
  <si>
    <t>Alpha factor</t>
  </si>
  <si>
    <t>90% GET (moderate):</t>
  </si>
  <si>
    <t>W</t>
  </si>
  <si>
    <t>Bestandsnaam NIRS:</t>
  </si>
  <si>
    <t>Bestandsnaam Bike:</t>
  </si>
  <si>
    <t>Bestandsnaam COSMED:</t>
  </si>
  <si>
    <t>W/mm2</t>
  </si>
  <si>
    <t>Huidplooimeting 1 locatie NIRS:</t>
  </si>
  <si>
    <t>Huidplooimeting 2 locatie NIRS:</t>
  </si>
  <si>
    <t>90%GET</t>
  </si>
  <si>
    <t>31:00</t>
  </si>
  <si>
    <t>32:00</t>
  </si>
  <si>
    <t>33:00</t>
  </si>
  <si>
    <t>34:00</t>
  </si>
  <si>
    <t>35:00</t>
  </si>
  <si>
    <t>36:00</t>
  </si>
  <si>
    <t>37:00</t>
  </si>
  <si>
    <t>38:00</t>
  </si>
  <si>
    <t>Afstand (m)</t>
  </si>
  <si>
    <t>Man</t>
  </si>
  <si>
    <t>Som</t>
  </si>
  <si>
    <t>Leeftijd:</t>
  </si>
  <si>
    <t>Vrouw</t>
  </si>
  <si>
    <t>Afstand tot steepje box:</t>
  </si>
  <si>
    <t>Alleen basket</t>
  </si>
  <si>
    <t>&lt;17</t>
  </si>
  <si>
    <t>17-19</t>
  </si>
  <si>
    <t>20-29</t>
  </si>
  <si>
    <t>30-39</t>
  </si>
  <si>
    <t>40-49</t>
  </si>
  <si>
    <t>&gt;50</t>
  </si>
  <si>
    <t>Durnin/Womersley Caliper Method</t>
  </si>
  <si>
    <t>Leeftijd</t>
  </si>
  <si>
    <t>Vetpercentage (Siri equation)</t>
  </si>
  <si>
    <t xml:space="preserve">          Markering op bovenarm →</t>
  </si>
  <si>
    <t xml:space="preserve">          Lengte bovenarm →</t>
  </si>
  <si>
    <t>RAMP Testprotocol</t>
  </si>
  <si>
    <t>10sec average</t>
  </si>
  <si>
    <t>Filename botpunten:</t>
  </si>
  <si>
    <t>Diepte 3D ultrasound probe:</t>
  </si>
  <si>
    <t>Gewicht</t>
  </si>
  <si>
    <t>Filename →</t>
  </si>
  <si>
    <r>
      <t xml:space="preserve">          Markering voor bovenbeenomtrek </t>
    </r>
    <r>
      <rPr>
        <sz val="11"/>
        <color rgb="FF9C0006"/>
        <rFont val="Calibri"/>
        <family val="2"/>
      </rPr>
      <t>→</t>
    </r>
  </si>
  <si>
    <t>Leeftijd →</t>
  </si>
  <si>
    <t xml:space="preserve">Filename linkervoet (109): </t>
  </si>
  <si>
    <t xml:space="preserve">Filename rechtervoet (112): </t>
  </si>
  <si>
    <t>Origineel</t>
  </si>
  <si>
    <t xml:space="preserve">Filename Excelbestand: </t>
  </si>
  <si>
    <t>S/M of M/L</t>
  </si>
  <si>
    <t xml:space="preserve">Piekvermogen → </t>
  </si>
  <si>
    <t xml:space="preserve">   GET →</t>
  </si>
  <si>
    <t>9:00-15:00</t>
  </si>
  <si>
    <t>3 min 20W</t>
  </si>
  <si>
    <t>39:00</t>
  </si>
  <si>
    <t>40:00</t>
  </si>
  <si>
    <t>Geslacht</t>
  </si>
  <si>
    <t>Vetpercentage</t>
  </si>
  <si>
    <t xml:space="preserve">Relatieve VO2max </t>
  </si>
  <si>
    <t>mL/min/kg</t>
  </si>
  <si>
    <t>Watt</t>
  </si>
  <si>
    <t>Tijd op de 4km</t>
  </si>
  <si>
    <t>min:sec</t>
  </si>
  <si>
    <t>(man = 1, vrouw = 2)</t>
  </si>
  <si>
    <t>PPcode</t>
  </si>
  <si>
    <t>Uitkomstmaat</t>
  </si>
  <si>
    <t>Relatieve VO2max:</t>
  </si>
  <si>
    <t>Filenames 3D ultrasound:</t>
  </si>
  <si>
    <t>Vetmeting ultrasound probe:</t>
  </si>
  <si>
    <t>6 min 20W</t>
  </si>
  <si>
    <t>6 min 20W + 2 min klaarmaken voor time trial</t>
  </si>
  <si>
    <t>0:00-3:00</t>
  </si>
  <si>
    <t>Belangrijk dat er 90RPM wordt aangehouden!!</t>
  </si>
  <si>
    <t>21:00-29:00</t>
  </si>
  <si>
    <t>30:00</t>
  </si>
  <si>
    <t>29:00</t>
  </si>
  <si>
    <t>Bestandsnaam COSMED (raw):</t>
  </si>
  <si>
    <t xml:space="preserve">Maximale occlusie </t>
  </si>
  <si>
    <t xml:space="preserve">Minimale waarde NIRS: </t>
  </si>
  <si>
    <t xml:space="preserve">Maximale waarde NIRS: </t>
  </si>
  <si>
    <t>Onderzoeker</t>
  </si>
  <si>
    <t>Eindtijd 4km:</t>
  </si>
  <si>
    <t>Onderzoeker:</t>
  </si>
  <si>
    <t>4km tijd</t>
  </si>
  <si>
    <t>Relatieve piekpower</t>
  </si>
  <si>
    <t>Relatieve peakpower:</t>
  </si>
  <si>
    <t>Absolute peakpower:</t>
  </si>
  <si>
    <t>Absolute VO2max:</t>
  </si>
  <si>
    <t>mL/min</t>
  </si>
  <si>
    <t>Watt/kg</t>
  </si>
  <si>
    <t>T2A_64</t>
  </si>
  <si>
    <t>Recreatief</t>
  </si>
  <si>
    <t>Weg</t>
  </si>
  <si>
    <t>Lang</t>
  </si>
  <si>
    <t>3 a 4</t>
  </si>
  <si>
    <t>7 a 8</t>
  </si>
  <si>
    <t>230 a 250</t>
  </si>
  <si>
    <t>6 a 7</t>
  </si>
  <si>
    <t>Heeft een vermogensmeter. Kan alleen groep 1 of 2</t>
  </si>
  <si>
    <t>Luuk</t>
  </si>
  <si>
    <t>Renske</t>
  </si>
  <si>
    <t>SPD</t>
  </si>
  <si>
    <t>S</t>
  </si>
  <si>
    <t>L</t>
  </si>
  <si>
    <t>Tweede gat vanaf achteren</t>
  </si>
  <si>
    <t>Rechts</t>
  </si>
  <si>
    <t>M/L</t>
  </si>
  <si>
    <t>RAW00345.DAT</t>
  </si>
  <si>
    <t>RAW00174.DAT</t>
  </si>
  <si>
    <t>T2A_64_PRE_Rightfoot.DAT</t>
  </si>
  <si>
    <t>NIRS rond de 64</t>
  </si>
  <si>
    <t>NIRS rond de 58</t>
  </si>
  <si>
    <t>NIRS rond de 63</t>
  </si>
  <si>
    <t>NIRS ron de 58</t>
  </si>
  <si>
    <t>NIRS rond de 65</t>
  </si>
  <si>
    <t xml:space="preserve">VO2 tijdens 90%GET vind ik relatief gezien niet zo hoog tov 20W. 90W lijkt ook laag voor 90%GET van deze persoon. RER ligt echter wel net onder de 1.0, dus op basis daarvan lijkt de 90%GET wel goed bepaald. Hartslag viel af en toe weg. Hartslag geeft af en toe rare waarde. Kan komen door hartafwijking (zie amnese formulier).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</si>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</sst>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h:mm;@"/>
    <numFmt numFmtId="167" formatCode="[$-F400]h:mm:ss\ AM/PM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</font>
    <font>
      <b/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0"/>
      <color rgb="FF202124"/>
      <name val="Arial"/>
      <family val="2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rgb="FFFFC7CE"/>
      </patternFill>
    </fill>
    <fill>
      <patternFill patternType="solid">
        <fgColor theme="6"/>
      </patternFill>
    </fill>
    <fill>
      <patternFill patternType="solid">
        <fgColor theme="2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79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ck">
        <color theme="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n">
        <color theme="0"/>
      </top>
      <bottom style="thin">
        <color theme="0"/>
      </bottom>
      <diagonal/>
    </border>
    <border>
      <left style="thick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indexed="64"/>
      </left>
      <right style="thin">
        <color theme="0"/>
      </right>
      <top style="thin">
        <color theme="0"/>
      </top>
      <bottom/>
      <diagonal/>
    </border>
    <border>
      <left style="thick">
        <color indexed="64"/>
      </left>
      <right style="thin">
        <color theme="0"/>
      </right>
      <top/>
      <bottom/>
      <diagonal/>
    </border>
    <border>
      <left style="thick">
        <color indexed="64"/>
      </left>
      <right style="thin">
        <color theme="0"/>
      </right>
      <top style="thin">
        <color theme="0"/>
      </top>
      <bottom style="thick">
        <color indexed="64"/>
      </bottom>
      <diagonal/>
    </border>
    <border>
      <left style="thick">
        <color indexed="64"/>
      </left>
      <right/>
      <top/>
      <bottom style="thin">
        <color theme="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ck">
        <color indexed="64"/>
      </left>
      <right style="thin">
        <color theme="0" tint="-0.14999847407452621"/>
      </right>
      <top style="thin">
        <color theme="0" tint="-0.14999847407452621"/>
      </top>
      <bottom style="thick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ck">
        <color indexed="64"/>
      </bottom>
      <diagonal/>
    </border>
    <border>
      <left style="thin">
        <color theme="0" tint="-0.14999847407452621"/>
      </left>
      <right style="thick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ck">
        <color indexed="64"/>
      </right>
      <top style="thin">
        <color theme="0" tint="-0.14999847407452621"/>
      </top>
      <bottom style="thick">
        <color indexed="64"/>
      </bottom>
      <diagonal/>
    </border>
    <border>
      <left style="thick">
        <color indexed="64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ck">
        <color indexed="64"/>
      </right>
      <top/>
      <bottom style="thin">
        <color theme="0" tint="-0.14999847407452621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3" fillId="0" borderId="7" applyNumberFormat="0" applyFill="0" applyAlignment="0" applyProtection="0"/>
    <xf numFmtId="0" fontId="4" fillId="3" borderId="0" applyNumberFormat="0" applyBorder="0" applyAlignment="0" applyProtection="0"/>
    <xf numFmtId="0" fontId="7" fillId="4" borderId="0" applyNumberFormat="0" applyBorder="0" applyAlignment="0" applyProtection="0"/>
    <xf numFmtId="0" fontId="10" fillId="6" borderId="0" applyNumberFormat="0" applyBorder="0" applyAlignment="0" applyProtection="0"/>
    <xf numFmtId="0" fontId="12" fillId="7" borderId="0" applyNumberFormat="0" applyBorder="0" applyAlignment="0" applyProtection="0"/>
  </cellStyleXfs>
  <cellXfs count="241">
    <xf numFmtId="0" fontId="0" fillId="0" borderId="0" xfId="0"/>
    <xf numFmtId="0" fontId="0" fillId="0" borderId="0" xfId="0" applyAlignment="1">
      <alignment vertical="center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0" xfId="1" applyBorder="1"/>
    <xf numFmtId="0" fontId="1" fillId="2" borderId="3" xfId="1" applyBorder="1"/>
    <xf numFmtId="0" fontId="1" fillId="2" borderId="2" xfId="1" applyBorder="1"/>
    <xf numFmtId="0" fontId="1" fillId="2" borderId="4" xfId="1" applyBorder="1"/>
    <xf numFmtId="0" fontId="0" fillId="0" borderId="5" xfId="0" applyBorder="1"/>
    <xf numFmtId="165" fontId="0" fillId="0" borderId="6" xfId="0" applyNumberFormat="1" applyBorder="1"/>
    <xf numFmtId="0" fontId="0" fillId="0" borderId="0" xfId="0" applyFill="1" applyBorder="1"/>
    <xf numFmtId="0" fontId="6" fillId="0" borderId="0" xfId="0" applyFont="1"/>
    <xf numFmtId="0" fontId="3" fillId="0" borderId="7" xfId="2"/>
    <xf numFmtId="0" fontId="6" fillId="0" borderId="0" xfId="0" applyFont="1" applyAlignment="1">
      <alignment horizontal="left"/>
    </xf>
    <xf numFmtId="0" fontId="0" fillId="0" borderId="9" xfId="0" applyBorder="1"/>
    <xf numFmtId="0" fontId="6" fillId="0" borderId="12" xfId="0" applyFont="1" applyBorder="1"/>
    <xf numFmtId="1" fontId="6" fillId="0" borderId="12" xfId="0" applyNumberFormat="1" applyFont="1" applyBorder="1" applyAlignment="1">
      <alignment horizontal="left"/>
    </xf>
    <xf numFmtId="14" fontId="6" fillId="0" borderId="12" xfId="0" applyNumberFormat="1" applyFont="1" applyBorder="1" applyAlignment="1">
      <alignment horizontal="left"/>
    </xf>
    <xf numFmtId="0" fontId="0" fillId="0" borderId="14" xfId="0" applyBorder="1"/>
    <xf numFmtId="14" fontId="6" fillId="0" borderId="13" xfId="0" applyNumberFormat="1" applyFont="1" applyBorder="1" applyAlignment="1">
      <alignment horizontal="left"/>
    </xf>
    <xf numFmtId="0" fontId="5" fillId="4" borderId="15" xfId="4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2" xfId="0" applyBorder="1"/>
    <xf numFmtId="49" fontId="6" fillId="0" borderId="12" xfId="0" applyNumberFormat="1" applyFont="1" applyBorder="1"/>
    <xf numFmtId="0" fontId="6" fillId="0" borderId="14" xfId="0" applyFont="1" applyBorder="1" applyAlignment="1">
      <alignment horizontal="left"/>
    </xf>
    <xf numFmtId="0" fontId="0" fillId="0" borderId="13" xfId="0" applyBorder="1"/>
    <xf numFmtId="0" fontId="9" fillId="3" borderId="0" xfId="3" applyFont="1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7" xfId="0" applyBorder="1"/>
    <xf numFmtId="0" fontId="1" fillId="2" borderId="27" xfId="1" applyBorder="1"/>
    <xf numFmtId="0" fontId="0" fillId="0" borderId="28" xfId="0" applyBorder="1"/>
    <xf numFmtId="0" fontId="1" fillId="2" borderId="12" xfId="1" applyBorder="1"/>
    <xf numFmtId="0" fontId="0" fillId="0" borderId="29" xfId="0" applyBorder="1" applyAlignment="1">
      <alignment horizontal="left" indent="1"/>
    </xf>
    <xf numFmtId="0" fontId="1" fillId="2" borderId="29" xfId="1" applyBorder="1"/>
    <xf numFmtId="0" fontId="0" fillId="0" borderId="30" xfId="0" applyBorder="1" applyAlignment="1">
      <alignment horizontal="left" indent="1"/>
    </xf>
    <xf numFmtId="0" fontId="0" fillId="0" borderId="31" xfId="0" applyBorder="1" applyAlignment="1">
      <alignment horizontal="left" indent="1"/>
    </xf>
    <xf numFmtId="0" fontId="1" fillId="2" borderId="30" xfId="1" applyBorder="1"/>
    <xf numFmtId="0" fontId="0" fillId="0" borderId="32" xfId="0" applyBorder="1" applyAlignment="1">
      <alignment horizontal="left" indent="1"/>
    </xf>
    <xf numFmtId="0" fontId="0" fillId="0" borderId="33" xfId="0" applyBorder="1" applyAlignment="1">
      <alignment horizontal="left" indent="1"/>
    </xf>
    <xf numFmtId="0" fontId="0" fillId="0" borderId="34" xfId="0" applyBorder="1" applyAlignment="1">
      <alignment horizontal="left" indent="1"/>
    </xf>
    <xf numFmtId="0" fontId="0" fillId="0" borderId="35" xfId="0" applyBorder="1"/>
    <xf numFmtId="0" fontId="0" fillId="0" borderId="8" xfId="0" applyBorder="1"/>
    <xf numFmtId="0" fontId="0" fillId="0" borderId="36" xfId="0" applyBorder="1"/>
    <xf numFmtId="0" fontId="5" fillId="4" borderId="23" xfId="4" applyFont="1" applyBorder="1" applyAlignment="1">
      <alignment horizontal="center"/>
    </xf>
    <xf numFmtId="0" fontId="5" fillId="4" borderId="19" xfId="4" applyFont="1" applyBorder="1"/>
    <xf numFmtId="0" fontId="1" fillId="2" borderId="37" xfId="1" applyBorder="1"/>
    <xf numFmtId="0" fontId="1" fillId="2" borderId="35" xfId="1" applyBorder="1"/>
    <xf numFmtId="0" fontId="1" fillId="2" borderId="8" xfId="1" applyBorder="1"/>
    <xf numFmtId="0" fontId="1" fillId="2" borderId="36" xfId="1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166" fontId="6" fillId="0" borderId="22" xfId="0" applyNumberFormat="1" applyFont="1" applyBorder="1" applyAlignment="1">
      <alignment horizontal="left"/>
    </xf>
    <xf numFmtId="0" fontId="0" fillId="0" borderId="17" xfId="0" applyFill="1" applyBorder="1"/>
    <xf numFmtId="0" fontId="0" fillId="0" borderId="18" xfId="0" applyFill="1" applyBorder="1"/>
    <xf numFmtId="0" fontId="6" fillId="0" borderId="17" xfId="0" applyNumberFormat="1" applyFont="1" applyBorder="1" applyAlignment="1">
      <alignment horizontal="left"/>
    </xf>
    <xf numFmtId="14" fontId="6" fillId="0" borderId="23" xfId="0" applyNumberFormat="1" applyFont="1" applyBorder="1" applyAlignment="1">
      <alignment horizontal="left"/>
    </xf>
    <xf numFmtId="0" fontId="0" fillId="0" borderId="10" xfId="0" applyBorder="1"/>
    <xf numFmtId="0" fontId="0" fillId="0" borderId="11" xfId="0" applyBorder="1"/>
    <xf numFmtId="0" fontId="6" fillId="0" borderId="16" xfId="0" applyFont="1" applyBorder="1"/>
    <xf numFmtId="1" fontId="6" fillId="0" borderId="17" xfId="0" applyNumberFormat="1" applyFont="1" applyBorder="1" applyAlignment="1">
      <alignment horizontal="left"/>
    </xf>
    <xf numFmtId="14" fontId="6" fillId="0" borderId="17" xfId="0" applyNumberFormat="1" applyFont="1" applyBorder="1" applyAlignment="1">
      <alignment horizontal="left"/>
    </xf>
    <xf numFmtId="0" fontId="0" fillId="0" borderId="23" xfId="0" applyBorder="1"/>
    <xf numFmtId="0" fontId="0" fillId="0" borderId="22" xfId="0" applyFill="1" applyBorder="1"/>
    <xf numFmtId="0" fontId="0" fillId="0" borderId="21" xfId="0" applyFill="1" applyBorder="1"/>
    <xf numFmtId="166" fontId="6" fillId="0" borderId="17" xfId="0" applyNumberFormat="1" applyFont="1" applyBorder="1" applyAlignment="1">
      <alignment horizontal="left"/>
    </xf>
    <xf numFmtId="14" fontId="6" fillId="0" borderId="16" xfId="0" applyNumberFormat="1" applyFont="1" applyBorder="1" applyAlignment="1">
      <alignment horizontal="left"/>
    </xf>
    <xf numFmtId="0" fontId="6" fillId="0" borderId="14" xfId="0" applyFont="1" applyBorder="1"/>
    <xf numFmtId="0" fontId="0" fillId="0" borderId="21" xfId="0" applyBorder="1" applyAlignment="1">
      <alignment wrapText="1"/>
    </xf>
    <xf numFmtId="0" fontId="6" fillId="0" borderId="0" xfId="0" applyFont="1" applyBorder="1" applyAlignment="1">
      <alignment horizontal="left"/>
    </xf>
    <xf numFmtId="0" fontId="0" fillId="0" borderId="12" xfId="0" applyFill="1" applyBorder="1"/>
    <xf numFmtId="0" fontId="0" fillId="0" borderId="13" xfId="0" applyFill="1" applyBorder="1"/>
    <xf numFmtId="0" fontId="0" fillId="0" borderId="41" xfId="0" applyBorder="1"/>
    <xf numFmtId="0" fontId="0" fillId="0" borderId="42" xfId="0" applyBorder="1"/>
    <xf numFmtId="0" fontId="6" fillId="0" borderId="43" xfId="0" applyFont="1" applyBorder="1"/>
    <xf numFmtId="0" fontId="0" fillId="0" borderId="45" xfId="0" applyBorder="1"/>
    <xf numFmtId="0" fontId="0" fillId="0" borderId="46" xfId="0" applyBorder="1"/>
    <xf numFmtId="0" fontId="6" fillId="0" borderId="47" xfId="0" applyFont="1" applyBorder="1"/>
    <xf numFmtId="0" fontId="6" fillId="0" borderId="44" xfId="0" applyFont="1" applyFill="1" applyBorder="1"/>
    <xf numFmtId="0" fontId="6" fillId="0" borderId="0" xfId="0" applyFont="1" applyBorder="1"/>
    <xf numFmtId="0" fontId="0" fillId="0" borderId="48" xfId="0" applyBorder="1"/>
    <xf numFmtId="0" fontId="0" fillId="0" borderId="0" xfId="0" applyAlignment="1"/>
    <xf numFmtId="0" fontId="0" fillId="0" borderId="10" xfId="0" applyBorder="1" applyAlignment="1"/>
    <xf numFmtId="0" fontId="6" fillId="0" borderId="22" xfId="0" applyFont="1" applyBorder="1"/>
    <xf numFmtId="166" fontId="6" fillId="0" borderId="0" xfId="0" applyNumberFormat="1" applyFont="1" applyBorder="1" applyAlignment="1">
      <alignment horizontal="left"/>
    </xf>
    <xf numFmtId="0" fontId="6" fillId="0" borderId="0" xfId="0" applyNumberFormat="1" applyFont="1" applyBorder="1" applyAlignment="1">
      <alignment horizontal="left"/>
    </xf>
    <xf numFmtId="0" fontId="6" fillId="0" borderId="14" xfId="0" applyNumberFormat="1" applyFont="1" applyBorder="1" applyAlignment="1">
      <alignment horizontal="left"/>
    </xf>
    <xf numFmtId="164" fontId="6" fillId="0" borderId="14" xfId="0" applyNumberFormat="1" applyFont="1" applyBorder="1"/>
    <xf numFmtId="1" fontId="6" fillId="0" borderId="0" xfId="0" applyNumberFormat="1" applyFont="1" applyBorder="1" applyAlignment="1">
      <alignment horizontal="left"/>
    </xf>
    <xf numFmtId="166" fontId="6" fillId="0" borderId="18" xfId="0" applyNumberFormat="1" applyFont="1" applyBorder="1" applyAlignment="1">
      <alignment horizontal="left"/>
    </xf>
    <xf numFmtId="165" fontId="0" fillId="5" borderId="6" xfId="0" applyNumberFormat="1" applyFill="1" applyBorder="1"/>
    <xf numFmtId="0" fontId="0" fillId="5" borderId="6" xfId="0" applyFill="1" applyBorder="1"/>
    <xf numFmtId="0" fontId="0" fillId="0" borderId="17" xfId="0" applyBorder="1"/>
    <xf numFmtId="0" fontId="0" fillId="0" borderId="17" xfId="0" applyBorder="1" applyAlignment="1"/>
    <xf numFmtId="0" fontId="0" fillId="0" borderId="49" xfId="0" applyFill="1" applyBorder="1"/>
    <xf numFmtId="0" fontId="0" fillId="0" borderId="49" xfId="0" applyFill="1" applyBorder="1" applyAlignment="1">
      <alignment horizontal="left" indent="1"/>
    </xf>
    <xf numFmtId="0" fontId="0" fillId="0" borderId="50" xfId="0" applyFill="1" applyBorder="1"/>
    <xf numFmtId="165" fontId="0" fillId="0" borderId="51" xfId="0" applyNumberFormat="1" applyBorder="1"/>
    <xf numFmtId="0" fontId="0" fillId="0" borderId="52" xfId="0" applyBorder="1"/>
    <xf numFmtId="0" fontId="0" fillId="0" borderId="53" xfId="0" applyBorder="1"/>
    <xf numFmtId="0" fontId="0" fillId="0" borderId="54" xfId="0" applyFill="1" applyBorder="1"/>
    <xf numFmtId="0" fontId="0" fillId="0" borderId="56" xfId="0" applyBorder="1"/>
    <xf numFmtId="165" fontId="0" fillId="0" borderId="55" xfId="0" applyNumberFormat="1" applyBorder="1"/>
    <xf numFmtId="0" fontId="6" fillId="0" borderId="15" xfId="0" applyFont="1" applyBorder="1"/>
    <xf numFmtId="0" fontId="6" fillId="0" borderId="23" xfId="0" applyFont="1" applyBorder="1"/>
    <xf numFmtId="0" fontId="6" fillId="0" borderId="16" xfId="0" applyNumberFormat="1" applyFont="1" applyBorder="1" applyAlignment="1">
      <alignment horizontal="left"/>
    </xf>
    <xf numFmtId="0" fontId="6" fillId="0" borderId="18" xfId="0" applyNumberFormat="1" applyFont="1" applyBorder="1" applyAlignment="1">
      <alignment horizontal="left"/>
    </xf>
    <xf numFmtId="0" fontId="0" fillId="0" borderId="21" xfId="0" applyBorder="1" applyAlignment="1">
      <alignment horizontal="left" indent="1"/>
    </xf>
    <xf numFmtId="0" fontId="0" fillId="0" borderId="21" xfId="0" applyBorder="1" applyAlignment="1"/>
    <xf numFmtId="0" fontId="6" fillId="0" borderId="0" xfId="0" applyNumberFormat="1" applyFont="1" applyAlignment="1">
      <alignment horizontal="left"/>
    </xf>
    <xf numFmtId="0" fontId="0" fillId="0" borderId="18" xfId="0" applyBorder="1"/>
    <xf numFmtId="0" fontId="6" fillId="0" borderId="57" xfId="0" applyFont="1" applyBorder="1"/>
    <xf numFmtId="20" fontId="0" fillId="0" borderId="58" xfId="0" applyNumberFormat="1" applyBorder="1" applyAlignment="1">
      <alignment horizontal="left"/>
    </xf>
    <xf numFmtId="20" fontId="0" fillId="0" borderId="59" xfId="0" applyNumberFormat="1" applyBorder="1" applyAlignment="1">
      <alignment horizontal="left"/>
    </xf>
    <xf numFmtId="49" fontId="0" fillId="0" borderId="59" xfId="0" applyNumberFormat="1" applyBorder="1" applyAlignment="1">
      <alignment horizontal="left"/>
    </xf>
    <xf numFmtId="49" fontId="0" fillId="0" borderId="58" xfId="0" applyNumberFormat="1" applyBorder="1" applyAlignment="1">
      <alignment horizontal="left"/>
    </xf>
    <xf numFmtId="0" fontId="0" fillId="0" borderId="60" xfId="0" applyBorder="1"/>
    <xf numFmtId="20" fontId="0" fillId="0" borderId="63" xfId="0" applyNumberFormat="1" applyBorder="1" applyAlignment="1">
      <alignment horizontal="left"/>
    </xf>
    <xf numFmtId="20" fontId="6" fillId="0" borderId="57" xfId="0" applyNumberFormat="1" applyFont="1" applyBorder="1" applyAlignment="1">
      <alignment horizontal="left"/>
    </xf>
    <xf numFmtId="0" fontId="6" fillId="0" borderId="43" xfId="0" applyFont="1" applyFill="1" applyBorder="1"/>
    <xf numFmtId="0" fontId="10" fillId="6" borderId="16" xfId="5" applyBorder="1"/>
    <xf numFmtId="0" fontId="10" fillId="6" borderId="65" xfId="5" applyBorder="1"/>
    <xf numFmtId="166" fontId="6" fillId="0" borderId="21" xfId="0" applyNumberFormat="1" applyFont="1" applyBorder="1" applyAlignment="1">
      <alignment horizontal="left"/>
    </xf>
    <xf numFmtId="0" fontId="6" fillId="0" borderId="22" xfId="0" applyNumberFormat="1" applyFont="1" applyBorder="1" applyAlignment="1">
      <alignment horizontal="left"/>
    </xf>
    <xf numFmtId="0" fontId="6" fillId="0" borderId="0" xfId="0" applyNumberFormat="1" applyFont="1"/>
    <xf numFmtId="0" fontId="0" fillId="0" borderId="0" xfId="0" applyAlignment="1">
      <alignment horizontal="center"/>
    </xf>
    <xf numFmtId="0" fontId="0" fillId="0" borderId="10" xfId="0" applyBorder="1" applyAlignment="1">
      <alignment horizontal="left" indent="1"/>
    </xf>
    <xf numFmtId="0" fontId="0" fillId="0" borderId="65" xfId="0" applyBorder="1"/>
    <xf numFmtId="0" fontId="0" fillId="0" borderId="19" xfId="0" applyBorder="1"/>
    <xf numFmtId="1" fontId="11" fillId="0" borderId="17" xfId="0" applyNumberFormat="1" applyFont="1" applyBorder="1"/>
    <xf numFmtId="0" fontId="6" fillId="0" borderId="0" xfId="0" applyFont="1" applyAlignment="1">
      <alignment horizontal="left" wrapText="1"/>
    </xf>
    <xf numFmtId="0" fontId="6" fillId="0" borderId="0" xfId="0" applyFont="1" applyAlignment="1">
      <alignment wrapText="1"/>
    </xf>
    <xf numFmtId="0" fontId="4" fillId="3" borderId="0" xfId="3"/>
    <xf numFmtId="0" fontId="9" fillId="3" borderId="0" xfId="3" applyFont="1"/>
    <xf numFmtId="0" fontId="9" fillId="3" borderId="0" xfId="3" applyFont="1" applyBorder="1" applyAlignment="1">
      <alignment horizontal="right"/>
    </xf>
    <xf numFmtId="1" fontId="9" fillId="3" borderId="0" xfId="3" applyNumberFormat="1" applyFont="1" applyBorder="1"/>
    <xf numFmtId="0" fontId="6" fillId="0" borderId="21" xfId="0" applyFont="1" applyBorder="1"/>
    <xf numFmtId="20" fontId="0" fillId="0" borderId="59" xfId="0" quotePrefix="1" applyNumberFormat="1" applyBorder="1" applyAlignment="1">
      <alignment horizontal="left"/>
    </xf>
    <xf numFmtId="0" fontId="13" fillId="7" borderId="0" xfId="6" applyFont="1" applyAlignment="1">
      <alignment horizontal="right"/>
    </xf>
    <xf numFmtId="1" fontId="13" fillId="7" borderId="0" xfId="6" applyNumberFormat="1" applyFont="1" applyAlignment="1">
      <alignment horizontal="right"/>
    </xf>
    <xf numFmtId="164" fontId="13" fillId="7" borderId="0" xfId="6" applyNumberFormat="1" applyFont="1" applyAlignment="1">
      <alignment horizontal="right"/>
    </xf>
    <xf numFmtId="166" fontId="13" fillId="7" borderId="0" xfId="6" applyNumberFormat="1" applyFont="1" applyAlignment="1">
      <alignment horizontal="right"/>
    </xf>
    <xf numFmtId="165" fontId="0" fillId="0" borderId="0" xfId="0" applyNumberFormat="1" applyBorder="1"/>
    <xf numFmtId="0" fontId="0" fillId="0" borderId="16" xfId="0" applyFill="1" applyBorder="1"/>
    <xf numFmtId="20" fontId="0" fillId="0" borderId="71" xfId="0" applyNumberFormat="1" applyBorder="1" applyAlignment="1">
      <alignment horizontal="left"/>
    </xf>
    <xf numFmtId="0" fontId="0" fillId="0" borderId="19" xfId="0" applyFill="1" applyBorder="1"/>
    <xf numFmtId="0" fontId="4" fillId="3" borderId="0" xfId="3"/>
    <xf numFmtId="0" fontId="0" fillId="0" borderId="72" xfId="0" applyBorder="1"/>
    <xf numFmtId="0" fontId="0" fillId="0" borderId="73" xfId="0" applyBorder="1"/>
    <xf numFmtId="0" fontId="0" fillId="0" borderId="74" xfId="0" applyBorder="1"/>
    <xf numFmtId="20" fontId="0" fillId="0" borderId="62" xfId="0" applyNumberFormat="1" applyBorder="1" applyAlignment="1">
      <alignment horizontal="left"/>
    </xf>
    <xf numFmtId="0" fontId="0" fillId="5" borderId="2" xfId="0" applyFill="1" applyBorder="1"/>
    <xf numFmtId="0" fontId="0" fillId="5" borderId="4" xfId="0" applyFill="1" applyBorder="1"/>
    <xf numFmtId="0" fontId="0" fillId="5" borderId="25" xfId="0" applyFill="1" applyBorder="1"/>
    <xf numFmtId="0" fontId="0" fillId="5" borderId="26" xfId="0" applyFill="1" applyBorder="1"/>
    <xf numFmtId="0" fontId="6" fillId="0" borderId="20" xfId="0" applyFont="1" applyBorder="1"/>
    <xf numFmtId="0" fontId="6" fillId="0" borderId="13" xfId="0" applyFont="1" applyBorder="1"/>
    <xf numFmtId="0" fontId="0" fillId="5" borderId="8" xfId="0" applyFill="1" applyBorder="1"/>
    <xf numFmtId="0" fontId="0" fillId="0" borderId="75" xfId="0" applyFont="1" applyBorder="1"/>
    <xf numFmtId="0" fontId="4" fillId="3" borderId="0" xfId="3" applyAlignment="1"/>
    <xf numFmtId="49" fontId="0" fillId="0" borderId="0" xfId="0" applyNumberFormat="1" applyAlignment="1">
      <alignment horizontal="left"/>
    </xf>
    <xf numFmtId="49" fontId="0" fillId="0" borderId="72" xfId="0" applyNumberFormat="1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65" xfId="0" applyFill="1" applyBorder="1"/>
    <xf numFmtId="1" fontId="0" fillId="0" borderId="0" xfId="0" applyNumberFormat="1"/>
    <xf numFmtId="164" fontId="0" fillId="0" borderId="0" xfId="0" applyNumberFormat="1"/>
    <xf numFmtId="166" fontId="0" fillId="0" borderId="0" xfId="0" applyNumberFormat="1"/>
    <xf numFmtId="0" fontId="0" fillId="0" borderId="10" xfId="0" applyFill="1" applyBorder="1"/>
    <xf numFmtId="2" fontId="6" fillId="0" borderId="15" xfId="0" applyNumberFormat="1" applyFont="1" applyBorder="1"/>
    <xf numFmtId="2" fontId="6" fillId="0" borderId="21" xfId="0" applyNumberFormat="1" applyFont="1" applyBorder="1" applyAlignment="1">
      <alignment horizontal="left"/>
    </xf>
    <xf numFmtId="2" fontId="0" fillId="0" borderId="0" xfId="0" applyNumberFormat="1"/>
    <xf numFmtId="0" fontId="0" fillId="0" borderId="25" xfId="0" applyBorder="1" applyAlignment="1">
      <alignment horizontal="center"/>
    </xf>
    <xf numFmtId="0" fontId="0" fillId="0" borderId="70" xfId="0" applyBorder="1" applyAlignment="1">
      <alignment horizontal="center"/>
    </xf>
    <xf numFmtId="2" fontId="13" fillId="7" borderId="0" xfId="6" applyNumberFormat="1" applyFont="1" applyAlignment="1">
      <alignment horizontal="right"/>
    </xf>
    <xf numFmtId="167" fontId="6" fillId="0" borderId="15" xfId="0" applyNumberFormat="1" applyFont="1" applyBorder="1"/>
    <xf numFmtId="49" fontId="6" fillId="0" borderId="17" xfId="0" applyNumberFormat="1" applyFont="1" applyBorder="1" applyAlignment="1">
      <alignment horizontal="left"/>
    </xf>
    <xf numFmtId="2" fontId="6" fillId="0" borderId="0" xfId="0" applyNumberFormat="1" applyFont="1"/>
    <xf numFmtId="0" fontId="0" fillId="0" borderId="16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6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5" fillId="4" borderId="15" xfId="4" applyFont="1" applyBorder="1" applyAlignment="1">
      <alignment horizontal="center"/>
    </xf>
    <xf numFmtId="0" fontId="5" fillId="4" borderId="19" xfId="4" applyFont="1" applyBorder="1" applyAlignment="1">
      <alignment horizontal="center"/>
    </xf>
    <xf numFmtId="0" fontId="5" fillId="4" borderId="23" xfId="4" applyFont="1" applyBorder="1" applyAlignment="1">
      <alignment horizontal="center"/>
    </xf>
    <xf numFmtId="0" fontId="0" fillId="0" borderId="10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6" fillId="0" borderId="16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4" fillId="3" borderId="17" xfId="3" applyBorder="1" applyAlignment="1">
      <alignment horizontal="center"/>
    </xf>
    <xf numFmtId="0" fontId="4" fillId="3" borderId="0" xfId="3" applyBorder="1" applyAlignment="1">
      <alignment horizontal="center"/>
    </xf>
    <xf numFmtId="0" fontId="4" fillId="3" borderId="0" xfId="3" applyAlignment="1">
      <alignment horizontal="center"/>
    </xf>
    <xf numFmtId="0" fontId="6" fillId="0" borderId="11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4" fillId="3" borderId="17" xfId="3" applyBorder="1" applyAlignment="1">
      <alignment horizontal="left"/>
    </xf>
    <xf numFmtId="0" fontId="4" fillId="3" borderId="0" xfId="3" applyBorder="1" applyAlignment="1">
      <alignment horizontal="left"/>
    </xf>
    <xf numFmtId="0" fontId="4" fillId="3" borderId="0" xfId="3" applyAlignment="1">
      <alignment horizontal="left"/>
    </xf>
    <xf numFmtId="0" fontId="6" fillId="0" borderId="14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4" fillId="3" borderId="17" xfId="3" applyBorder="1"/>
    <xf numFmtId="0" fontId="4" fillId="3" borderId="0" xfId="3"/>
    <xf numFmtId="0" fontId="6" fillId="0" borderId="15" xfId="0" applyFont="1" applyBorder="1"/>
    <xf numFmtId="0" fontId="6" fillId="0" borderId="19" xfId="0" applyFont="1" applyBorder="1"/>
    <xf numFmtId="0" fontId="4" fillId="3" borderId="0" xfId="3" applyBorder="1"/>
    <xf numFmtId="0" fontId="6" fillId="0" borderId="17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6" fillId="0" borderId="18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0" fillId="5" borderId="68" xfId="0" applyFill="1" applyBorder="1" applyAlignment="1">
      <alignment horizontal="center"/>
    </xf>
    <xf numFmtId="0" fontId="0" fillId="5" borderId="69" xfId="0" applyFill="1" applyBorder="1" applyAlignment="1">
      <alignment horizontal="center"/>
    </xf>
    <xf numFmtId="0" fontId="0" fillId="5" borderId="70" xfId="0" applyFill="1" applyBorder="1" applyAlignment="1">
      <alignment horizontal="center"/>
    </xf>
    <xf numFmtId="0" fontId="0" fillId="5" borderId="66" xfId="0" applyFill="1" applyBorder="1" applyAlignment="1">
      <alignment horizontal="center"/>
    </xf>
    <xf numFmtId="0" fontId="0" fillId="5" borderId="67" xfId="0" applyFill="1" applyBorder="1" applyAlignment="1">
      <alignment horizontal="center"/>
    </xf>
    <xf numFmtId="0" fontId="0" fillId="5" borderId="61" xfId="0" applyFill="1" applyBorder="1" applyAlignment="1">
      <alignment horizontal="center"/>
    </xf>
    <xf numFmtId="0" fontId="0" fillId="5" borderId="76" xfId="0" applyFill="1" applyBorder="1" applyAlignment="1">
      <alignment horizontal="center"/>
    </xf>
    <xf numFmtId="0" fontId="0" fillId="5" borderId="77" xfId="0" applyFill="1" applyBorder="1" applyAlignment="1">
      <alignment horizontal="center"/>
    </xf>
    <xf numFmtId="0" fontId="0" fillId="5" borderId="78" xfId="0" applyFill="1" applyBorder="1" applyAlignment="1">
      <alignment horizontal="center"/>
    </xf>
    <xf numFmtId="0" fontId="6" fillId="0" borderId="11" xfId="0" applyFont="1" applyBorder="1"/>
  </cellXfs>
  <cellStyles count="7">
    <cellStyle name="40% - Accent3" xfId="1" builtinId="39"/>
    <cellStyle name="Accent3" xfId="4" builtinId="37"/>
    <cellStyle name="Bad" xfId="3" builtinId="27"/>
    <cellStyle name="Good" xfId="6" builtinId="26"/>
    <cellStyle name="Heading 1" xfId="2" builtinId="16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F72F7-58A8-4BC0-83E3-49FC3732C698}">
  <dimension ref="A1:F14"/>
  <sheetViews>
    <sheetView zoomScale="120" zoomScaleNormal="120" workbookViewId="0">
      <selection activeCell="E11" sqref="E11:F13"/>
    </sheetView>
  </sheetViews>
  <sheetFormatPr defaultRowHeight="14.4" x14ac:dyDescent="0.3"/>
  <cols>
    <col min="1" max="1" width="26.33203125" bestFit="1" customWidth="1"/>
    <col min="2" max="2" width="10.77734375" bestFit="1" customWidth="1"/>
    <col min="4" max="4" width="24.109375" bestFit="1" customWidth="1"/>
    <col min="5" max="5" width="28.21875" bestFit="1" customWidth="1"/>
    <col min="6" max="6" width="18.44140625" bestFit="1" customWidth="1"/>
  </cols>
  <sheetData>
    <row r="1" spans="1:6" ht="20.399999999999999" thickBot="1" x14ac:dyDescent="0.45">
      <c r="A1" s="15" t="s">
        <v>33</v>
      </c>
    </row>
    <row r="2" spans="1:6" ht="15.6" thickTop="1" thickBot="1" x14ac:dyDescent="0.35">
      <c r="A2" s="17"/>
      <c r="D2" s="21"/>
      <c r="E2" s="21"/>
      <c r="F2" s="21"/>
    </row>
    <row r="3" spans="1:6" ht="18" customHeight="1" thickTop="1" thickBot="1" x14ac:dyDescent="0.35">
      <c r="A3" s="199" t="s">
        <v>32</v>
      </c>
      <c r="B3" s="200"/>
      <c r="C3" s="27"/>
      <c r="D3" s="199" t="s">
        <v>34</v>
      </c>
      <c r="E3" s="201"/>
      <c r="F3" s="200"/>
    </row>
    <row r="4" spans="1:6" ht="15" customHeight="1" thickTop="1" x14ac:dyDescent="0.3">
      <c r="A4" s="24" t="s">
        <v>17</v>
      </c>
      <c r="B4" s="18" t="s">
        <v>215</v>
      </c>
      <c r="C4" s="28"/>
      <c r="D4" s="24" t="s">
        <v>19</v>
      </c>
      <c r="E4" s="14" t="s">
        <v>216</v>
      </c>
      <c r="F4" s="27" t="s">
        <v>29</v>
      </c>
    </row>
    <row r="5" spans="1:6" x14ac:dyDescent="0.3">
      <c r="A5" s="25" t="s">
        <v>35</v>
      </c>
      <c r="B5" s="19">
        <v>1</v>
      </c>
      <c r="C5" s="19"/>
      <c r="D5" s="25"/>
      <c r="E5" s="137" t="s">
        <v>217</v>
      </c>
      <c r="F5" s="27" t="s">
        <v>30</v>
      </c>
    </row>
    <row r="6" spans="1:6" x14ac:dyDescent="0.3">
      <c r="A6" s="25" t="s">
        <v>18</v>
      </c>
      <c r="B6" s="20">
        <v>24853</v>
      </c>
      <c r="C6" s="20"/>
      <c r="D6" s="25"/>
      <c r="E6" s="14" t="s">
        <v>218</v>
      </c>
      <c r="F6" s="27" t="s">
        <v>31</v>
      </c>
    </row>
    <row r="7" spans="1:6" ht="15" thickBot="1" x14ac:dyDescent="0.35">
      <c r="A7" s="60" t="s">
        <v>147</v>
      </c>
      <c r="B7" s="135">
        <f ca="1">(YEAR(NOW())-YEAR(B6))</f>
        <v>54</v>
      </c>
      <c r="C7" s="25"/>
      <c r="D7" s="25" t="s">
        <v>20</v>
      </c>
      <c r="E7" s="136" t="s">
        <v>219</v>
      </c>
      <c r="F7" s="27" t="s">
        <v>21</v>
      </c>
    </row>
    <row r="8" spans="1:6" ht="15" thickTop="1" x14ac:dyDescent="0.3">
      <c r="B8" s="63"/>
      <c r="C8" s="27"/>
      <c r="D8" s="25" t="s">
        <v>22</v>
      </c>
      <c r="E8" s="16" t="s">
        <v>220</v>
      </c>
      <c r="F8" s="27" t="s">
        <v>23</v>
      </c>
    </row>
    <row r="9" spans="1:6" x14ac:dyDescent="0.3">
      <c r="C9" s="27"/>
      <c r="D9" s="25" t="s">
        <v>24</v>
      </c>
      <c r="E9" s="136" t="s">
        <v>221</v>
      </c>
      <c r="F9" s="27" t="s">
        <v>25</v>
      </c>
    </row>
    <row r="10" spans="1:6" ht="15" thickBot="1" x14ac:dyDescent="0.35">
      <c r="C10" s="27"/>
      <c r="D10" s="26" t="s">
        <v>26</v>
      </c>
      <c r="E10" s="29" t="s">
        <v>222</v>
      </c>
      <c r="F10" s="30" t="s">
        <v>27</v>
      </c>
    </row>
    <row r="11" spans="1:6" ht="15" thickTop="1" x14ac:dyDescent="0.3">
      <c r="C11" s="27"/>
      <c r="D11" s="196" t="s">
        <v>28</v>
      </c>
      <c r="E11" s="190" t="s">
        <v>223</v>
      </c>
      <c r="F11" s="191"/>
    </row>
    <row r="12" spans="1:6" x14ac:dyDescent="0.3">
      <c r="C12" s="27"/>
      <c r="D12" s="197"/>
      <c r="E12" s="192"/>
      <c r="F12" s="193"/>
    </row>
    <row r="13" spans="1:6" ht="15" thickBot="1" x14ac:dyDescent="0.35">
      <c r="C13" s="27"/>
      <c r="D13" s="198"/>
      <c r="E13" s="194"/>
      <c r="F13" s="195"/>
    </row>
    <row r="14" spans="1:6" ht="15" thickTop="1" x14ac:dyDescent="0.3"/>
  </sheetData>
  <mergeCells count="4">
    <mergeCell ref="E11:F13"/>
    <mergeCell ref="D11:D13"/>
    <mergeCell ref="A3:B3"/>
    <mergeCell ref="D3:F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A9328-4B1A-4001-B75C-EFC217F80951}">
  <dimension ref="A1:M56"/>
  <sheetViews>
    <sheetView topLeftCell="A31" zoomScaleNormal="100" workbookViewId="0">
      <selection activeCell="G41" sqref="G41"/>
    </sheetView>
  </sheetViews>
  <sheetFormatPr defaultRowHeight="14.4" x14ac:dyDescent="0.3"/>
  <cols>
    <col min="1" max="1" width="27.109375" bestFit="1" customWidth="1"/>
    <col min="2" max="2" width="23.77734375" customWidth="1"/>
    <col min="3" max="4" width="10.77734375" customWidth="1"/>
    <col min="6" max="6" width="9.5546875" customWidth="1"/>
    <col min="8" max="8" width="16.21875" bestFit="1" customWidth="1"/>
    <col min="10" max="10" width="16.21875" bestFit="1" customWidth="1"/>
    <col min="11" max="11" width="18.6640625" bestFit="1" customWidth="1"/>
    <col min="12" max="12" width="16.21875" bestFit="1" customWidth="1"/>
  </cols>
  <sheetData>
    <row r="1" spans="1:9" ht="20.399999999999999" thickBot="1" x14ac:dyDescent="0.45">
      <c r="A1" s="15" t="s">
        <v>36</v>
      </c>
    </row>
    <row r="2" spans="1:9" ht="15.6" thickTop="1" thickBot="1" x14ac:dyDescent="0.35"/>
    <row r="3" spans="1:9" ht="15.6" thickTop="1" thickBot="1" x14ac:dyDescent="0.35">
      <c r="A3" s="199" t="s">
        <v>32</v>
      </c>
      <c r="B3" s="200"/>
    </row>
    <row r="4" spans="1:9" ht="15" thickTop="1" x14ac:dyDescent="0.3">
      <c r="A4" s="24" t="s">
        <v>17</v>
      </c>
      <c r="B4" s="18" t="str">
        <f>'Algemene informatie'!B4</f>
        <v>T2A_64</v>
      </c>
    </row>
    <row r="5" spans="1:9" x14ac:dyDescent="0.3">
      <c r="A5" s="25" t="s">
        <v>35</v>
      </c>
      <c r="B5" s="19">
        <f>'Algemene informatie'!B5</f>
        <v>1</v>
      </c>
    </row>
    <row r="6" spans="1:9" ht="15" thickBot="1" x14ac:dyDescent="0.35">
      <c r="A6" s="26" t="s">
        <v>18</v>
      </c>
      <c r="B6" s="22">
        <f>'Algemene informatie'!B6</f>
        <v>24853</v>
      </c>
    </row>
    <row r="7" spans="1:9" ht="15.6" thickTop="1" thickBot="1" x14ac:dyDescent="0.35"/>
    <row r="8" spans="1:9" ht="15.6" thickTop="1" thickBot="1" x14ac:dyDescent="0.35">
      <c r="A8" s="199" t="s">
        <v>58</v>
      </c>
      <c r="B8" s="200"/>
    </row>
    <row r="9" spans="1:9" ht="15" thickTop="1" x14ac:dyDescent="0.3">
      <c r="A9" s="25" t="s">
        <v>59</v>
      </c>
      <c r="B9" s="20">
        <v>44816</v>
      </c>
    </row>
    <row r="10" spans="1:9" x14ac:dyDescent="0.3">
      <c r="A10" s="25" t="s">
        <v>207</v>
      </c>
      <c r="B10" s="20" t="s">
        <v>224</v>
      </c>
    </row>
    <row r="11" spans="1:9" ht="15" thickBot="1" x14ac:dyDescent="0.35">
      <c r="A11" s="26" t="s">
        <v>60</v>
      </c>
      <c r="B11" s="58">
        <v>0.73958333333333337</v>
      </c>
    </row>
    <row r="12" spans="1:9" ht="15.6" thickTop="1" thickBot="1" x14ac:dyDescent="0.35"/>
    <row r="13" spans="1:9" ht="15.6" thickTop="1" thickBot="1" x14ac:dyDescent="0.35">
      <c r="A13" s="209" t="s">
        <v>39</v>
      </c>
      <c r="B13" s="210"/>
      <c r="C13" s="210"/>
      <c r="D13" s="210"/>
      <c r="E13" s="211"/>
      <c r="F13" s="205" t="s">
        <v>38</v>
      </c>
      <c r="G13" s="206"/>
      <c r="H13" s="215" t="s">
        <v>37</v>
      </c>
      <c r="I13" s="1"/>
    </row>
    <row r="14" spans="1:9" ht="15.6" thickTop="1" thickBot="1" x14ac:dyDescent="0.35">
      <c r="A14" s="23"/>
      <c r="B14" s="49" t="s">
        <v>46</v>
      </c>
      <c r="C14" s="49" t="s">
        <v>47</v>
      </c>
      <c r="D14" s="49" t="s">
        <v>48</v>
      </c>
      <c r="E14" s="50" t="s">
        <v>0</v>
      </c>
      <c r="F14" s="207"/>
      <c r="G14" s="208"/>
      <c r="H14" s="216"/>
      <c r="I14" s="1"/>
    </row>
    <row r="15" spans="1:9" ht="15" thickTop="1" x14ac:dyDescent="0.3">
      <c r="A15" s="45" t="s">
        <v>40</v>
      </c>
      <c r="B15" s="46">
        <v>73.727000000000004</v>
      </c>
      <c r="C15" s="47">
        <v>73.731999999999999</v>
      </c>
      <c r="D15" s="48"/>
      <c r="E15" s="27" t="s">
        <v>1</v>
      </c>
      <c r="F15" s="2">
        <f>+(C15-B15)/B15</f>
        <v>6.7817760114957242E-5</v>
      </c>
      <c r="G15" s="27" t="str">
        <f>IF(ABS(F15)&gt;1%,"Yes","No")</f>
        <v>No</v>
      </c>
      <c r="H15" s="34">
        <f>IF(D15=0,AVERAGE(B15,C15),MEDIAN(B15:D15))</f>
        <v>73.729500000000002</v>
      </c>
    </row>
    <row r="16" spans="1:9" x14ac:dyDescent="0.3">
      <c r="A16" s="38" t="s">
        <v>41</v>
      </c>
      <c r="B16" s="5">
        <v>183.9</v>
      </c>
      <c r="C16" s="4">
        <v>184</v>
      </c>
      <c r="D16" s="6"/>
      <c r="E16" s="27" t="s">
        <v>2</v>
      </c>
      <c r="F16" s="2">
        <f t="shared" ref="F16:F27" si="0">+(C16-B16)/B16</f>
        <v>5.4377379010328607E-4</v>
      </c>
      <c r="G16" s="27" t="str">
        <f t="shared" ref="G16:G27" si="1">IF(ABS(F16)&gt;1%,"Yes","No")</f>
        <v>No</v>
      </c>
      <c r="H16" s="34">
        <f t="shared" ref="H16:H27" si="2">IF(D16=0,AVERAGE(B16,C16),MEDIAN(B16:D16))</f>
        <v>183.95</v>
      </c>
    </row>
    <row r="17" spans="1:13" x14ac:dyDescent="0.3">
      <c r="A17" s="39"/>
      <c r="B17" s="8"/>
      <c r="C17" s="9"/>
      <c r="D17" s="10"/>
      <c r="E17" s="37"/>
      <c r="F17" s="7"/>
      <c r="G17" s="37"/>
      <c r="H17" s="35"/>
    </row>
    <row r="18" spans="1:13" x14ac:dyDescent="0.3">
      <c r="A18" s="40" t="s">
        <v>42</v>
      </c>
      <c r="B18" s="5">
        <v>5.0999999999999996</v>
      </c>
      <c r="C18" s="4">
        <v>5</v>
      </c>
      <c r="D18" s="6"/>
      <c r="E18" s="27" t="s">
        <v>3</v>
      </c>
      <c r="F18" s="2">
        <f t="shared" si="0"/>
        <v>-1.9607843137254832E-2</v>
      </c>
      <c r="G18" s="27" t="str">
        <f>IF(ABS(F18)&gt;5%,"Yes","No")</f>
        <v>No</v>
      </c>
      <c r="H18" s="34">
        <f t="shared" si="2"/>
        <v>5.05</v>
      </c>
      <c r="I18" s="217" t="s">
        <v>161</v>
      </c>
      <c r="J18" s="219"/>
      <c r="K18" s="138"/>
      <c r="L18" s="139">
        <v>34.1</v>
      </c>
      <c r="M18" s="139" t="s">
        <v>2</v>
      </c>
    </row>
    <row r="19" spans="1:13" x14ac:dyDescent="0.3">
      <c r="A19" s="41" t="s">
        <v>43</v>
      </c>
      <c r="B19" s="5">
        <v>11.2</v>
      </c>
      <c r="C19" s="4">
        <v>11.1</v>
      </c>
      <c r="D19" s="6"/>
      <c r="E19" s="27" t="s">
        <v>3</v>
      </c>
      <c r="F19" s="2">
        <f t="shared" si="0"/>
        <v>-8.9285714285713969E-3</v>
      </c>
      <c r="G19" s="27" t="str">
        <f t="shared" ref="G19:G21" si="3">IF(ABS(F19)&gt;5%,"Yes","No")</f>
        <v>No</v>
      </c>
      <c r="H19" s="34">
        <f t="shared" si="2"/>
        <v>11.149999999999999</v>
      </c>
      <c r="I19" s="217" t="s">
        <v>160</v>
      </c>
      <c r="J19" s="219"/>
      <c r="K19" s="219"/>
      <c r="L19" s="139">
        <f>L18/2</f>
        <v>17.05</v>
      </c>
      <c r="M19" s="139" t="s">
        <v>2</v>
      </c>
    </row>
    <row r="20" spans="1:13" x14ac:dyDescent="0.3">
      <c r="A20" s="40" t="s">
        <v>44</v>
      </c>
      <c r="B20" s="5">
        <v>9.8000000000000007</v>
      </c>
      <c r="C20" s="4">
        <v>9.4</v>
      </c>
      <c r="D20" s="6"/>
      <c r="E20" s="27" t="s">
        <v>3</v>
      </c>
      <c r="F20" s="2">
        <f t="shared" si="0"/>
        <v>-4.0816326530612276E-2</v>
      </c>
      <c r="G20" s="27" t="str">
        <f t="shared" si="3"/>
        <v>No</v>
      </c>
      <c r="H20" s="34">
        <f t="shared" si="2"/>
        <v>9.6000000000000014</v>
      </c>
    </row>
    <row r="21" spans="1:13" x14ac:dyDescent="0.3">
      <c r="A21" s="40" t="s">
        <v>45</v>
      </c>
      <c r="B21" s="5">
        <v>13.8</v>
      </c>
      <c r="C21" s="4">
        <v>13.4</v>
      </c>
      <c r="D21" s="6"/>
      <c r="E21" s="27" t="s">
        <v>3</v>
      </c>
      <c r="F21" s="2">
        <f t="shared" si="0"/>
        <v>-2.8985507246376836E-2</v>
      </c>
      <c r="G21" s="27" t="str">
        <f t="shared" si="3"/>
        <v>No</v>
      </c>
      <c r="H21" s="34">
        <f t="shared" si="2"/>
        <v>13.600000000000001</v>
      </c>
    </row>
    <row r="22" spans="1:13" x14ac:dyDescent="0.3">
      <c r="A22" s="42"/>
      <c r="B22" s="8"/>
      <c r="C22" s="9"/>
      <c r="D22" s="10"/>
      <c r="E22" s="37"/>
      <c r="F22" s="7"/>
      <c r="G22" s="37"/>
      <c r="H22" s="35"/>
    </row>
    <row r="23" spans="1:13" x14ac:dyDescent="0.3">
      <c r="A23" s="40" t="s">
        <v>50</v>
      </c>
      <c r="B23" s="5">
        <v>46.1</v>
      </c>
      <c r="C23" s="4">
        <v>45.5</v>
      </c>
      <c r="D23" s="6">
        <v>45.5</v>
      </c>
      <c r="E23" s="27" t="s">
        <v>2</v>
      </c>
      <c r="F23" s="2">
        <f>+(C23-B23)/B23</f>
        <v>-1.3015184381778773E-2</v>
      </c>
      <c r="G23" s="27" t="str">
        <f t="shared" si="1"/>
        <v>Yes</v>
      </c>
      <c r="H23" s="34">
        <f t="shared" si="2"/>
        <v>45.5</v>
      </c>
      <c r="I23" s="217" t="s">
        <v>168</v>
      </c>
      <c r="J23" s="218"/>
      <c r="K23" s="218"/>
      <c r="L23" s="140">
        <f>B23-(B23/2)</f>
        <v>23.05</v>
      </c>
      <c r="M23" s="31" t="s">
        <v>2</v>
      </c>
    </row>
    <row r="24" spans="1:13" x14ac:dyDescent="0.3">
      <c r="A24" s="43" t="s">
        <v>49</v>
      </c>
      <c r="B24" s="5">
        <v>49.9</v>
      </c>
      <c r="C24" s="4">
        <v>50</v>
      </c>
      <c r="D24" s="6"/>
      <c r="E24" s="27" t="s">
        <v>2</v>
      </c>
      <c r="F24" s="2">
        <f t="shared" si="0"/>
        <v>2.0040080160320926E-3</v>
      </c>
      <c r="G24" s="27" t="str">
        <f t="shared" si="1"/>
        <v>No</v>
      </c>
      <c r="H24" s="34">
        <f t="shared" si="2"/>
        <v>49.95</v>
      </c>
    </row>
    <row r="25" spans="1:13" x14ac:dyDescent="0.3">
      <c r="A25" s="42"/>
      <c r="B25" s="8"/>
      <c r="C25" s="9"/>
      <c r="D25" s="10"/>
      <c r="E25" s="37"/>
      <c r="F25" s="7"/>
      <c r="G25" s="37"/>
      <c r="H25" s="35"/>
    </row>
    <row r="26" spans="1:13" x14ac:dyDescent="0.3">
      <c r="A26" s="43" t="s">
        <v>51</v>
      </c>
      <c r="B26" s="5">
        <v>36.200000000000003</v>
      </c>
      <c r="C26" s="4">
        <v>36.4</v>
      </c>
      <c r="D26" s="6"/>
      <c r="E26" s="27" t="s">
        <v>2</v>
      </c>
      <c r="F26" s="2">
        <f t="shared" si="0"/>
        <v>5.5248618784529205E-3</v>
      </c>
      <c r="G26" s="27" t="str">
        <f t="shared" si="1"/>
        <v>No</v>
      </c>
      <c r="H26" s="34">
        <f t="shared" si="2"/>
        <v>36.299999999999997</v>
      </c>
    </row>
    <row r="27" spans="1:13" x14ac:dyDescent="0.3">
      <c r="A27" s="41" t="s">
        <v>52</v>
      </c>
      <c r="B27" s="55">
        <v>42.1</v>
      </c>
      <c r="C27" s="56">
        <v>42.3</v>
      </c>
      <c r="D27" s="57"/>
      <c r="E27" s="27" t="s">
        <v>2</v>
      </c>
      <c r="F27" s="2">
        <f t="shared" si="0"/>
        <v>4.7505938242279272E-3</v>
      </c>
      <c r="G27" s="27" t="str">
        <f t="shared" si="1"/>
        <v>No</v>
      </c>
      <c r="H27" s="34">
        <f t="shared" si="2"/>
        <v>42.2</v>
      </c>
    </row>
    <row r="28" spans="1:13" x14ac:dyDescent="0.3">
      <c r="A28" s="51"/>
      <c r="B28" s="52"/>
      <c r="C28" s="53"/>
      <c r="D28" s="54"/>
      <c r="E28" s="37"/>
      <c r="F28" s="7"/>
      <c r="G28" s="37"/>
      <c r="H28" s="35"/>
      <c r="J28" s="2"/>
    </row>
    <row r="29" spans="1:13" x14ac:dyDescent="0.3">
      <c r="A29" s="40" t="s">
        <v>54</v>
      </c>
      <c r="B29" s="5"/>
      <c r="C29" s="157"/>
      <c r="D29" s="158"/>
      <c r="E29" s="27" t="s">
        <v>3</v>
      </c>
      <c r="F29" s="2" t="e">
        <f t="shared" ref="F29:F32" si="4">+(C29-B29)/B29</f>
        <v>#DIV/0!</v>
      </c>
      <c r="G29" s="27" t="e">
        <f>IF(ABS(F29)&gt;5%,"Yes","No")</f>
        <v>#DIV/0!</v>
      </c>
      <c r="H29" s="34" t="e">
        <f t="shared" ref="H29:H32" si="5">IF(D29=0,AVERAGE(B29,C29),MEDIAN(B29:D29))</f>
        <v>#DIV/0!</v>
      </c>
      <c r="I29" s="212" t="s">
        <v>167</v>
      </c>
      <c r="J29" s="214"/>
      <c r="K29" s="139" t="str">
        <f>B4&amp;"_Biceps"</f>
        <v>T2A_64_Biceps</v>
      </c>
    </row>
    <row r="30" spans="1:13" x14ac:dyDescent="0.3">
      <c r="A30" s="41" t="s">
        <v>55</v>
      </c>
      <c r="B30" s="5"/>
      <c r="C30" s="157"/>
      <c r="D30" s="158"/>
      <c r="E30" s="27" t="s">
        <v>3</v>
      </c>
      <c r="F30" s="2" t="e">
        <f t="shared" si="4"/>
        <v>#DIV/0!</v>
      </c>
      <c r="G30" s="27" t="e">
        <f t="shared" ref="G30:G32" si="6">IF(ABS(F30)&gt;5%,"Yes","No")</f>
        <v>#DIV/0!</v>
      </c>
      <c r="H30" s="34" t="e">
        <f t="shared" si="5"/>
        <v>#DIV/0!</v>
      </c>
      <c r="I30" s="212" t="s">
        <v>167</v>
      </c>
      <c r="J30" s="214"/>
      <c r="K30" s="139" t="str">
        <f>B4&amp;"_Triceps"</f>
        <v>T2A_64_Triceps</v>
      </c>
    </row>
    <row r="31" spans="1:13" x14ac:dyDescent="0.3">
      <c r="A31" s="40" t="s">
        <v>56</v>
      </c>
      <c r="B31" s="5"/>
      <c r="C31" s="157"/>
      <c r="D31" s="158"/>
      <c r="E31" s="27" t="s">
        <v>3</v>
      </c>
      <c r="F31" s="2" t="e">
        <f t="shared" si="4"/>
        <v>#DIV/0!</v>
      </c>
      <c r="G31" s="27" t="e">
        <f t="shared" si="6"/>
        <v>#DIV/0!</v>
      </c>
      <c r="H31" s="34" t="e">
        <f t="shared" si="5"/>
        <v>#DIV/0!</v>
      </c>
      <c r="I31" s="212" t="s">
        <v>167</v>
      </c>
      <c r="J31" s="214"/>
      <c r="K31" s="139" t="str">
        <f>B4&amp;"_Subscapular"</f>
        <v>T2A_64_Subscapular</v>
      </c>
    </row>
    <row r="32" spans="1:13" ht="15" thickBot="1" x14ac:dyDescent="0.35">
      <c r="A32" s="44" t="s">
        <v>57</v>
      </c>
      <c r="B32" s="32"/>
      <c r="C32" s="159"/>
      <c r="D32" s="160"/>
      <c r="E32" s="30" t="s">
        <v>3</v>
      </c>
      <c r="F32" s="21" t="e">
        <f t="shared" si="4"/>
        <v>#DIV/0!</v>
      </c>
      <c r="G32" s="30" t="e">
        <f t="shared" si="6"/>
        <v>#DIV/0!</v>
      </c>
      <c r="H32" s="36" t="e">
        <f t="shared" si="5"/>
        <v>#DIV/0!</v>
      </c>
      <c r="I32" s="212" t="s">
        <v>167</v>
      </c>
      <c r="J32" s="214"/>
      <c r="K32" s="139" t="str">
        <f>B4&amp;"_Iliac"</f>
        <v>T2A_64_Iliac</v>
      </c>
    </row>
    <row r="33" spans="1:11" ht="15.6" thickTop="1" thickBot="1" x14ac:dyDescent="0.35">
      <c r="A33" s="132"/>
      <c r="B33" s="63"/>
      <c r="C33" s="63"/>
      <c r="D33" s="2"/>
      <c r="E33" s="2"/>
      <c r="F33" s="2"/>
      <c r="G33" s="126" t="s">
        <v>146</v>
      </c>
      <c r="H33" s="127">
        <f>SUM(H18:H21)</f>
        <v>39.400000000000006</v>
      </c>
    </row>
    <row r="34" spans="1:11" ht="15.6" thickTop="1" thickBot="1" x14ac:dyDescent="0.35">
      <c r="A34" s="199" t="s">
        <v>157</v>
      </c>
      <c r="B34" s="201"/>
      <c r="C34" s="201"/>
      <c r="D34" s="200"/>
      <c r="E34" s="98"/>
      <c r="F34" s="2"/>
      <c r="G34" s="63"/>
      <c r="H34" s="2"/>
    </row>
    <row r="35" spans="1:11" ht="15.6" thickTop="1" thickBot="1" x14ac:dyDescent="0.35">
      <c r="A35" s="209" t="s">
        <v>159</v>
      </c>
      <c r="B35" s="210"/>
      <c r="C35" s="210"/>
      <c r="D35" s="211"/>
      <c r="E35" s="2"/>
      <c r="F35" s="2"/>
      <c r="G35" s="2"/>
      <c r="H35" s="2"/>
    </row>
    <row r="36" spans="1:11" ht="15.6" thickTop="1" thickBot="1" x14ac:dyDescent="0.35">
      <c r="A36" s="133" t="s">
        <v>158</v>
      </c>
      <c r="B36" s="68" t="s">
        <v>145</v>
      </c>
      <c r="C36" s="133" t="s">
        <v>148</v>
      </c>
      <c r="D36" s="134"/>
      <c r="E36" s="212" t="s">
        <v>169</v>
      </c>
      <c r="F36" s="213"/>
      <c r="G36" s="141">
        <f ca="1">'Algemene informatie'!B7</f>
        <v>54</v>
      </c>
      <c r="H36" s="2" t="s">
        <v>27</v>
      </c>
    </row>
    <row r="37" spans="1:11" ht="15" thickTop="1" x14ac:dyDescent="0.3">
      <c r="A37" s="25" t="s">
        <v>151</v>
      </c>
      <c r="B37" s="27">
        <f>(495/(1.1533-(0.0643*LOG(H33))))-450</f>
        <v>21.110193841983005</v>
      </c>
      <c r="C37" s="27">
        <f>(495/(1.1369-(0.0598*LOG(H33))))-450</f>
        <v>25.280915198715832</v>
      </c>
      <c r="D37" s="27" t="s">
        <v>13</v>
      </c>
      <c r="E37" s="2"/>
      <c r="F37" s="2"/>
      <c r="G37" s="2"/>
      <c r="H37" s="2"/>
    </row>
    <row r="38" spans="1:11" x14ac:dyDescent="0.3">
      <c r="A38" s="25" t="s">
        <v>152</v>
      </c>
      <c r="B38" s="27">
        <f>(495/(1.162-(0.063*LOG(H33))))-450</f>
        <v>16.328387584160112</v>
      </c>
      <c r="C38" s="27">
        <f>(495/(1.1549-(0.0678*LOG(H33))))-450</f>
        <v>22.903419303648263</v>
      </c>
      <c r="D38" s="27" t="s">
        <v>13</v>
      </c>
      <c r="E38" s="2"/>
      <c r="F38" s="2"/>
      <c r="G38" s="2"/>
      <c r="H38" s="2"/>
    </row>
    <row r="39" spans="1:11" x14ac:dyDescent="0.3">
      <c r="A39" s="25" t="s">
        <v>153</v>
      </c>
      <c r="B39" s="27">
        <f>(495/(1.1631-(0.0632*LOG(H33))))-450</f>
        <v>15.985576407976566</v>
      </c>
      <c r="C39" s="27">
        <f>(495/(1.1599-(0.0717*LOG(H33))))-450</f>
        <v>23.456353021191205</v>
      </c>
      <c r="D39" s="27" t="s">
        <v>13</v>
      </c>
      <c r="E39" s="2"/>
      <c r="F39" s="2"/>
      <c r="G39" s="2"/>
      <c r="H39" s="2"/>
      <c r="J39" s="87"/>
      <c r="K39" s="87"/>
    </row>
    <row r="40" spans="1:11" x14ac:dyDescent="0.3">
      <c r="A40" s="25" t="s">
        <v>154</v>
      </c>
      <c r="B40" s="27">
        <f>(495/(1.1422-(0.0544*LOG(H33))))-450</f>
        <v>19.014262207484308</v>
      </c>
      <c r="C40" s="27">
        <f>(495/(1.1423-(0.0632*LOG(H33))))-450</f>
        <v>25.292181383671277</v>
      </c>
      <c r="D40" s="27" t="s">
        <v>13</v>
      </c>
      <c r="E40" s="2"/>
      <c r="F40" s="2"/>
      <c r="G40" s="2"/>
      <c r="H40" s="2"/>
      <c r="J40" s="131"/>
      <c r="K40" s="131"/>
    </row>
    <row r="41" spans="1:11" x14ac:dyDescent="0.3">
      <c r="A41" s="25" t="s">
        <v>155</v>
      </c>
      <c r="B41" s="27">
        <f>(495/(1.162-(0.07*LOG(H33))))-450</f>
        <v>21.28706660160816</v>
      </c>
      <c r="C41" s="27">
        <f>(495/(1.1333-(0.0612*LOG(H33))))-450</f>
        <v>27.95810216842824</v>
      </c>
      <c r="D41" s="27" t="s">
        <v>13</v>
      </c>
      <c r="E41" s="2"/>
      <c r="F41" s="2"/>
      <c r="G41" s="2"/>
      <c r="H41" s="2"/>
      <c r="J41" s="131"/>
      <c r="K41" s="131"/>
    </row>
    <row r="42" spans="1:11" ht="15" thickBot="1" x14ac:dyDescent="0.35">
      <c r="A42" s="26" t="s">
        <v>156</v>
      </c>
      <c r="B42" s="30">
        <f>(495/(1.1715-(0.0779*LOG(H33))))-450</f>
        <v>22.684180731078584</v>
      </c>
      <c r="C42" s="30">
        <f>(495/(1.1339-(0.0645*LOG(H33))))-450</f>
        <v>30.120818793657122</v>
      </c>
      <c r="D42" s="30" t="s">
        <v>13</v>
      </c>
      <c r="E42" s="2"/>
      <c r="F42" s="2"/>
      <c r="G42" s="2"/>
      <c r="H42" s="2"/>
    </row>
    <row r="43" spans="1:11" ht="15.6" thickTop="1" thickBot="1" x14ac:dyDescent="0.35">
      <c r="A43" s="2"/>
      <c r="B43" s="2"/>
      <c r="C43" s="2"/>
      <c r="D43" s="2"/>
      <c r="E43" s="2"/>
      <c r="F43" s="2"/>
      <c r="G43" s="2"/>
      <c r="H43" s="2"/>
    </row>
    <row r="44" spans="1:11" ht="15.6" thickTop="1" thickBot="1" x14ac:dyDescent="0.35">
      <c r="A44" s="199" t="s">
        <v>86</v>
      </c>
      <c r="B44" s="200"/>
      <c r="D44" s="2"/>
      <c r="E44" s="2"/>
      <c r="F44" s="2"/>
      <c r="G44" s="2"/>
      <c r="H44" s="2"/>
    </row>
    <row r="45" spans="1:11" ht="15" thickTop="1" x14ac:dyDescent="0.3">
      <c r="A45" s="25" t="s">
        <v>192</v>
      </c>
      <c r="B45" s="161" t="str">
        <f>B4&amp;"_PRE_Biceps"</f>
        <v>T2A_64_PRE_Biceps</v>
      </c>
      <c r="D45" s="2"/>
      <c r="E45" s="2"/>
      <c r="F45" s="2"/>
      <c r="G45" s="2"/>
      <c r="H45" s="2"/>
    </row>
    <row r="46" spans="1:11" x14ac:dyDescent="0.3">
      <c r="A46" s="25"/>
      <c r="B46" s="142" t="str">
        <f>B4&amp;"_PRE_Triceps"</f>
        <v>T2A_64_PRE_Triceps</v>
      </c>
      <c r="D46" s="2"/>
      <c r="E46" s="2"/>
      <c r="F46" s="2"/>
      <c r="G46" s="2"/>
      <c r="H46" s="2"/>
    </row>
    <row r="47" spans="1:11" x14ac:dyDescent="0.3">
      <c r="A47" s="25"/>
      <c r="B47" s="142" t="str">
        <f>B4&amp;"_PRE_Subscapula"</f>
        <v>T2A_64_PRE_Subscapula</v>
      </c>
      <c r="D47" s="2"/>
      <c r="E47" s="2"/>
      <c r="F47" s="2"/>
      <c r="G47" s="2"/>
      <c r="H47" s="2"/>
    </row>
    <row r="48" spans="1:11" ht="15" thickBot="1" x14ac:dyDescent="0.35">
      <c r="A48" s="26"/>
      <c r="B48" s="162" t="str">
        <f>B4&amp;"_PRE_Crista"</f>
        <v>T2A_64_PRE_Crista</v>
      </c>
      <c r="C48" s="2"/>
      <c r="D48" s="2"/>
      <c r="E48" s="2"/>
      <c r="F48" s="2"/>
      <c r="G48" s="2"/>
      <c r="H48" s="2"/>
    </row>
    <row r="49" spans="1:3" ht="15.6" thickTop="1" thickBot="1" x14ac:dyDescent="0.35"/>
    <row r="50" spans="1:3" ht="15.6" thickTop="1" thickBot="1" x14ac:dyDescent="0.35">
      <c r="A50" s="199" t="s">
        <v>109</v>
      </c>
      <c r="B50" s="201"/>
      <c r="C50" s="200"/>
    </row>
    <row r="51" spans="1:3" ht="15" thickTop="1" x14ac:dyDescent="0.3">
      <c r="A51" s="190"/>
      <c r="B51" s="202"/>
      <c r="C51" s="191"/>
    </row>
    <row r="52" spans="1:3" x14ac:dyDescent="0.3">
      <c r="A52" s="192"/>
      <c r="B52" s="203"/>
      <c r="C52" s="193"/>
    </row>
    <row r="53" spans="1:3" x14ac:dyDescent="0.3">
      <c r="A53" s="192"/>
      <c r="B53" s="203"/>
      <c r="C53" s="193"/>
    </row>
    <row r="54" spans="1:3" x14ac:dyDescent="0.3">
      <c r="A54" s="192"/>
      <c r="B54" s="203"/>
      <c r="C54" s="193"/>
    </row>
    <row r="55" spans="1:3" ht="15" thickBot="1" x14ac:dyDescent="0.35">
      <c r="A55" s="194"/>
      <c r="B55" s="204"/>
      <c r="C55" s="195"/>
    </row>
    <row r="56" spans="1:3" ht="15" thickTop="1" x14ac:dyDescent="0.3"/>
  </sheetData>
  <mergeCells count="18">
    <mergeCell ref="I31:J31"/>
    <mergeCell ref="I32:J32"/>
    <mergeCell ref="H13:H14"/>
    <mergeCell ref="A13:E13"/>
    <mergeCell ref="A50:C50"/>
    <mergeCell ref="I23:K23"/>
    <mergeCell ref="I19:K19"/>
    <mergeCell ref="I18:J18"/>
    <mergeCell ref="I29:J29"/>
    <mergeCell ref="I30:J30"/>
    <mergeCell ref="A44:B44"/>
    <mergeCell ref="A51:C55"/>
    <mergeCell ref="A3:B3"/>
    <mergeCell ref="A8:B8"/>
    <mergeCell ref="F13:G14"/>
    <mergeCell ref="A34:D34"/>
    <mergeCell ref="A35:D35"/>
    <mergeCell ref="E36:F3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99543-F095-41CB-8B2B-8C6E3BC89B8A}">
  <dimension ref="A1:K69"/>
  <sheetViews>
    <sheetView topLeftCell="A40" zoomScaleNormal="100" workbookViewId="0">
      <selection activeCell="F57" sqref="F57"/>
    </sheetView>
  </sheetViews>
  <sheetFormatPr defaultRowHeight="14.4" x14ac:dyDescent="0.3"/>
  <cols>
    <col min="1" max="1" width="22.88671875" customWidth="1"/>
    <col min="2" max="2" width="32.6640625" customWidth="1"/>
    <col min="3" max="3" width="13.88671875" customWidth="1"/>
    <col min="4" max="4" width="16.109375" bestFit="1" customWidth="1"/>
    <col min="8" max="8" width="8.21875" customWidth="1"/>
    <col min="9" max="9" width="8.77734375" customWidth="1"/>
  </cols>
  <sheetData>
    <row r="1" spans="1:3" ht="20.399999999999999" thickBot="1" x14ac:dyDescent="0.45">
      <c r="A1" s="15" t="s">
        <v>53</v>
      </c>
    </row>
    <row r="2" spans="1:3" ht="15.6" thickTop="1" thickBot="1" x14ac:dyDescent="0.35">
      <c r="C2" s="21"/>
    </row>
    <row r="3" spans="1:3" ht="15.6" thickTop="1" thickBot="1" x14ac:dyDescent="0.35">
      <c r="A3" s="199" t="s">
        <v>32</v>
      </c>
      <c r="B3" s="201"/>
      <c r="C3" s="200"/>
    </row>
    <row r="4" spans="1:3" ht="15" thickTop="1" x14ac:dyDescent="0.3">
      <c r="A4" s="24" t="s">
        <v>17</v>
      </c>
      <c r="B4" s="65" t="str">
        <f>'Algemene informatie'!B4</f>
        <v>T2A_64</v>
      </c>
      <c r="C4" s="64"/>
    </row>
    <row r="5" spans="1:3" ht="28.8" x14ac:dyDescent="0.3">
      <c r="A5" s="74" t="s">
        <v>35</v>
      </c>
      <c r="B5" s="66">
        <f>'Algemene informatie'!B5</f>
        <v>1</v>
      </c>
      <c r="C5" s="27"/>
    </row>
    <row r="6" spans="1:3" x14ac:dyDescent="0.3">
      <c r="A6" s="25" t="s">
        <v>18</v>
      </c>
      <c r="B6" s="67">
        <f>'Algemene informatie'!B6</f>
        <v>24853</v>
      </c>
      <c r="C6" s="27"/>
    </row>
    <row r="7" spans="1:3" x14ac:dyDescent="0.3">
      <c r="A7" s="59" t="s">
        <v>62</v>
      </c>
      <c r="B7" s="61">
        <f>'1A. Antropometrie'!H16</f>
        <v>183.95</v>
      </c>
      <c r="C7" s="27" t="s">
        <v>2</v>
      </c>
    </row>
    <row r="8" spans="1:3" ht="15" thickBot="1" x14ac:dyDescent="0.35">
      <c r="A8" s="60" t="s">
        <v>61</v>
      </c>
      <c r="B8" s="61">
        <f>'1A. Antropometrie'!H15</f>
        <v>73.729500000000002</v>
      </c>
      <c r="C8" s="30" t="s">
        <v>1</v>
      </c>
    </row>
    <row r="9" spans="1:3" ht="15.6" thickTop="1" thickBot="1" x14ac:dyDescent="0.35">
      <c r="A9" s="2"/>
      <c r="B9" s="62"/>
      <c r="C9" s="68"/>
    </row>
    <row r="10" spans="1:3" ht="15.6" thickTop="1" thickBot="1" x14ac:dyDescent="0.35">
      <c r="A10" s="199" t="s">
        <v>58</v>
      </c>
      <c r="B10" s="201"/>
      <c r="C10" s="200"/>
    </row>
    <row r="11" spans="1:3" ht="15" thickTop="1" x14ac:dyDescent="0.3">
      <c r="A11" s="25" t="s">
        <v>59</v>
      </c>
      <c r="B11" s="72">
        <f>'1A. Antropometrie'!B9</f>
        <v>44816</v>
      </c>
      <c r="C11" s="27"/>
    </row>
    <row r="12" spans="1:3" x14ac:dyDescent="0.3">
      <c r="A12" s="25" t="s">
        <v>205</v>
      </c>
      <c r="B12" s="67" t="s">
        <v>225</v>
      </c>
      <c r="C12" s="27"/>
    </row>
    <row r="13" spans="1:3" x14ac:dyDescent="0.3">
      <c r="A13" s="25" t="s">
        <v>60</v>
      </c>
      <c r="B13" s="71">
        <v>0.76041666666666663</v>
      </c>
      <c r="C13" s="27" t="s">
        <v>108</v>
      </c>
    </row>
    <row r="14" spans="1:3" x14ac:dyDescent="0.3">
      <c r="A14" s="70" t="s">
        <v>63</v>
      </c>
      <c r="B14" s="16">
        <v>18.399999999999999</v>
      </c>
      <c r="C14" s="27" t="s">
        <v>12</v>
      </c>
    </row>
    <row r="15" spans="1:3" x14ac:dyDescent="0.3">
      <c r="A15" s="70" t="s">
        <v>75</v>
      </c>
      <c r="B15" s="75">
        <v>65</v>
      </c>
      <c r="C15" s="27" t="s">
        <v>13</v>
      </c>
    </row>
    <row r="16" spans="1:3" x14ac:dyDescent="0.3">
      <c r="A16" s="76" t="s">
        <v>76</v>
      </c>
      <c r="B16" s="75">
        <v>4</v>
      </c>
      <c r="C16" s="27"/>
    </row>
    <row r="17" spans="1:7" x14ac:dyDescent="0.3">
      <c r="A17" s="76" t="s">
        <v>77</v>
      </c>
      <c r="B17" s="75" t="s">
        <v>226</v>
      </c>
      <c r="C17" s="27"/>
    </row>
    <row r="18" spans="1:7" x14ac:dyDescent="0.3">
      <c r="A18" s="76" t="s">
        <v>78</v>
      </c>
      <c r="B18" s="75" t="s">
        <v>227</v>
      </c>
      <c r="C18" s="27" t="s">
        <v>80</v>
      </c>
    </row>
    <row r="19" spans="1:7" ht="15" thickBot="1" x14ac:dyDescent="0.35">
      <c r="A19" s="77" t="s">
        <v>79</v>
      </c>
      <c r="B19" s="29" t="s">
        <v>228</v>
      </c>
      <c r="C19" s="30" t="s">
        <v>81</v>
      </c>
    </row>
    <row r="20" spans="1:7" ht="15.6" thickTop="1" thickBot="1" x14ac:dyDescent="0.35">
      <c r="A20" s="21"/>
      <c r="B20" s="21"/>
      <c r="C20" s="21"/>
      <c r="D20" s="21"/>
    </row>
    <row r="21" spans="1:7" ht="15.6" thickTop="1" thickBot="1" x14ac:dyDescent="0.35">
      <c r="A21" s="199" t="s">
        <v>64</v>
      </c>
      <c r="B21" s="201"/>
      <c r="C21" s="201"/>
      <c r="D21" s="200"/>
    </row>
    <row r="22" spans="1:7" ht="15.6" thickTop="1" thickBot="1" x14ac:dyDescent="0.35">
      <c r="A22" s="220" t="s">
        <v>73</v>
      </c>
      <c r="B22" s="221"/>
      <c r="C22" s="220" t="s">
        <v>74</v>
      </c>
      <c r="D22" s="221"/>
    </row>
    <row r="23" spans="1:7" ht="15" thickTop="1" x14ac:dyDescent="0.3">
      <c r="A23" s="24" t="s">
        <v>65</v>
      </c>
      <c r="B23" s="27"/>
      <c r="C23" s="24" t="s">
        <v>65</v>
      </c>
      <c r="D23" s="27"/>
    </row>
    <row r="24" spans="1:7" x14ac:dyDescent="0.3">
      <c r="A24" s="25" t="s">
        <v>66</v>
      </c>
      <c r="B24" s="27"/>
      <c r="C24" s="25" t="s">
        <v>66</v>
      </c>
      <c r="D24" s="27"/>
    </row>
    <row r="25" spans="1:7" x14ac:dyDescent="0.3">
      <c r="A25" s="25" t="s">
        <v>67</v>
      </c>
      <c r="B25" s="27"/>
      <c r="C25" s="25" t="s">
        <v>67</v>
      </c>
      <c r="D25" s="27"/>
    </row>
    <row r="26" spans="1:7" x14ac:dyDescent="0.3">
      <c r="A26" s="25" t="s">
        <v>68</v>
      </c>
      <c r="B26" s="27"/>
      <c r="C26" s="25" t="s">
        <v>68</v>
      </c>
      <c r="D26" s="27"/>
    </row>
    <row r="27" spans="1:7" x14ac:dyDescent="0.3">
      <c r="A27" s="25" t="s">
        <v>69</v>
      </c>
      <c r="B27" s="27"/>
      <c r="C27" s="25"/>
      <c r="D27" s="27"/>
    </row>
    <row r="28" spans="1:7" x14ac:dyDescent="0.3">
      <c r="A28" s="25" t="s">
        <v>70</v>
      </c>
      <c r="B28" s="27"/>
      <c r="C28" s="25" t="s">
        <v>70</v>
      </c>
      <c r="D28" s="27"/>
    </row>
    <row r="29" spans="1:7" ht="15" thickBot="1" x14ac:dyDescent="0.35">
      <c r="A29" s="26" t="s">
        <v>71</v>
      </c>
      <c r="B29" s="30"/>
      <c r="C29" s="26" t="s">
        <v>72</v>
      </c>
      <c r="D29" s="30"/>
    </row>
    <row r="30" spans="1:7" ht="15" thickTop="1" x14ac:dyDescent="0.3">
      <c r="A30" s="2"/>
      <c r="B30" s="2"/>
      <c r="C30" s="2"/>
      <c r="D30" s="2"/>
    </row>
    <row r="31" spans="1:7" ht="15" thickBot="1" x14ac:dyDescent="0.35"/>
    <row r="32" spans="1:7" ht="15.6" thickTop="1" thickBot="1" x14ac:dyDescent="0.35">
      <c r="A32" s="199" t="s">
        <v>162</v>
      </c>
      <c r="B32" s="201"/>
      <c r="C32" s="201"/>
      <c r="D32" s="201"/>
      <c r="E32" s="201"/>
      <c r="F32" s="201"/>
      <c r="G32" s="200"/>
    </row>
    <row r="33" spans="1:11" ht="15.6" thickTop="1" thickBot="1" x14ac:dyDescent="0.35">
      <c r="A33" s="117" t="s">
        <v>83</v>
      </c>
      <c r="B33" s="80" t="s">
        <v>84</v>
      </c>
      <c r="C33" s="80" t="s">
        <v>4</v>
      </c>
      <c r="D33" s="80" t="s">
        <v>5</v>
      </c>
      <c r="E33" s="80" t="s">
        <v>6</v>
      </c>
      <c r="F33" s="83" t="s">
        <v>7</v>
      </c>
      <c r="G33" s="84" t="s">
        <v>85</v>
      </c>
    </row>
    <row r="34" spans="1:11" ht="15" thickTop="1" x14ac:dyDescent="0.3">
      <c r="A34" s="118">
        <v>4.1666666666666664E-2</v>
      </c>
      <c r="B34" s="47">
        <v>100</v>
      </c>
      <c r="C34" s="47">
        <v>1225</v>
      </c>
      <c r="D34" s="47">
        <v>112</v>
      </c>
      <c r="E34" s="47">
        <v>0.8</v>
      </c>
      <c r="F34" s="81"/>
      <c r="G34" s="27">
        <v>487</v>
      </c>
    </row>
    <row r="35" spans="1:11" x14ac:dyDescent="0.3">
      <c r="A35" s="119">
        <v>8.3333333333333329E-2</v>
      </c>
      <c r="B35" s="4">
        <v>100</v>
      </c>
      <c r="C35" s="4">
        <v>1660</v>
      </c>
      <c r="D35" s="4">
        <v>113</v>
      </c>
      <c r="E35" s="4">
        <v>0.9</v>
      </c>
      <c r="F35" s="4">
        <v>2</v>
      </c>
      <c r="G35" s="79">
        <v>481</v>
      </c>
    </row>
    <row r="36" spans="1:11" x14ac:dyDescent="0.3">
      <c r="A36" s="119">
        <v>0.125</v>
      </c>
      <c r="B36" s="4">
        <v>100</v>
      </c>
      <c r="C36" s="4">
        <v>1579</v>
      </c>
      <c r="D36" s="4">
        <v>113</v>
      </c>
      <c r="E36" s="4">
        <v>0.91</v>
      </c>
      <c r="F36" s="4"/>
      <c r="G36" s="79">
        <v>487</v>
      </c>
    </row>
    <row r="37" spans="1:11" x14ac:dyDescent="0.3">
      <c r="A37" s="119">
        <v>0.16666666666666666</v>
      </c>
      <c r="B37" s="4">
        <f>B36+25</f>
        <v>125</v>
      </c>
      <c r="C37" s="4">
        <v>1893</v>
      </c>
      <c r="D37" s="4">
        <v>118</v>
      </c>
      <c r="E37" s="4">
        <v>0.87</v>
      </c>
      <c r="F37" s="4">
        <v>3</v>
      </c>
      <c r="G37" s="27">
        <v>492</v>
      </c>
    </row>
    <row r="38" spans="1:11" x14ac:dyDescent="0.3">
      <c r="A38" s="119">
        <v>0.20833333333333334</v>
      </c>
      <c r="B38" s="4">
        <f t="shared" ref="B38:B48" si="0">B37+25</f>
        <v>150</v>
      </c>
      <c r="C38" s="4">
        <v>2182</v>
      </c>
      <c r="D38" s="4">
        <v>126</v>
      </c>
      <c r="E38" s="4">
        <v>0.9</v>
      </c>
      <c r="F38" s="4">
        <v>3</v>
      </c>
      <c r="G38" s="82">
        <v>496</v>
      </c>
    </row>
    <row r="39" spans="1:11" x14ac:dyDescent="0.3">
      <c r="A39" s="119">
        <v>0.25</v>
      </c>
      <c r="B39" s="4">
        <f t="shared" si="0"/>
        <v>175</v>
      </c>
      <c r="C39" s="4">
        <v>2202</v>
      </c>
      <c r="D39" s="4">
        <v>135</v>
      </c>
      <c r="E39" s="4">
        <v>0.91</v>
      </c>
      <c r="F39" s="4">
        <v>3</v>
      </c>
      <c r="G39" s="79">
        <v>496</v>
      </c>
    </row>
    <row r="40" spans="1:11" x14ac:dyDescent="0.3">
      <c r="A40" s="119">
        <v>0.29166666666666669</v>
      </c>
      <c r="B40" s="4">
        <f t="shared" si="0"/>
        <v>200</v>
      </c>
      <c r="C40" s="4">
        <v>2960</v>
      </c>
      <c r="D40" s="4">
        <v>140</v>
      </c>
      <c r="E40" s="4">
        <v>0.92</v>
      </c>
      <c r="F40" s="4">
        <v>5</v>
      </c>
      <c r="G40" s="27">
        <v>507</v>
      </c>
    </row>
    <row r="41" spans="1:11" x14ac:dyDescent="0.3">
      <c r="A41" s="119">
        <v>0.33333333333333331</v>
      </c>
      <c r="B41" s="4">
        <f t="shared" si="0"/>
        <v>225</v>
      </c>
      <c r="C41" s="4">
        <v>3116</v>
      </c>
      <c r="D41" s="4">
        <v>146</v>
      </c>
      <c r="E41" s="4">
        <v>0.92</v>
      </c>
      <c r="F41" s="4">
        <v>5</v>
      </c>
      <c r="G41" s="82">
        <v>509</v>
      </c>
    </row>
    <row r="42" spans="1:11" x14ac:dyDescent="0.3">
      <c r="A42" s="119">
        <v>0.375</v>
      </c>
      <c r="B42" s="4">
        <f t="shared" si="0"/>
        <v>250</v>
      </c>
      <c r="C42" s="4">
        <v>3051</v>
      </c>
      <c r="D42" s="4">
        <v>153</v>
      </c>
      <c r="E42" s="4">
        <v>1.01</v>
      </c>
      <c r="F42" s="4">
        <v>5</v>
      </c>
      <c r="G42" s="79">
        <v>522</v>
      </c>
    </row>
    <row r="43" spans="1:11" x14ac:dyDescent="0.3">
      <c r="A43" s="119">
        <v>0.41666666666666669</v>
      </c>
      <c r="B43" s="4">
        <f t="shared" si="0"/>
        <v>275</v>
      </c>
      <c r="C43" s="4">
        <v>3349</v>
      </c>
      <c r="D43" s="4">
        <v>158</v>
      </c>
      <c r="E43" s="4">
        <v>1</v>
      </c>
      <c r="F43" s="4">
        <v>6</v>
      </c>
      <c r="G43" s="27">
        <v>526</v>
      </c>
      <c r="K43" s="11"/>
    </row>
    <row r="44" spans="1:11" x14ac:dyDescent="0.3">
      <c r="A44" s="119">
        <v>0.45833333333333331</v>
      </c>
      <c r="B44" s="4">
        <f t="shared" si="0"/>
        <v>300</v>
      </c>
      <c r="C44" s="4">
        <v>3242</v>
      </c>
      <c r="D44" s="4">
        <v>163</v>
      </c>
      <c r="E44" s="4">
        <v>1.06</v>
      </c>
      <c r="F44" s="4">
        <v>7</v>
      </c>
      <c r="G44" s="82">
        <v>534</v>
      </c>
    </row>
    <row r="45" spans="1:11" x14ac:dyDescent="0.3">
      <c r="A45" s="119">
        <v>0.5</v>
      </c>
      <c r="B45" s="4">
        <f t="shared" si="0"/>
        <v>325</v>
      </c>
      <c r="C45" s="4">
        <v>3451</v>
      </c>
      <c r="D45" s="4">
        <v>168</v>
      </c>
      <c r="E45" s="4">
        <v>1.1399999999999999</v>
      </c>
      <c r="F45" s="4">
        <v>7</v>
      </c>
      <c r="G45" s="82">
        <v>555</v>
      </c>
    </row>
    <row r="46" spans="1:11" x14ac:dyDescent="0.3">
      <c r="A46" s="119">
        <v>0.54166666666666663</v>
      </c>
      <c r="B46" s="4">
        <f t="shared" si="0"/>
        <v>350</v>
      </c>
      <c r="C46" s="4">
        <v>3266</v>
      </c>
      <c r="D46" s="4">
        <v>169</v>
      </c>
      <c r="E46" s="4">
        <v>1.26</v>
      </c>
      <c r="F46" s="4">
        <v>9</v>
      </c>
      <c r="G46" s="79">
        <v>578</v>
      </c>
    </row>
    <row r="47" spans="1:11" x14ac:dyDescent="0.3">
      <c r="A47" s="119">
        <v>0.58333333333333337</v>
      </c>
      <c r="B47" s="4">
        <f t="shared" si="0"/>
        <v>375</v>
      </c>
      <c r="C47" s="4"/>
      <c r="D47" s="4">
        <v>172</v>
      </c>
      <c r="E47" s="4"/>
      <c r="F47" s="4">
        <v>10</v>
      </c>
      <c r="G47" s="79"/>
    </row>
    <row r="48" spans="1:11" x14ac:dyDescent="0.3">
      <c r="A48" s="118">
        <v>0.625</v>
      </c>
      <c r="B48" s="4">
        <f t="shared" si="0"/>
        <v>400</v>
      </c>
      <c r="C48" s="47"/>
      <c r="D48" s="47"/>
      <c r="E48" s="47"/>
      <c r="F48" s="47"/>
      <c r="G48" s="79"/>
    </row>
    <row r="49" spans="1:8" x14ac:dyDescent="0.3">
      <c r="A49" s="119">
        <v>0.66666666666666663</v>
      </c>
      <c r="B49" s="4">
        <f>B48+25</f>
        <v>425</v>
      </c>
      <c r="C49" s="4"/>
      <c r="D49" s="4"/>
      <c r="E49" s="4"/>
      <c r="F49" s="4"/>
      <c r="G49" s="79"/>
    </row>
    <row r="50" spans="1:8" x14ac:dyDescent="0.3">
      <c r="A50" s="119">
        <v>0.70833333333333337</v>
      </c>
      <c r="B50" s="4">
        <f t="shared" ref="B50:B53" si="1">B49+25</f>
        <v>450</v>
      </c>
      <c r="C50" s="153"/>
      <c r="D50" s="4"/>
      <c r="E50" s="4"/>
      <c r="F50" s="4"/>
      <c r="G50" s="122"/>
      <c r="H50" s="98"/>
    </row>
    <row r="51" spans="1:8" x14ac:dyDescent="0.3">
      <c r="A51" s="118">
        <v>0.75</v>
      </c>
      <c r="B51" s="4">
        <f t="shared" si="1"/>
        <v>475</v>
      </c>
      <c r="C51" s="154"/>
      <c r="D51" s="47"/>
      <c r="E51" s="47"/>
      <c r="F51" s="47"/>
      <c r="G51" s="122"/>
    </row>
    <row r="52" spans="1:8" x14ac:dyDescent="0.3">
      <c r="A52" s="118">
        <v>0.79166666666666663</v>
      </c>
      <c r="B52" s="4">
        <f t="shared" si="1"/>
        <v>500</v>
      </c>
      <c r="C52" s="154"/>
      <c r="D52" s="47"/>
      <c r="E52" s="47"/>
      <c r="F52" s="47"/>
      <c r="G52" s="122"/>
      <c r="H52" s="98"/>
    </row>
    <row r="53" spans="1:8" ht="15" thickBot="1" x14ac:dyDescent="0.35">
      <c r="A53" s="156">
        <v>0.83333333333333337</v>
      </c>
      <c r="B53" s="33">
        <f t="shared" si="1"/>
        <v>525</v>
      </c>
      <c r="C53" s="155"/>
      <c r="D53" s="78"/>
      <c r="E53" s="78"/>
      <c r="F53" s="78"/>
      <c r="G53" s="21"/>
      <c r="H53" s="98"/>
    </row>
    <row r="54" spans="1:8" ht="15.6" thickTop="1" thickBot="1" x14ac:dyDescent="0.35">
      <c r="A54" s="150"/>
      <c r="B54" s="2"/>
      <c r="C54" s="2"/>
      <c r="D54" s="63"/>
      <c r="E54" s="2"/>
      <c r="F54" s="63"/>
      <c r="G54" s="2"/>
    </row>
    <row r="55" spans="1:8" ht="15.6" thickTop="1" thickBot="1" x14ac:dyDescent="0.35">
      <c r="A55" s="199" t="s">
        <v>190</v>
      </c>
      <c r="B55" s="201"/>
      <c r="C55" s="200"/>
      <c r="D55" s="2"/>
      <c r="E55" s="2"/>
      <c r="F55" s="2"/>
      <c r="G55" s="2"/>
    </row>
    <row r="56" spans="1:8" ht="15.6" thickTop="1" thickBot="1" x14ac:dyDescent="0.35">
      <c r="A56" t="s">
        <v>212</v>
      </c>
      <c r="B56" s="189">
        <v>3402</v>
      </c>
      <c r="C56" t="s">
        <v>213</v>
      </c>
      <c r="D56" s="2"/>
      <c r="E56" s="2"/>
      <c r="F56" s="2"/>
      <c r="G56" s="2"/>
    </row>
    <row r="57" spans="1:8" ht="15.6" thickTop="1" thickBot="1" x14ac:dyDescent="0.35">
      <c r="A57" s="149" t="s">
        <v>191</v>
      </c>
      <c r="B57" s="181">
        <f>B56/B8</f>
        <v>46.141639370943786</v>
      </c>
      <c r="C57" s="151" t="s">
        <v>184</v>
      </c>
      <c r="D57" s="2"/>
      <c r="E57" s="2"/>
      <c r="F57" s="2"/>
      <c r="G57" s="2"/>
    </row>
    <row r="58" spans="1:8" ht="15.6" thickTop="1" thickBot="1" x14ac:dyDescent="0.35">
      <c r="A58" s="86"/>
      <c r="B58" s="21"/>
      <c r="C58" s="68"/>
      <c r="D58" s="2"/>
      <c r="E58" s="2"/>
      <c r="F58" s="2"/>
    </row>
    <row r="59" spans="1:8" ht="15.6" thickTop="1" thickBot="1" x14ac:dyDescent="0.35">
      <c r="A59" s="199" t="s">
        <v>86</v>
      </c>
      <c r="B59" s="201"/>
      <c r="C59" s="200"/>
      <c r="D59" s="2"/>
      <c r="E59" s="2"/>
      <c r="F59" s="2"/>
    </row>
    <row r="60" spans="1:8" ht="15" thickTop="1" x14ac:dyDescent="0.3">
      <c r="A60" s="25" t="s">
        <v>10</v>
      </c>
      <c r="B60" s="85" t="str">
        <f>B4&amp;"_VO2max_PRE_STEP"</f>
        <v>T2A_64_VO2max_PRE_STEP</v>
      </c>
      <c r="C60" s="27" t="s">
        <v>11</v>
      </c>
      <c r="D60" s="2"/>
      <c r="E60" s="2"/>
      <c r="F60" s="2"/>
    </row>
    <row r="61" spans="1:8" ht="15" thickBot="1" x14ac:dyDescent="0.35">
      <c r="A61" s="26" t="s">
        <v>10</v>
      </c>
      <c r="B61" s="73" t="str">
        <f>B60&amp;"10sec"</f>
        <v>T2A_64_VO2max_PRE_STEP10sec</v>
      </c>
      <c r="C61" s="30" t="s">
        <v>163</v>
      </c>
      <c r="D61" s="2"/>
      <c r="E61" s="2"/>
      <c r="F61" s="2"/>
    </row>
    <row r="62" spans="1:8" ht="15.6" thickTop="1" thickBot="1" x14ac:dyDescent="0.35"/>
    <row r="63" spans="1:8" ht="15.6" thickTop="1" thickBot="1" x14ac:dyDescent="0.35">
      <c r="A63" s="199" t="s">
        <v>109</v>
      </c>
      <c r="B63" s="201"/>
      <c r="C63" s="200"/>
    </row>
    <row r="64" spans="1:8" ht="15" thickTop="1" x14ac:dyDescent="0.3">
      <c r="A64" s="190"/>
      <c r="B64" s="202"/>
      <c r="C64" s="191"/>
      <c r="D64" s="2"/>
    </row>
    <row r="65" spans="1:4" x14ac:dyDescent="0.3">
      <c r="A65" s="192"/>
      <c r="B65" s="203"/>
      <c r="C65" s="193"/>
      <c r="D65" s="2"/>
    </row>
    <row r="66" spans="1:4" x14ac:dyDescent="0.3">
      <c r="A66" s="192"/>
      <c r="B66" s="203"/>
      <c r="C66" s="193"/>
    </row>
    <row r="67" spans="1:4" x14ac:dyDescent="0.3">
      <c r="A67" s="192"/>
      <c r="B67" s="203"/>
      <c r="C67" s="193"/>
    </row>
    <row r="68" spans="1:4" ht="15" thickBot="1" x14ac:dyDescent="0.35">
      <c r="A68" s="194"/>
      <c r="B68" s="204"/>
      <c r="C68" s="195"/>
    </row>
    <row r="69" spans="1:4" ht="15" thickTop="1" x14ac:dyDescent="0.3"/>
  </sheetData>
  <mergeCells count="10">
    <mergeCell ref="A63:C63"/>
    <mergeCell ref="A64:C68"/>
    <mergeCell ref="A32:G32"/>
    <mergeCell ref="A59:C59"/>
    <mergeCell ref="A3:C3"/>
    <mergeCell ref="A10:C10"/>
    <mergeCell ref="A22:B22"/>
    <mergeCell ref="C22:D22"/>
    <mergeCell ref="A21:D21"/>
    <mergeCell ref="A55:C55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ADCAD-8CB9-4E9C-BF8A-DEFC09A8635B}">
  <dimension ref="A1:G26"/>
  <sheetViews>
    <sheetView zoomScaleNormal="100" workbookViewId="0">
      <selection activeCell="B12" sqref="B12"/>
    </sheetView>
  </sheetViews>
  <sheetFormatPr defaultRowHeight="14.4" x14ac:dyDescent="0.3"/>
  <cols>
    <col min="1" max="1" width="26" bestFit="1" customWidth="1"/>
    <col min="2" max="2" width="29.109375" customWidth="1"/>
  </cols>
  <sheetData>
    <row r="1" spans="1:3" ht="20.399999999999999" thickBot="1" x14ac:dyDescent="0.45">
      <c r="A1" s="15" t="s">
        <v>87</v>
      </c>
    </row>
    <row r="2" spans="1:3" ht="15.6" thickTop="1" thickBot="1" x14ac:dyDescent="0.35"/>
    <row r="3" spans="1:3" ht="15.6" thickTop="1" thickBot="1" x14ac:dyDescent="0.35">
      <c r="A3" s="199" t="s">
        <v>32</v>
      </c>
      <c r="B3" s="200"/>
    </row>
    <row r="4" spans="1:3" ht="15" thickTop="1" x14ac:dyDescent="0.3">
      <c r="A4" s="24" t="s">
        <v>17</v>
      </c>
      <c r="B4" s="18" t="str">
        <f>'Algemene informatie'!B4</f>
        <v>T2A_64</v>
      </c>
    </row>
    <row r="5" spans="1:3" x14ac:dyDescent="0.3">
      <c r="A5" s="25" t="s">
        <v>35</v>
      </c>
      <c r="B5" s="19">
        <f>'Algemene informatie'!B5</f>
        <v>1</v>
      </c>
    </row>
    <row r="6" spans="1:3" ht="15" thickBot="1" x14ac:dyDescent="0.35">
      <c r="A6" s="26" t="s">
        <v>18</v>
      </c>
      <c r="B6" s="22">
        <f>'Algemene informatie'!B6</f>
        <v>24853</v>
      </c>
    </row>
    <row r="7" spans="1:3" ht="15.6" thickTop="1" thickBot="1" x14ac:dyDescent="0.35"/>
    <row r="8" spans="1:3" ht="15.6" thickTop="1" thickBot="1" x14ac:dyDescent="0.35">
      <c r="A8" s="199" t="s">
        <v>58</v>
      </c>
      <c r="B8" s="200"/>
    </row>
    <row r="9" spans="1:3" ht="15" thickTop="1" x14ac:dyDescent="0.3">
      <c r="A9" s="25" t="s">
        <v>59</v>
      </c>
      <c r="B9" s="20">
        <v>44818</v>
      </c>
    </row>
    <row r="10" spans="1:3" x14ac:dyDescent="0.3">
      <c r="A10" s="25" t="s">
        <v>205</v>
      </c>
      <c r="B10" s="20" t="s">
        <v>224</v>
      </c>
    </row>
    <row r="11" spans="1:3" x14ac:dyDescent="0.3">
      <c r="A11" s="25" t="s">
        <v>60</v>
      </c>
      <c r="B11" s="128">
        <v>0.75</v>
      </c>
    </row>
    <row r="12" spans="1:3" x14ac:dyDescent="0.3">
      <c r="A12" s="25" t="s">
        <v>149</v>
      </c>
      <c r="B12" s="182"/>
      <c r="C12" t="s">
        <v>2</v>
      </c>
    </row>
    <row r="13" spans="1:3" ht="15" thickBot="1" x14ac:dyDescent="0.35">
      <c r="A13" s="69" t="s">
        <v>165</v>
      </c>
      <c r="B13" s="129"/>
      <c r="C13" s="98" t="s">
        <v>2</v>
      </c>
    </row>
    <row r="14" spans="1:3" ht="15.6" thickTop="1" thickBot="1" x14ac:dyDescent="0.35">
      <c r="A14" s="68"/>
      <c r="B14" s="68"/>
    </row>
    <row r="15" spans="1:3" ht="15.6" thickTop="1" thickBot="1" x14ac:dyDescent="0.35">
      <c r="A15" s="199" t="s">
        <v>86</v>
      </c>
      <c r="B15" s="200"/>
    </row>
    <row r="16" spans="1:3" ht="15" thickTop="1" x14ac:dyDescent="0.3">
      <c r="A16" s="25" t="s">
        <v>88</v>
      </c>
      <c r="B16" s="18" t="str">
        <f>B4&amp;"_PRE_3D_scan1.mhd"</f>
        <v>T2A_64_PRE_3D_scan1.mhd</v>
      </c>
    </row>
    <row r="17" spans="1:7" x14ac:dyDescent="0.3">
      <c r="A17" s="25" t="s">
        <v>89</v>
      </c>
      <c r="B17" s="18" t="str">
        <f>B4&amp;"_PRE_3D_scan2.mhd"</f>
        <v>T2A_64_PRE_3D_scan2.mhd</v>
      </c>
    </row>
    <row r="18" spans="1:7" ht="15" thickBot="1" x14ac:dyDescent="0.35">
      <c r="A18" s="69" t="s">
        <v>164</v>
      </c>
      <c r="B18" s="89" t="str">
        <f>B4&amp;"_PRE_3D_botpunten.mhd"</f>
        <v>T2A_64_PRE_3D_botpunten.mhd</v>
      </c>
      <c r="C18" s="2"/>
    </row>
    <row r="19" spans="1:7" ht="15.6" thickTop="1" thickBot="1" x14ac:dyDescent="0.35">
      <c r="A19" s="63"/>
      <c r="B19" s="88"/>
      <c r="C19" s="87"/>
      <c r="D19" s="87"/>
      <c r="E19" s="87"/>
      <c r="F19" s="87"/>
      <c r="G19" s="87"/>
    </row>
    <row r="20" spans="1:7" ht="15.6" thickTop="1" thickBot="1" x14ac:dyDescent="0.35">
      <c r="A20" s="199" t="s">
        <v>109</v>
      </c>
      <c r="B20" s="201"/>
      <c r="C20" s="200"/>
    </row>
    <row r="21" spans="1:7" ht="15" thickTop="1" x14ac:dyDescent="0.3">
      <c r="A21" s="190"/>
      <c r="B21" s="202"/>
      <c r="C21" s="191"/>
    </row>
    <row r="22" spans="1:7" x14ac:dyDescent="0.3">
      <c r="A22" s="192"/>
      <c r="B22" s="203"/>
      <c r="C22" s="193"/>
    </row>
    <row r="23" spans="1:7" x14ac:dyDescent="0.3">
      <c r="A23" s="192"/>
      <c r="B23" s="203"/>
      <c r="C23" s="193"/>
    </row>
    <row r="24" spans="1:7" x14ac:dyDescent="0.3">
      <c r="A24" s="192"/>
      <c r="B24" s="203"/>
      <c r="C24" s="193"/>
    </row>
    <row r="25" spans="1:7" ht="15" thickBot="1" x14ac:dyDescent="0.35">
      <c r="A25" s="194"/>
      <c r="B25" s="204"/>
      <c r="C25" s="195"/>
    </row>
    <row r="26" spans="1:7" ht="15" thickTop="1" x14ac:dyDescent="0.3"/>
  </sheetData>
  <mergeCells count="5">
    <mergeCell ref="A3:B3"/>
    <mergeCell ref="A8:B8"/>
    <mergeCell ref="A15:B15"/>
    <mergeCell ref="A20:C20"/>
    <mergeCell ref="A21:C2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AA496-F78F-4354-BBF2-D5594F0C8E36}">
  <dimension ref="A1:L47"/>
  <sheetViews>
    <sheetView topLeftCell="A18" workbookViewId="0">
      <selection activeCell="G36" sqref="G36"/>
    </sheetView>
  </sheetViews>
  <sheetFormatPr defaultRowHeight="14.4" x14ac:dyDescent="0.3"/>
  <cols>
    <col min="1" max="1" width="26" bestFit="1" customWidth="1"/>
    <col min="2" max="2" width="16.109375" bestFit="1" customWidth="1"/>
    <col min="3" max="3" width="11" bestFit="1" customWidth="1"/>
    <col min="4" max="4" width="10.5546875" bestFit="1" customWidth="1"/>
  </cols>
  <sheetData>
    <row r="1" spans="1:12" ht="20.399999999999999" thickBot="1" x14ac:dyDescent="0.45">
      <c r="A1" s="15" t="s">
        <v>90</v>
      </c>
    </row>
    <row r="2" spans="1:12" ht="15.6" thickTop="1" thickBot="1" x14ac:dyDescent="0.35">
      <c r="C2" s="21"/>
    </row>
    <row r="3" spans="1:12" ht="15.6" thickTop="1" thickBot="1" x14ac:dyDescent="0.35">
      <c r="A3" s="199" t="s">
        <v>32</v>
      </c>
      <c r="B3" s="201"/>
      <c r="C3" s="200"/>
    </row>
    <row r="4" spans="1:12" ht="15" thickTop="1" x14ac:dyDescent="0.3">
      <c r="A4" s="24" t="s">
        <v>17</v>
      </c>
      <c r="B4" s="85" t="str">
        <f>'Algemene informatie'!B4</f>
        <v>T2A_64</v>
      </c>
      <c r="C4" s="64"/>
    </row>
    <row r="5" spans="1:12" x14ac:dyDescent="0.3">
      <c r="A5" s="25" t="s">
        <v>35</v>
      </c>
      <c r="B5" s="94">
        <f>'Algemene informatie'!B5</f>
        <v>1</v>
      </c>
      <c r="C5" s="27"/>
    </row>
    <row r="6" spans="1:12" x14ac:dyDescent="0.3">
      <c r="A6" s="25" t="s">
        <v>18</v>
      </c>
      <c r="B6" s="67">
        <f>'Algemene informatie'!B6</f>
        <v>24853</v>
      </c>
      <c r="C6" s="27"/>
    </row>
    <row r="7" spans="1:12" x14ac:dyDescent="0.3">
      <c r="A7" s="70" t="s">
        <v>61</v>
      </c>
      <c r="B7" s="91">
        <f>'1A. Antropometrie'!H15</f>
        <v>73.729500000000002</v>
      </c>
      <c r="C7" s="27" t="s">
        <v>1</v>
      </c>
    </row>
    <row r="8" spans="1:12" ht="15" thickBot="1" x14ac:dyDescent="0.35">
      <c r="A8" s="69" t="s">
        <v>62</v>
      </c>
      <c r="B8" s="92">
        <f>'1A. Antropometrie'!H16</f>
        <v>183.95</v>
      </c>
      <c r="C8" s="30" t="s">
        <v>2</v>
      </c>
    </row>
    <row r="9" spans="1:12" ht="15.6" thickTop="1" thickBot="1" x14ac:dyDescent="0.35">
      <c r="C9" s="21"/>
      <c r="L9" s="3"/>
    </row>
    <row r="10" spans="1:12" ht="15.6" thickTop="1" thickBot="1" x14ac:dyDescent="0.35">
      <c r="A10" s="199" t="s">
        <v>58</v>
      </c>
      <c r="B10" s="201"/>
      <c r="C10" s="200"/>
    </row>
    <row r="11" spans="1:12" ht="15" thickTop="1" x14ac:dyDescent="0.3">
      <c r="A11" s="25" t="s">
        <v>59</v>
      </c>
      <c r="B11" s="72">
        <f>'2A. 3D US'!B9</f>
        <v>44818</v>
      </c>
      <c r="C11" s="27"/>
    </row>
    <row r="12" spans="1:12" x14ac:dyDescent="0.3">
      <c r="A12" s="25" t="s">
        <v>205</v>
      </c>
      <c r="B12" s="67" t="s">
        <v>225</v>
      </c>
      <c r="C12" s="27"/>
    </row>
    <row r="13" spans="1:12" x14ac:dyDescent="0.3">
      <c r="A13" s="25" t="s">
        <v>60</v>
      </c>
      <c r="B13" s="71">
        <v>0.77083333333333337</v>
      </c>
      <c r="C13" s="27"/>
    </row>
    <row r="14" spans="1:12" x14ac:dyDescent="0.3">
      <c r="A14" s="25" t="s">
        <v>63</v>
      </c>
      <c r="B14" s="91">
        <v>18.7</v>
      </c>
      <c r="C14" s="27" t="s">
        <v>12</v>
      </c>
    </row>
    <row r="15" spans="1:12" x14ac:dyDescent="0.3">
      <c r="A15" s="25" t="s">
        <v>75</v>
      </c>
      <c r="B15" s="91">
        <v>60</v>
      </c>
      <c r="C15" s="27" t="s">
        <v>13</v>
      </c>
    </row>
    <row r="16" spans="1:12" x14ac:dyDescent="0.3">
      <c r="A16" s="70" t="s">
        <v>77</v>
      </c>
      <c r="B16" s="130" t="str">
        <f>'1B. VO2max'!B17</f>
        <v>SPD</v>
      </c>
      <c r="C16" s="27"/>
    </row>
    <row r="17" spans="1:7" x14ac:dyDescent="0.3">
      <c r="A17" s="70" t="s">
        <v>91</v>
      </c>
      <c r="B17" s="130">
        <v>9</v>
      </c>
      <c r="C17" s="27"/>
    </row>
    <row r="18" spans="1:7" x14ac:dyDescent="0.3">
      <c r="A18" s="70" t="s">
        <v>92</v>
      </c>
      <c r="B18" s="130" t="s">
        <v>229</v>
      </c>
      <c r="C18" s="27"/>
    </row>
    <row r="19" spans="1:7" x14ac:dyDescent="0.3">
      <c r="A19" s="70" t="s">
        <v>93</v>
      </c>
      <c r="B19" s="130" t="s">
        <v>230</v>
      </c>
      <c r="C19" s="27"/>
    </row>
    <row r="20" spans="1:7" ht="15" thickBot="1" x14ac:dyDescent="0.35">
      <c r="A20" s="69" t="s">
        <v>94</v>
      </c>
      <c r="B20" s="93">
        <f>0.075*B7</f>
        <v>5.5297124999999996</v>
      </c>
      <c r="C20" s="30" t="s">
        <v>1</v>
      </c>
      <c r="D20" s="222" t="s">
        <v>103</v>
      </c>
      <c r="E20" s="223"/>
      <c r="F20" s="223"/>
      <c r="G20" s="223"/>
    </row>
    <row r="21" spans="1:7" ht="15.6" thickTop="1" thickBot="1" x14ac:dyDescent="0.35">
      <c r="A21" s="68"/>
      <c r="B21" s="68"/>
      <c r="C21" s="68"/>
    </row>
    <row r="22" spans="1:7" ht="15.6" thickTop="1" thickBot="1" x14ac:dyDescent="0.35">
      <c r="A22" s="199" t="s">
        <v>82</v>
      </c>
      <c r="B22" s="201"/>
      <c r="C22" s="200"/>
      <c r="D22" s="99"/>
      <c r="E22" s="87"/>
      <c r="F22" s="87"/>
    </row>
    <row r="23" spans="1:7" ht="15.6" thickTop="1" thickBot="1" x14ac:dyDescent="0.35">
      <c r="A23" s="109" t="s">
        <v>95</v>
      </c>
      <c r="B23" s="110" t="s">
        <v>166</v>
      </c>
      <c r="C23" s="110" t="s">
        <v>98</v>
      </c>
      <c r="D23" s="98"/>
    </row>
    <row r="24" spans="1:7" ht="15" thickTop="1" x14ac:dyDescent="0.3">
      <c r="A24" s="106" t="s">
        <v>9</v>
      </c>
      <c r="B24" s="108" t="s">
        <v>150</v>
      </c>
      <c r="C24" s="107" t="s">
        <v>96</v>
      </c>
    </row>
    <row r="25" spans="1:7" x14ac:dyDescent="0.3">
      <c r="A25" s="101" t="s">
        <v>105</v>
      </c>
      <c r="B25" s="96"/>
      <c r="C25" s="104" t="s">
        <v>99</v>
      </c>
    </row>
    <row r="26" spans="1:7" x14ac:dyDescent="0.3">
      <c r="A26" s="101" t="s">
        <v>106</v>
      </c>
      <c r="B26" s="96"/>
      <c r="C26" s="104" t="s">
        <v>100</v>
      </c>
    </row>
    <row r="27" spans="1:7" x14ac:dyDescent="0.3">
      <c r="A27" s="101" t="s">
        <v>107</v>
      </c>
      <c r="B27" s="96"/>
      <c r="C27" s="104" t="s">
        <v>101</v>
      </c>
    </row>
    <row r="28" spans="1:7" x14ac:dyDescent="0.3">
      <c r="A28" s="100" t="s">
        <v>8</v>
      </c>
      <c r="B28" s="97"/>
      <c r="C28" s="104" t="s">
        <v>102</v>
      </c>
    </row>
    <row r="29" spans="1:7" x14ac:dyDescent="0.3">
      <c r="A29" s="100" t="s">
        <v>15</v>
      </c>
      <c r="B29" s="12">
        <v>7.4999999999999997E-2</v>
      </c>
      <c r="C29" s="104" t="s">
        <v>14</v>
      </c>
    </row>
    <row r="30" spans="1:7" ht="15" thickBot="1" x14ac:dyDescent="0.35">
      <c r="A30" s="102" t="s">
        <v>16</v>
      </c>
      <c r="B30" s="103" t="s">
        <v>150</v>
      </c>
      <c r="C30" s="105" t="s">
        <v>97</v>
      </c>
    </row>
    <row r="31" spans="1:7" ht="15.6" thickTop="1" thickBot="1" x14ac:dyDescent="0.35">
      <c r="A31" s="13"/>
      <c r="B31" s="148"/>
      <c r="C31" s="2"/>
    </row>
    <row r="32" spans="1:7" ht="15.6" thickTop="1" thickBot="1" x14ac:dyDescent="0.35">
      <c r="A32" s="199" t="s">
        <v>190</v>
      </c>
      <c r="B32" s="201"/>
      <c r="C32" s="200"/>
    </row>
    <row r="33" spans="1:4" ht="15.6" thickTop="1" thickBot="1" x14ac:dyDescent="0.35">
      <c r="A33" s="149" t="s">
        <v>211</v>
      </c>
      <c r="B33" s="181">
        <v>1005.61</v>
      </c>
      <c r="C33" s="151" t="s">
        <v>185</v>
      </c>
      <c r="D33" s="98"/>
    </row>
    <row r="34" spans="1:4" ht="15.6" thickTop="1" thickBot="1" x14ac:dyDescent="0.35">
      <c r="A34" s="180" t="s">
        <v>210</v>
      </c>
      <c r="B34" s="181">
        <f>B33/B7</f>
        <v>13.639181060498172</v>
      </c>
      <c r="C34" s="13" t="s">
        <v>185</v>
      </c>
      <c r="D34" s="98"/>
    </row>
    <row r="35" spans="1:4" ht="15.6" thickTop="1" thickBot="1" x14ac:dyDescent="0.35">
      <c r="A35" s="68"/>
      <c r="B35" s="68"/>
      <c r="C35" s="68"/>
    </row>
    <row r="36" spans="1:4" ht="15.6" thickTop="1" thickBot="1" x14ac:dyDescent="0.35">
      <c r="A36" s="199" t="s">
        <v>86</v>
      </c>
      <c r="B36" s="201"/>
      <c r="C36" s="200"/>
    </row>
    <row r="37" spans="1:4" ht="15.6" thickTop="1" thickBot="1" x14ac:dyDescent="0.35">
      <c r="A37" s="26" t="s">
        <v>104</v>
      </c>
      <c r="B37" s="224" t="str">
        <f>B4&amp;"_PRE_Wingate"</f>
        <v>T2A_64_PRE_Wingate</v>
      </c>
      <c r="C37" s="225"/>
      <c r="D37" s="98"/>
    </row>
    <row r="38" spans="1:4" ht="15" thickBot="1" x14ac:dyDescent="0.35">
      <c r="C38" s="2"/>
    </row>
    <row r="39" spans="1:4" ht="15.6" thickTop="1" thickBot="1" x14ac:dyDescent="0.35">
      <c r="A39" s="199" t="s">
        <v>109</v>
      </c>
      <c r="B39" s="201"/>
      <c r="C39" s="200"/>
    </row>
    <row r="40" spans="1:4" ht="15" thickTop="1" x14ac:dyDescent="0.3">
      <c r="A40" s="190"/>
      <c r="B40" s="202"/>
      <c r="C40" s="191"/>
    </row>
    <row r="41" spans="1:4" x14ac:dyDescent="0.3">
      <c r="A41" s="192"/>
      <c r="B41" s="203"/>
      <c r="C41" s="193"/>
    </row>
    <row r="42" spans="1:4" x14ac:dyDescent="0.3">
      <c r="A42" s="192"/>
      <c r="B42" s="203"/>
      <c r="C42" s="193"/>
    </row>
    <row r="43" spans="1:4" x14ac:dyDescent="0.3">
      <c r="A43" s="192"/>
      <c r="B43" s="203"/>
      <c r="C43" s="193"/>
    </row>
    <row r="44" spans="1:4" ht="15" thickBot="1" x14ac:dyDescent="0.35">
      <c r="A44" s="194"/>
      <c r="B44" s="204"/>
      <c r="C44" s="195"/>
    </row>
    <row r="45" spans="1:4" ht="15" thickTop="1" x14ac:dyDescent="0.3"/>
    <row r="47" spans="1:4" x14ac:dyDescent="0.3">
      <c r="A47" s="13"/>
    </row>
  </sheetData>
  <mergeCells count="9">
    <mergeCell ref="A40:C44"/>
    <mergeCell ref="A3:C3"/>
    <mergeCell ref="A10:C10"/>
    <mergeCell ref="A22:C22"/>
    <mergeCell ref="D20:G20"/>
    <mergeCell ref="B37:C37"/>
    <mergeCell ref="A36:C36"/>
    <mergeCell ref="A39:C39"/>
    <mergeCell ref="A32:C3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AAFAB-5390-4337-B9D1-616911C07D25}">
  <dimension ref="A1:L37"/>
  <sheetViews>
    <sheetView topLeftCell="A11" workbookViewId="0">
      <selection activeCell="F36" sqref="F36"/>
    </sheetView>
  </sheetViews>
  <sheetFormatPr defaultRowHeight="14.4" x14ac:dyDescent="0.3"/>
  <cols>
    <col min="1" max="1" width="26" bestFit="1" customWidth="1"/>
    <col min="2" max="2" width="26.21875" customWidth="1"/>
    <col min="3" max="3" width="17.44140625" customWidth="1"/>
  </cols>
  <sheetData>
    <row r="1" spans="1:3" ht="20.399999999999999" thickBot="1" x14ac:dyDescent="0.45">
      <c r="A1" s="15" t="s">
        <v>110</v>
      </c>
    </row>
    <row r="2" spans="1:3" ht="15.6" thickTop="1" thickBot="1" x14ac:dyDescent="0.35">
      <c r="C2" s="21"/>
    </row>
    <row r="3" spans="1:3" ht="15.6" thickTop="1" thickBot="1" x14ac:dyDescent="0.35">
      <c r="A3" s="199" t="s">
        <v>32</v>
      </c>
      <c r="B3" s="201"/>
      <c r="C3" s="200"/>
    </row>
    <row r="4" spans="1:3" ht="15" thickTop="1" x14ac:dyDescent="0.3">
      <c r="A4" s="24" t="s">
        <v>17</v>
      </c>
      <c r="B4" s="85" t="str">
        <f>'Algemene informatie'!B4</f>
        <v>T2A_64</v>
      </c>
      <c r="C4" s="64"/>
    </row>
    <row r="5" spans="1:3" x14ac:dyDescent="0.3">
      <c r="A5" s="25" t="s">
        <v>35</v>
      </c>
      <c r="B5" s="94">
        <f>'Algemene informatie'!B5</f>
        <v>1</v>
      </c>
      <c r="C5" s="27"/>
    </row>
    <row r="6" spans="1:3" x14ac:dyDescent="0.3">
      <c r="A6" s="25" t="s">
        <v>18</v>
      </c>
      <c r="B6" s="67">
        <f>'Algemene informatie'!B6</f>
        <v>24853</v>
      </c>
      <c r="C6" s="27"/>
    </row>
    <row r="7" spans="1:3" x14ac:dyDescent="0.3">
      <c r="A7" s="70" t="s">
        <v>61</v>
      </c>
      <c r="B7" s="91">
        <f>'1A. Antropometrie'!H15</f>
        <v>73.729500000000002</v>
      </c>
      <c r="C7" s="27" t="s">
        <v>1</v>
      </c>
    </row>
    <row r="8" spans="1:3" ht="15" thickBot="1" x14ac:dyDescent="0.35">
      <c r="A8" s="69" t="s">
        <v>62</v>
      </c>
      <c r="B8" s="92">
        <f>'1A. Antropometrie'!H16</f>
        <v>183.95</v>
      </c>
      <c r="C8" s="30" t="s">
        <v>2</v>
      </c>
    </row>
    <row r="9" spans="1:3" ht="15.6" thickTop="1" thickBot="1" x14ac:dyDescent="0.35">
      <c r="C9" s="21"/>
    </row>
    <row r="10" spans="1:3" ht="15.6" thickTop="1" thickBot="1" x14ac:dyDescent="0.35">
      <c r="A10" s="199" t="s">
        <v>58</v>
      </c>
      <c r="B10" s="201"/>
      <c r="C10" s="200"/>
    </row>
    <row r="11" spans="1:3" ht="15" thickTop="1" x14ac:dyDescent="0.3">
      <c r="A11" s="25" t="s">
        <v>59</v>
      </c>
      <c r="B11" s="72">
        <v>44820</v>
      </c>
      <c r="C11" s="27"/>
    </row>
    <row r="12" spans="1:3" x14ac:dyDescent="0.3">
      <c r="A12" s="25" t="s">
        <v>205</v>
      </c>
      <c r="B12" s="188" t="s">
        <v>224</v>
      </c>
      <c r="C12" s="27"/>
    </row>
    <row r="13" spans="1:3" ht="15" thickBot="1" x14ac:dyDescent="0.35">
      <c r="A13" s="25" t="s">
        <v>60</v>
      </c>
      <c r="B13" s="95">
        <v>0.61111111111111105</v>
      </c>
      <c r="C13" s="30" t="s">
        <v>108</v>
      </c>
    </row>
    <row r="14" spans="1:3" ht="15.6" thickTop="1" thickBot="1" x14ac:dyDescent="0.35">
      <c r="A14" s="63"/>
      <c r="B14" s="90"/>
      <c r="C14" s="2"/>
    </row>
    <row r="15" spans="1:3" ht="15.6" thickTop="1" thickBot="1" x14ac:dyDescent="0.35">
      <c r="A15" s="199" t="s">
        <v>111</v>
      </c>
      <c r="B15" s="201"/>
      <c r="C15" s="200"/>
    </row>
    <row r="16" spans="1:3" ht="15" thickTop="1" x14ac:dyDescent="0.3">
      <c r="A16" s="25" t="s">
        <v>112</v>
      </c>
      <c r="B16" s="111"/>
      <c r="C16" s="27"/>
    </row>
    <row r="17" spans="1:12" x14ac:dyDescent="0.3">
      <c r="A17" s="113" t="s">
        <v>113</v>
      </c>
      <c r="B17" s="61"/>
      <c r="C17" s="27" t="s">
        <v>2</v>
      </c>
    </row>
    <row r="18" spans="1:12" x14ac:dyDescent="0.3">
      <c r="A18" s="113" t="s">
        <v>114</v>
      </c>
      <c r="B18" s="61"/>
      <c r="C18" s="27" t="s">
        <v>2</v>
      </c>
    </row>
    <row r="19" spans="1:12" x14ac:dyDescent="0.3">
      <c r="A19" s="113" t="s">
        <v>115</v>
      </c>
      <c r="B19" s="61"/>
      <c r="C19" s="27" t="s">
        <v>2</v>
      </c>
    </row>
    <row r="20" spans="1:12" x14ac:dyDescent="0.3">
      <c r="A20" s="113" t="s">
        <v>116</v>
      </c>
      <c r="B20" s="61"/>
      <c r="C20" s="27" t="s">
        <v>2</v>
      </c>
      <c r="I20" t="s">
        <v>119</v>
      </c>
    </row>
    <row r="21" spans="1:12" x14ac:dyDescent="0.3">
      <c r="A21" s="113" t="s">
        <v>117</v>
      </c>
      <c r="B21" s="61"/>
      <c r="C21" s="27" t="s">
        <v>2</v>
      </c>
    </row>
    <row r="22" spans="1:12" ht="15" thickBot="1" x14ac:dyDescent="0.35">
      <c r="A22" s="114" t="s">
        <v>118</v>
      </c>
      <c r="B22" s="112">
        <f>MAX(B17:B21)</f>
        <v>0</v>
      </c>
      <c r="C22" s="30" t="s">
        <v>2</v>
      </c>
    </row>
    <row r="23" spans="1:12" ht="15.6" thickTop="1" thickBot="1" x14ac:dyDescent="0.35">
      <c r="A23" s="68"/>
    </row>
    <row r="24" spans="1:12" ht="15.6" thickTop="1" thickBot="1" x14ac:dyDescent="0.35">
      <c r="A24" s="199" t="s">
        <v>86</v>
      </c>
      <c r="B24" s="200"/>
      <c r="C24" s="98"/>
    </row>
    <row r="25" spans="1:12" ht="15" thickTop="1" x14ac:dyDescent="0.3">
      <c r="A25" s="24" t="s">
        <v>170</v>
      </c>
      <c r="B25" s="14" t="s">
        <v>232</v>
      </c>
      <c r="C25" s="98" t="s">
        <v>172</v>
      </c>
      <c r="D25" s="226" t="s">
        <v>120</v>
      </c>
      <c r="E25" s="226"/>
      <c r="F25" s="226"/>
      <c r="G25" s="226"/>
      <c r="H25" s="226"/>
      <c r="I25" s="226"/>
      <c r="J25" s="226"/>
      <c r="K25" s="226"/>
      <c r="L25" s="226"/>
    </row>
    <row r="26" spans="1:12" x14ac:dyDescent="0.3">
      <c r="A26" s="25" t="s">
        <v>170</v>
      </c>
      <c r="B26" s="142" t="str">
        <f>B4&amp;"_PRE_Leftfoot.DAT"</f>
        <v>T2A_64_PRE_Leftfoot.DAT</v>
      </c>
      <c r="C26" s="98"/>
      <c r="D26" s="226" t="s">
        <v>120</v>
      </c>
      <c r="E26" s="226"/>
      <c r="F26" s="226"/>
      <c r="G26" s="226"/>
      <c r="H26" s="226"/>
      <c r="I26" s="226"/>
      <c r="J26" s="226"/>
      <c r="K26" s="226"/>
      <c r="L26" s="226"/>
    </row>
    <row r="27" spans="1:12" x14ac:dyDescent="0.3">
      <c r="A27" s="25" t="s">
        <v>171</v>
      </c>
      <c r="B27" s="142" t="s">
        <v>233</v>
      </c>
      <c r="C27" s="2" t="s">
        <v>172</v>
      </c>
      <c r="D27" s="2"/>
    </row>
    <row r="28" spans="1:12" x14ac:dyDescent="0.3">
      <c r="A28" s="25" t="s">
        <v>171</v>
      </c>
      <c r="B28" s="142" t="str">
        <f>B4&amp;"_PRE_Rightfoot.DAT"</f>
        <v>T2A_64_PRE_Rightfoot.DAT</v>
      </c>
      <c r="E28" s="2"/>
    </row>
    <row r="29" spans="1:12" ht="15" thickBot="1" x14ac:dyDescent="0.35">
      <c r="A29" s="26" t="s">
        <v>173</v>
      </c>
      <c r="B29" s="14" t="str">
        <f>B4&amp;"_PRE_Sprong"</f>
        <v>T2A_64_PRE_Sprong</v>
      </c>
      <c r="C29" s="98"/>
    </row>
    <row r="30" spans="1:12" ht="15.6" thickTop="1" thickBot="1" x14ac:dyDescent="0.35">
      <c r="A30" s="68"/>
      <c r="B30" s="68"/>
    </row>
    <row r="31" spans="1:12" ht="15.6" thickTop="1" thickBot="1" x14ac:dyDescent="0.35">
      <c r="A31" s="199" t="s">
        <v>109</v>
      </c>
      <c r="B31" s="201"/>
      <c r="C31" s="200"/>
    </row>
    <row r="32" spans="1:12" ht="15" thickTop="1" x14ac:dyDescent="0.3">
      <c r="A32" s="190"/>
      <c r="B32" s="202"/>
      <c r="C32" s="191"/>
    </row>
    <row r="33" spans="1:3" x14ac:dyDescent="0.3">
      <c r="A33" s="192"/>
      <c r="B33" s="203"/>
      <c r="C33" s="193"/>
    </row>
    <row r="34" spans="1:3" x14ac:dyDescent="0.3">
      <c r="A34" s="192"/>
      <c r="B34" s="203"/>
      <c r="C34" s="193"/>
    </row>
    <row r="35" spans="1:3" x14ac:dyDescent="0.3">
      <c r="A35" s="192"/>
      <c r="B35" s="203"/>
      <c r="C35" s="193"/>
    </row>
    <row r="36" spans="1:3" ht="15" thickBot="1" x14ac:dyDescent="0.35">
      <c r="A36" s="194"/>
      <c r="B36" s="204"/>
      <c r="C36" s="195"/>
    </row>
    <row r="37" spans="1:3" ht="15" thickTop="1" x14ac:dyDescent="0.3"/>
  </sheetData>
  <mergeCells count="8">
    <mergeCell ref="D25:L25"/>
    <mergeCell ref="D26:L26"/>
    <mergeCell ref="A31:C31"/>
    <mergeCell ref="A32:C36"/>
    <mergeCell ref="A3:C3"/>
    <mergeCell ref="A10:C10"/>
    <mergeCell ref="A15:C15"/>
    <mergeCell ref="A24:B24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23861-9B40-4115-B9EF-E6ED16BDBA0B}">
  <dimension ref="A1:M88"/>
  <sheetViews>
    <sheetView tabSelected="1" topLeftCell="A61" workbookViewId="0">
      <selection activeCell="G76" sqref="G76"/>
    </sheetView>
  </sheetViews>
  <sheetFormatPr defaultRowHeight="14.4" x14ac:dyDescent="0.3"/>
  <cols>
    <col min="1" max="1" width="27.109375" bestFit="1" customWidth="1"/>
    <col min="2" max="2" width="13.77734375" bestFit="1" customWidth="1"/>
    <col min="3" max="3" width="13.5546875" bestFit="1" customWidth="1"/>
  </cols>
  <sheetData>
    <row r="1" spans="1:3" ht="20.399999999999999" thickBot="1" x14ac:dyDescent="0.45">
      <c r="A1" s="15" t="s">
        <v>121</v>
      </c>
    </row>
    <row r="2" spans="1:3" ht="15.6" thickTop="1" thickBot="1" x14ac:dyDescent="0.35">
      <c r="C2" s="21"/>
    </row>
    <row r="3" spans="1:3" ht="15.6" thickTop="1" thickBot="1" x14ac:dyDescent="0.35">
      <c r="A3" s="199" t="s">
        <v>32</v>
      </c>
      <c r="B3" s="201"/>
      <c r="C3" s="200"/>
    </row>
    <row r="4" spans="1:3" ht="15" thickTop="1" x14ac:dyDescent="0.3">
      <c r="A4" s="24" t="s">
        <v>17</v>
      </c>
      <c r="B4" s="65" t="str">
        <f>'Algemene informatie'!B4</f>
        <v>T2A_64</v>
      </c>
      <c r="C4" s="64"/>
    </row>
    <row r="5" spans="1:3" ht="57.6" customHeight="1" x14ac:dyDescent="0.3">
      <c r="A5" s="74" t="s">
        <v>35</v>
      </c>
      <c r="B5" s="66">
        <f>'Algemene informatie'!B5</f>
        <v>1</v>
      </c>
      <c r="C5" s="27"/>
    </row>
    <row r="6" spans="1:3" x14ac:dyDescent="0.3">
      <c r="A6" s="25" t="s">
        <v>18</v>
      </c>
      <c r="B6" s="67">
        <f>'Algemene informatie'!B6</f>
        <v>24853</v>
      </c>
      <c r="C6" s="27"/>
    </row>
    <row r="7" spans="1:3" x14ac:dyDescent="0.3">
      <c r="A7" s="59" t="s">
        <v>62</v>
      </c>
      <c r="B7" s="61">
        <f>'1A. Antropometrie'!H16</f>
        <v>183.95</v>
      </c>
      <c r="C7" s="27" t="s">
        <v>2</v>
      </c>
    </row>
    <row r="8" spans="1:3" ht="15" thickBot="1" x14ac:dyDescent="0.35">
      <c r="A8" s="60" t="s">
        <v>61</v>
      </c>
      <c r="B8" s="61">
        <f>'1A. Antropometrie'!H15</f>
        <v>73.729500000000002</v>
      </c>
      <c r="C8" s="30" t="s">
        <v>1</v>
      </c>
    </row>
    <row r="9" spans="1:3" ht="15.6" thickTop="1" thickBot="1" x14ac:dyDescent="0.35">
      <c r="A9" s="2"/>
      <c r="B9" s="62"/>
      <c r="C9" s="68"/>
    </row>
    <row r="10" spans="1:3" ht="15.6" thickTop="1" thickBot="1" x14ac:dyDescent="0.35">
      <c r="A10" s="199" t="s">
        <v>58</v>
      </c>
      <c r="B10" s="201"/>
      <c r="C10" s="200"/>
    </row>
    <row r="11" spans="1:3" ht="15" thickTop="1" x14ac:dyDescent="0.3">
      <c r="A11" s="25" t="s">
        <v>59</v>
      </c>
      <c r="B11" s="72">
        <f>'3A. Jump test'!B11</f>
        <v>44820</v>
      </c>
      <c r="C11" s="27"/>
    </row>
    <row r="12" spans="1:3" x14ac:dyDescent="0.3">
      <c r="A12" s="25" t="s">
        <v>205</v>
      </c>
      <c r="B12" s="67" t="s">
        <v>225</v>
      </c>
      <c r="C12" s="27"/>
    </row>
    <row r="13" spans="1:3" x14ac:dyDescent="0.3">
      <c r="A13" s="25" t="s">
        <v>60</v>
      </c>
      <c r="B13" s="71">
        <v>0.63541666666666663</v>
      </c>
      <c r="C13" s="27" t="s">
        <v>108</v>
      </c>
    </row>
    <row r="14" spans="1:3" x14ac:dyDescent="0.3">
      <c r="A14" s="70" t="s">
        <v>63</v>
      </c>
      <c r="B14" s="16">
        <v>18</v>
      </c>
      <c r="C14" s="27" t="s">
        <v>12</v>
      </c>
    </row>
    <row r="15" spans="1:3" x14ac:dyDescent="0.3">
      <c r="A15" s="70" t="s">
        <v>75</v>
      </c>
      <c r="B15" s="75">
        <v>49</v>
      </c>
      <c r="C15" s="27" t="s">
        <v>13</v>
      </c>
    </row>
    <row r="16" spans="1:3" x14ac:dyDescent="0.3">
      <c r="A16" s="76" t="s">
        <v>76</v>
      </c>
      <c r="B16" s="75">
        <f>'1B. VO2max'!B16</f>
        <v>4</v>
      </c>
      <c r="C16" s="27"/>
    </row>
    <row r="17" spans="1:4" x14ac:dyDescent="0.3">
      <c r="A17" s="76" t="s">
        <v>77</v>
      </c>
      <c r="B17" s="75" t="str">
        <f>'1B. VO2max'!B17</f>
        <v>SPD</v>
      </c>
      <c r="C17" s="27"/>
    </row>
    <row r="18" spans="1:4" x14ac:dyDescent="0.3">
      <c r="A18" s="76" t="s">
        <v>78</v>
      </c>
      <c r="B18" s="75" t="str">
        <f>'1B. VO2max'!B18</f>
        <v>S</v>
      </c>
      <c r="C18" s="27" t="s">
        <v>80</v>
      </c>
    </row>
    <row r="19" spans="1:4" ht="15" thickBot="1" x14ac:dyDescent="0.35">
      <c r="A19" s="77" t="s">
        <v>79</v>
      </c>
      <c r="B19" s="29" t="str">
        <f>'1B. VO2max'!B19</f>
        <v>L</v>
      </c>
      <c r="C19" s="30" t="s">
        <v>81</v>
      </c>
    </row>
    <row r="20" spans="1:4" ht="15.6" thickTop="1" thickBot="1" x14ac:dyDescent="0.35">
      <c r="A20" s="21"/>
      <c r="B20" s="21"/>
      <c r="C20" s="21"/>
      <c r="D20" s="21"/>
    </row>
    <row r="21" spans="1:4" ht="15.6" thickTop="1" thickBot="1" x14ac:dyDescent="0.35">
      <c r="A21" s="199" t="s">
        <v>64</v>
      </c>
      <c r="B21" s="201"/>
      <c r="C21" s="201"/>
      <c r="D21" s="200"/>
    </row>
    <row r="22" spans="1:4" ht="15.6" thickTop="1" thickBot="1" x14ac:dyDescent="0.35">
      <c r="A22" s="220" t="s">
        <v>73</v>
      </c>
      <c r="B22" s="221"/>
      <c r="C22" s="220" t="s">
        <v>74</v>
      </c>
      <c r="D22" s="221"/>
    </row>
    <row r="23" spans="1:4" ht="15" thickTop="1" x14ac:dyDescent="0.3">
      <c r="A23" s="24" t="s">
        <v>65</v>
      </c>
      <c r="B23" s="27"/>
      <c r="C23" s="24" t="s">
        <v>65</v>
      </c>
      <c r="D23" s="27"/>
    </row>
    <row r="24" spans="1:4" x14ac:dyDescent="0.3">
      <c r="A24" s="25" t="s">
        <v>66</v>
      </c>
      <c r="B24" s="27"/>
      <c r="C24" s="25" t="s">
        <v>66</v>
      </c>
      <c r="D24" s="27"/>
    </row>
    <row r="25" spans="1:4" x14ac:dyDescent="0.3">
      <c r="A25" s="25" t="s">
        <v>67</v>
      </c>
      <c r="B25" s="27"/>
      <c r="C25" s="25" t="s">
        <v>67</v>
      </c>
      <c r="D25" s="27"/>
    </row>
    <row r="26" spans="1:4" x14ac:dyDescent="0.3">
      <c r="A26" s="25" t="s">
        <v>68</v>
      </c>
      <c r="B26" s="27"/>
      <c r="C26" s="25" t="s">
        <v>68</v>
      </c>
      <c r="D26" s="27"/>
    </row>
    <row r="27" spans="1:4" x14ac:dyDescent="0.3">
      <c r="A27" s="25" t="s">
        <v>69</v>
      </c>
      <c r="B27" s="27"/>
      <c r="C27" s="25"/>
      <c r="D27" s="27"/>
    </row>
    <row r="28" spans="1:4" x14ac:dyDescent="0.3">
      <c r="A28" s="25" t="s">
        <v>70</v>
      </c>
      <c r="B28" s="27"/>
      <c r="C28" s="25" t="s">
        <v>70</v>
      </c>
      <c r="D28" s="27"/>
    </row>
    <row r="29" spans="1:4" ht="15" thickBot="1" x14ac:dyDescent="0.35">
      <c r="A29" s="26" t="s">
        <v>71</v>
      </c>
      <c r="B29" s="30"/>
      <c r="C29" s="26" t="s">
        <v>72</v>
      </c>
      <c r="D29" s="30"/>
    </row>
    <row r="30" spans="1:4" ht="15.6" thickTop="1" thickBot="1" x14ac:dyDescent="0.35"/>
    <row r="31" spans="1:4" ht="15.6" thickTop="1" thickBot="1" x14ac:dyDescent="0.35">
      <c r="A31" s="199" t="s">
        <v>122</v>
      </c>
      <c r="B31" s="201"/>
      <c r="C31" s="200"/>
    </row>
    <row r="32" spans="1:4" ht="15" thickTop="1" x14ac:dyDescent="0.3">
      <c r="A32" s="25" t="s">
        <v>124</v>
      </c>
      <c r="B32" s="111">
        <v>42.7</v>
      </c>
      <c r="C32" s="27" t="s">
        <v>2</v>
      </c>
    </row>
    <row r="33" spans="1:7" x14ac:dyDescent="0.3">
      <c r="A33" s="25"/>
      <c r="B33" s="61">
        <f>B32*(2/3)</f>
        <v>28.466666666666669</v>
      </c>
      <c r="C33" s="27" t="s">
        <v>2</v>
      </c>
    </row>
    <row r="34" spans="1:7" x14ac:dyDescent="0.3">
      <c r="A34" s="25" t="s">
        <v>133</v>
      </c>
      <c r="B34" s="91">
        <v>7.9</v>
      </c>
      <c r="C34" s="27" t="s">
        <v>3</v>
      </c>
    </row>
    <row r="35" spans="1:7" x14ac:dyDescent="0.3">
      <c r="A35" s="25" t="s">
        <v>134</v>
      </c>
      <c r="B35" s="91">
        <v>8.8000000000000007</v>
      </c>
      <c r="C35" s="27" t="s">
        <v>3</v>
      </c>
      <c r="D35">
        <v>8.1999999999999993</v>
      </c>
    </row>
    <row r="36" spans="1:7" x14ac:dyDescent="0.3">
      <c r="A36" s="25" t="s">
        <v>193</v>
      </c>
      <c r="B36" s="91"/>
      <c r="C36" s="27" t="s">
        <v>3</v>
      </c>
    </row>
    <row r="37" spans="1:7" x14ac:dyDescent="0.3">
      <c r="A37" s="70" t="s">
        <v>123</v>
      </c>
      <c r="B37" s="115">
        <v>2</v>
      </c>
      <c r="C37" s="27"/>
    </row>
    <row r="38" spans="1:7" ht="15" thickBot="1" x14ac:dyDescent="0.35">
      <c r="A38" s="60" t="s">
        <v>125</v>
      </c>
      <c r="B38" s="116" t="s">
        <v>231</v>
      </c>
      <c r="C38" s="21" t="s">
        <v>174</v>
      </c>
      <c r="D38" s="98"/>
    </row>
    <row r="39" spans="1:7" ht="15.6" thickTop="1" thickBot="1" x14ac:dyDescent="0.35"/>
    <row r="40" spans="1:7" ht="15.6" thickTop="1" thickBot="1" x14ac:dyDescent="0.35">
      <c r="A40" s="199" t="s">
        <v>234</v>
      </c>
      <c r="B40" s="201"/>
      <c r="C40" s="200"/>
    </row>
    <row r="41" spans="1:7" ht="15" thickTop="1" x14ac:dyDescent="0.3">
      <c r="A41" s="25" t="s">
        <v>126</v>
      </c>
      <c r="B41" s="111">
        <f>(F41*0.9)/(90^2)</f>
        <v>3.6111111111111108E-2</v>
      </c>
      <c r="C41" s="27" t="s">
        <v>132</v>
      </c>
      <c r="D41" s="212" t="s">
        <v>175</v>
      </c>
      <c r="E41" s="214"/>
      <c r="F41" s="139">
        <v>325</v>
      </c>
      <c r="G41" s="139" t="s">
        <v>128</v>
      </c>
    </row>
    <row r="42" spans="1:7" ht="15" thickBot="1" x14ac:dyDescent="0.35">
      <c r="A42" s="25" t="s">
        <v>127</v>
      </c>
      <c r="B42" s="61">
        <f>0.9*F42</f>
        <v>90</v>
      </c>
      <c r="C42" s="27" t="s">
        <v>128</v>
      </c>
      <c r="D42" s="217" t="s">
        <v>176</v>
      </c>
      <c r="E42" s="219"/>
      <c r="F42" s="139">
        <v>100</v>
      </c>
      <c r="G42" s="139" t="s">
        <v>128</v>
      </c>
    </row>
    <row r="43" spans="1:7" ht="15.6" thickTop="1" thickBot="1" x14ac:dyDescent="0.35">
      <c r="A43" s="68"/>
      <c r="B43" s="68"/>
      <c r="C43" s="63"/>
    </row>
    <row r="44" spans="1:7" ht="15.6" thickTop="1" thickBot="1" x14ac:dyDescent="0.35">
      <c r="A44" s="199" t="s">
        <v>202</v>
      </c>
      <c r="B44" s="200"/>
      <c r="C44" s="2"/>
    </row>
    <row r="45" spans="1:7" ht="15" thickTop="1" x14ac:dyDescent="0.3">
      <c r="A45" s="64" t="s">
        <v>203</v>
      </c>
      <c r="B45" s="240">
        <v>46.86</v>
      </c>
      <c r="C45" s="2"/>
    </row>
    <row r="46" spans="1:7" ht="15" thickBot="1" x14ac:dyDescent="0.35">
      <c r="A46" s="30" t="s">
        <v>204</v>
      </c>
      <c r="B46" s="162">
        <v>69.2</v>
      </c>
      <c r="C46" s="2"/>
    </row>
    <row r="47" spans="1:7" ht="15.6" thickTop="1" thickBot="1" x14ac:dyDescent="0.35">
      <c r="A47" s="68"/>
      <c r="B47" s="68"/>
      <c r="C47" s="21"/>
    </row>
    <row r="48" spans="1:7" ht="15.6" thickTop="1" thickBot="1" x14ac:dyDescent="0.35">
      <c r="A48" s="199" t="s">
        <v>82</v>
      </c>
      <c r="B48" s="201"/>
      <c r="C48" s="201"/>
      <c r="D48" s="201"/>
      <c r="E48" s="201"/>
      <c r="F48" s="201"/>
      <c r="G48" s="200"/>
    </row>
    <row r="49" spans="1:13" ht="15.6" thickTop="1" thickBot="1" x14ac:dyDescent="0.35">
      <c r="A49" s="117" t="s">
        <v>83</v>
      </c>
      <c r="B49" s="80" t="s">
        <v>84</v>
      </c>
      <c r="C49" s="80" t="s">
        <v>4</v>
      </c>
      <c r="D49" s="80" t="s">
        <v>5</v>
      </c>
      <c r="E49" s="80" t="s">
        <v>6</v>
      </c>
      <c r="F49" s="83" t="s">
        <v>7</v>
      </c>
      <c r="G49" s="84" t="s">
        <v>85</v>
      </c>
      <c r="J49" s="87"/>
      <c r="K49" s="87"/>
    </row>
    <row r="50" spans="1:13" ht="15" thickTop="1" x14ac:dyDescent="0.3">
      <c r="A50" s="164" t="s">
        <v>196</v>
      </c>
      <c r="B50" s="237" t="s">
        <v>178</v>
      </c>
      <c r="C50" s="238"/>
      <c r="D50" s="238"/>
      <c r="E50" s="238"/>
      <c r="F50" s="238"/>
      <c r="G50" s="239"/>
      <c r="H50" s="152" t="s">
        <v>197</v>
      </c>
      <c r="I50" s="152"/>
      <c r="J50" s="165"/>
      <c r="K50" s="165"/>
      <c r="L50" s="152"/>
      <c r="M50" t="s">
        <v>235</v>
      </c>
    </row>
    <row r="51" spans="1:13" x14ac:dyDescent="0.3">
      <c r="A51" s="118">
        <v>0.16666666666666666</v>
      </c>
      <c r="B51" s="47" t="s">
        <v>135</v>
      </c>
      <c r="C51" s="47">
        <v>1800</v>
      </c>
      <c r="D51" s="47">
        <v>110</v>
      </c>
      <c r="E51" s="47">
        <v>0.94</v>
      </c>
      <c r="F51" s="47"/>
      <c r="G51" s="27">
        <v>441</v>
      </c>
      <c r="H51" s="87" t="s">
        <v>236</v>
      </c>
      <c r="I51" s="87"/>
    </row>
    <row r="52" spans="1:13" x14ac:dyDescent="0.3">
      <c r="A52" s="119">
        <v>0.25</v>
      </c>
      <c r="B52" s="4" t="s">
        <v>135</v>
      </c>
      <c r="C52" s="4">
        <v>1649</v>
      </c>
      <c r="D52" s="4">
        <v>113</v>
      </c>
      <c r="E52" s="4">
        <v>0.94</v>
      </c>
      <c r="F52" s="4"/>
      <c r="G52" s="79">
        <v>462</v>
      </c>
    </row>
    <row r="53" spans="1:13" x14ac:dyDescent="0.3">
      <c r="A53" s="119">
        <v>0.33333333333333331</v>
      </c>
      <c r="B53" s="4" t="s">
        <v>135</v>
      </c>
      <c r="C53" s="4">
        <v>1553</v>
      </c>
      <c r="D53" s="4">
        <v>112</v>
      </c>
      <c r="E53" s="4">
        <v>0.94</v>
      </c>
      <c r="F53" s="4"/>
      <c r="G53" s="79">
        <v>463</v>
      </c>
    </row>
    <row r="54" spans="1:13" x14ac:dyDescent="0.3">
      <c r="A54" s="119" t="s">
        <v>177</v>
      </c>
      <c r="B54" s="234" t="s">
        <v>194</v>
      </c>
      <c r="C54" s="235"/>
      <c r="D54" s="235"/>
      <c r="E54" s="235"/>
      <c r="F54" s="235"/>
      <c r="G54" s="236"/>
      <c r="H54" s="165" t="s">
        <v>197</v>
      </c>
      <c r="I54" s="165"/>
      <c r="J54" s="152"/>
      <c r="K54" s="152"/>
      <c r="L54" s="152"/>
      <c r="M54" t="s">
        <v>237</v>
      </c>
    </row>
    <row r="55" spans="1:13" x14ac:dyDescent="0.3">
      <c r="A55" s="119">
        <v>0.66666666666666663</v>
      </c>
      <c r="B55" s="4" t="s">
        <v>135</v>
      </c>
      <c r="C55" s="4">
        <v>1489</v>
      </c>
      <c r="D55" s="4">
        <v>114</v>
      </c>
      <c r="E55" s="4">
        <v>0.9</v>
      </c>
      <c r="F55" s="4"/>
      <c r="G55" s="82">
        <v>462</v>
      </c>
      <c r="H55" t="s">
        <v>238</v>
      </c>
    </row>
    <row r="56" spans="1:13" x14ac:dyDescent="0.3">
      <c r="A56" s="119">
        <v>0.75</v>
      </c>
      <c r="B56" s="4" t="s">
        <v>135</v>
      </c>
      <c r="C56" s="4">
        <v>1751</v>
      </c>
      <c r="D56" s="4">
        <v>113</v>
      </c>
      <c r="E56" s="4">
        <v>0.92</v>
      </c>
      <c r="F56" s="4"/>
      <c r="G56" s="79">
        <v>462</v>
      </c>
    </row>
    <row r="57" spans="1:13" x14ac:dyDescent="0.3">
      <c r="A57" s="143">
        <v>0.83333333333333337</v>
      </c>
      <c r="B57" s="4" t="s">
        <v>135</v>
      </c>
      <c r="C57" s="4">
        <v>1467</v>
      </c>
      <c r="D57" s="4">
        <v>120</v>
      </c>
      <c r="E57" s="4">
        <v>0.91</v>
      </c>
      <c r="F57" s="4"/>
      <c r="G57" s="27">
        <v>469</v>
      </c>
      <c r="H57" s="152" t="s">
        <v>197</v>
      </c>
      <c r="I57" s="152"/>
      <c r="J57" s="152"/>
      <c r="K57" s="152"/>
      <c r="L57" s="152"/>
    </row>
    <row r="58" spans="1:13" ht="15" thickBot="1" x14ac:dyDescent="0.35">
      <c r="A58" s="123" t="s">
        <v>198</v>
      </c>
      <c r="B58" s="231" t="s">
        <v>195</v>
      </c>
      <c r="C58" s="232"/>
      <c r="D58" s="232"/>
      <c r="E58" s="232"/>
      <c r="F58" s="232"/>
      <c r="G58" s="233"/>
      <c r="H58" s="87" t="s">
        <v>239</v>
      </c>
      <c r="I58" s="87"/>
    </row>
    <row r="59" spans="1:13" ht="15.6" thickTop="1" thickBot="1" x14ac:dyDescent="0.35">
      <c r="A59" s="124" t="s">
        <v>83</v>
      </c>
      <c r="B59" s="125" t="s">
        <v>144</v>
      </c>
      <c r="C59" s="125" t="s">
        <v>4</v>
      </c>
      <c r="D59" s="125" t="s">
        <v>5</v>
      </c>
      <c r="E59" s="125" t="s">
        <v>6</v>
      </c>
      <c r="F59" s="125" t="s">
        <v>7</v>
      </c>
      <c r="G59" s="84" t="s">
        <v>85</v>
      </c>
    </row>
    <row r="60" spans="1:13" ht="15" thickTop="1" x14ac:dyDescent="0.3">
      <c r="A60" s="120" t="s">
        <v>200</v>
      </c>
      <c r="B60" s="168">
        <v>0</v>
      </c>
      <c r="C60" s="168"/>
      <c r="D60" s="168"/>
      <c r="E60" s="168"/>
      <c r="F60" s="163"/>
      <c r="G60" s="170"/>
    </row>
    <row r="61" spans="1:13" x14ac:dyDescent="0.3">
      <c r="A61" s="166" t="s">
        <v>199</v>
      </c>
      <c r="B61" s="169"/>
      <c r="C61" s="169"/>
      <c r="D61" s="169"/>
      <c r="E61" s="169"/>
      <c r="F61" s="157"/>
      <c r="G61" s="171"/>
    </row>
    <row r="62" spans="1:13" x14ac:dyDescent="0.3">
      <c r="A62" s="167" t="s">
        <v>136</v>
      </c>
      <c r="B62" s="169"/>
      <c r="C62" s="169"/>
      <c r="D62" s="169"/>
      <c r="E62" s="169"/>
      <c r="F62" s="157"/>
      <c r="G62" s="172"/>
    </row>
    <row r="63" spans="1:13" x14ac:dyDescent="0.3">
      <c r="A63" s="167" t="s">
        <v>137</v>
      </c>
      <c r="B63" s="169"/>
      <c r="C63" s="169"/>
      <c r="D63" s="169"/>
      <c r="E63" s="169"/>
      <c r="F63" s="157"/>
      <c r="G63" s="172"/>
    </row>
    <row r="64" spans="1:13" x14ac:dyDescent="0.3">
      <c r="A64" s="120" t="s">
        <v>138</v>
      </c>
      <c r="B64" s="169"/>
      <c r="C64" s="169"/>
      <c r="D64" s="169"/>
      <c r="E64" s="169"/>
      <c r="F64" s="157"/>
      <c r="G64" s="173"/>
    </row>
    <row r="65" spans="1:7" x14ac:dyDescent="0.3">
      <c r="A65" s="120" t="s">
        <v>139</v>
      </c>
      <c r="B65" s="169"/>
      <c r="C65" s="169"/>
      <c r="D65" s="169"/>
      <c r="E65" s="169"/>
      <c r="F65" s="157"/>
      <c r="G65" s="173"/>
    </row>
    <row r="66" spans="1:7" x14ac:dyDescent="0.3">
      <c r="A66" s="120" t="s">
        <v>140</v>
      </c>
      <c r="B66" s="168"/>
      <c r="C66" s="168"/>
      <c r="D66" s="168"/>
      <c r="E66" s="168"/>
      <c r="F66" s="163"/>
      <c r="G66" s="173"/>
    </row>
    <row r="67" spans="1:7" x14ac:dyDescent="0.3">
      <c r="A67" s="120" t="s">
        <v>141</v>
      </c>
      <c r="B67" s="169"/>
      <c r="C67" s="169"/>
      <c r="D67" s="169"/>
      <c r="E67" s="169"/>
      <c r="F67" s="157"/>
      <c r="G67" s="174"/>
    </row>
    <row r="68" spans="1:7" x14ac:dyDescent="0.3">
      <c r="A68" s="121" t="s">
        <v>142</v>
      </c>
      <c r="B68" s="169"/>
      <c r="C68" s="169"/>
      <c r="D68" s="169"/>
      <c r="E68" s="169"/>
      <c r="F68" s="157"/>
      <c r="G68" s="175"/>
    </row>
    <row r="69" spans="1:7" x14ac:dyDescent="0.3">
      <c r="A69" s="120" t="s">
        <v>143</v>
      </c>
      <c r="B69" s="168"/>
      <c r="C69" s="168"/>
      <c r="D69" s="168"/>
      <c r="E69" s="168"/>
      <c r="F69" s="163"/>
      <c r="G69" s="175"/>
    </row>
    <row r="70" spans="1:7" x14ac:dyDescent="0.3">
      <c r="A70" s="120" t="s">
        <v>179</v>
      </c>
      <c r="B70" s="168"/>
      <c r="C70" s="168"/>
      <c r="D70" s="168"/>
      <c r="E70" s="168"/>
      <c r="F70" s="163"/>
      <c r="G70" s="175"/>
    </row>
    <row r="71" spans="1:7" ht="15" thickBot="1" x14ac:dyDescent="0.35">
      <c r="A71" s="121" t="s">
        <v>180</v>
      </c>
      <c r="B71" s="184"/>
      <c r="C71" s="184"/>
      <c r="D71" s="184"/>
      <c r="E71" s="184"/>
      <c r="F71" s="159"/>
      <c r="G71" s="185"/>
    </row>
    <row r="72" spans="1:7" ht="15.6" thickTop="1" thickBot="1" x14ac:dyDescent="0.35">
      <c r="A72" s="63"/>
    </row>
    <row r="73" spans="1:7" ht="15.6" thickTop="1" thickBot="1" x14ac:dyDescent="0.35">
      <c r="A73" s="199" t="s">
        <v>190</v>
      </c>
      <c r="B73" s="201"/>
      <c r="C73" s="200"/>
    </row>
    <row r="74" spans="1:7" ht="15.6" thickTop="1" thickBot="1" x14ac:dyDescent="0.35">
      <c r="A74" s="176" t="s">
        <v>206</v>
      </c>
      <c r="B74" s="187">
        <v>0.26597222222222222</v>
      </c>
      <c r="C74" s="13" t="s">
        <v>187</v>
      </c>
      <c r="D74" s="98"/>
    </row>
    <row r="75" spans="1:7" ht="15.6" thickTop="1" thickBot="1" x14ac:dyDescent="0.35">
      <c r="A75" s="21"/>
      <c r="C75" s="68"/>
    </row>
    <row r="76" spans="1:7" ht="15.6" thickTop="1" thickBot="1" x14ac:dyDescent="0.35">
      <c r="A76" s="199" t="s">
        <v>86</v>
      </c>
      <c r="B76" s="201"/>
      <c r="C76" s="200"/>
      <c r="G76" t="s">
        <v>241</v>
      </c>
    </row>
    <row r="77" spans="1:7" ht="15" thickTop="1" x14ac:dyDescent="0.3">
      <c r="A77" s="25" t="s">
        <v>129</v>
      </c>
      <c r="B77" s="227" t="str">
        <f>B4&amp;"_PRE_NIRS"</f>
        <v>T2A_64_PRE_NIRS</v>
      </c>
      <c r="C77" s="228"/>
    </row>
    <row r="78" spans="1:7" x14ac:dyDescent="0.3">
      <c r="A78" s="70" t="s">
        <v>130</v>
      </c>
      <c r="B78" s="227" t="str">
        <f>B4&amp;"_PRE_TT_Bike"</f>
        <v>T2A_64_PRE_TT_Bike</v>
      </c>
      <c r="C78" s="228"/>
    </row>
    <row r="79" spans="1:7" x14ac:dyDescent="0.3">
      <c r="A79" s="59" t="s">
        <v>201</v>
      </c>
      <c r="B79" s="227" t="str">
        <f>B4&amp;"_PRE_TT_CPET"</f>
        <v>T2A_64_PRE_TT_CPET</v>
      </c>
      <c r="C79" s="228"/>
    </row>
    <row r="80" spans="1:7" ht="15" thickBot="1" x14ac:dyDescent="0.35">
      <c r="A80" s="69" t="s">
        <v>131</v>
      </c>
      <c r="B80" s="229" t="str">
        <f>B79&amp;"_10sec"</f>
        <v>T2A_64_PRE_TT_CPET_10sec</v>
      </c>
      <c r="C80" s="230"/>
    </row>
    <row r="82" spans="1:3" ht="15.6" thickTop="1" thickBot="1" x14ac:dyDescent="0.35">
      <c r="A82" s="199" t="s">
        <v>109</v>
      </c>
      <c r="B82" s="201"/>
      <c r="C82" s="200"/>
    </row>
    <row r="83" spans="1:3" ht="15" thickTop="1" x14ac:dyDescent="0.3">
      <c r="A83" s="190" t="s">
        <v>240</v>
      </c>
      <c r="B83" s="202"/>
      <c r="C83" s="191"/>
    </row>
    <row r="84" spans="1:3" x14ac:dyDescent="0.3">
      <c r="A84" s="192"/>
      <c r="B84" s="203"/>
      <c r="C84" s="193"/>
    </row>
    <row r="85" spans="1:3" x14ac:dyDescent="0.3">
      <c r="A85" s="192"/>
      <c r="B85" s="203"/>
      <c r="C85" s="193"/>
    </row>
    <row r="86" spans="1:3" x14ac:dyDescent="0.3">
      <c r="A86" s="192"/>
      <c r="B86" s="203"/>
      <c r="C86" s="193"/>
    </row>
    <row r="87" spans="1:3" ht="15" thickBot="1" x14ac:dyDescent="0.35">
      <c r="A87" s="194"/>
      <c r="B87" s="204"/>
      <c r="C87" s="195"/>
    </row>
    <row r="88" spans="1:3" ht="15" thickTop="1" x14ac:dyDescent="0.3"/>
  </sheetData>
  <mergeCells count="22">
    <mergeCell ref="B58:G58"/>
    <mergeCell ref="A76:C76"/>
    <mergeCell ref="A48:G48"/>
    <mergeCell ref="A3:C3"/>
    <mergeCell ref="A10:C10"/>
    <mergeCell ref="A21:D21"/>
    <mergeCell ref="A22:B22"/>
    <mergeCell ref="C22:D22"/>
    <mergeCell ref="A31:C31"/>
    <mergeCell ref="A40:C40"/>
    <mergeCell ref="D41:E41"/>
    <mergeCell ref="D42:E42"/>
    <mergeCell ref="B54:G54"/>
    <mergeCell ref="B50:G50"/>
    <mergeCell ref="A44:B44"/>
    <mergeCell ref="A73:C73"/>
    <mergeCell ref="B77:C77"/>
    <mergeCell ref="B78:C78"/>
    <mergeCell ref="B80:C80"/>
    <mergeCell ref="A82:C82"/>
    <mergeCell ref="A83:C87"/>
    <mergeCell ref="B79:C79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73B91-9A23-4A04-81AA-2CEBF7C86882}">
  <dimension ref="B2:J14"/>
  <sheetViews>
    <sheetView workbookViewId="0">
      <selection activeCell="E18" sqref="E18"/>
    </sheetView>
  </sheetViews>
  <sheetFormatPr defaultRowHeight="14.4" x14ac:dyDescent="0.3"/>
  <cols>
    <col min="2" max="10" width="17.77734375" customWidth="1"/>
    <col min="11" max="11" width="8.77734375" customWidth="1"/>
  </cols>
  <sheetData>
    <row r="2" spans="2:10" x14ac:dyDescent="0.3">
      <c r="B2" s="14" t="s">
        <v>189</v>
      </c>
      <c r="C2" s="144" t="str">
        <f>'Algemene informatie'!B4</f>
        <v>T2A_64</v>
      </c>
    </row>
    <row r="3" spans="2:10" x14ac:dyDescent="0.3">
      <c r="B3" s="14" t="s">
        <v>158</v>
      </c>
      <c r="C3" s="145">
        <f ca="1">'Algemene informatie'!B7</f>
        <v>54</v>
      </c>
      <c r="D3" t="s">
        <v>27</v>
      </c>
    </row>
    <row r="4" spans="2:10" x14ac:dyDescent="0.3">
      <c r="B4" s="14" t="s">
        <v>181</v>
      </c>
      <c r="C4" s="145">
        <f>'Algemene informatie'!B5</f>
        <v>1</v>
      </c>
      <c r="D4" t="s">
        <v>188</v>
      </c>
    </row>
    <row r="5" spans="2:10" x14ac:dyDescent="0.3">
      <c r="B5" s="14" t="s">
        <v>40</v>
      </c>
      <c r="C5" s="146">
        <f>'1A. Antropometrie'!H15</f>
        <v>73.729500000000002</v>
      </c>
      <c r="D5" t="s">
        <v>1</v>
      </c>
    </row>
    <row r="6" spans="2:10" x14ac:dyDescent="0.3">
      <c r="B6" s="14" t="s">
        <v>41</v>
      </c>
      <c r="C6" s="145">
        <f>'1A. Antropometrie'!H16</f>
        <v>183.95</v>
      </c>
      <c r="D6" t="s">
        <v>2</v>
      </c>
    </row>
    <row r="7" spans="2:10" x14ac:dyDescent="0.3">
      <c r="B7" s="14" t="s">
        <v>182</v>
      </c>
      <c r="C7" s="146">
        <f>'1A. Antropometrie'!B42</f>
        <v>22.684180731078584</v>
      </c>
      <c r="D7" t="s">
        <v>13</v>
      </c>
    </row>
    <row r="8" spans="2:10" x14ac:dyDescent="0.3">
      <c r="B8" s="14" t="s">
        <v>183</v>
      </c>
      <c r="C8" s="186">
        <f>'1B. VO2max'!B57</f>
        <v>46.141639370943786</v>
      </c>
      <c r="D8" t="s">
        <v>184</v>
      </c>
    </row>
    <row r="9" spans="2:10" x14ac:dyDescent="0.3">
      <c r="B9" s="14" t="s">
        <v>209</v>
      </c>
      <c r="C9" s="186">
        <f>'2B. Wingate'!B34</f>
        <v>13.639181060498172</v>
      </c>
      <c r="D9" t="s">
        <v>214</v>
      </c>
    </row>
    <row r="10" spans="2:10" x14ac:dyDescent="0.3">
      <c r="B10" s="14" t="s">
        <v>186</v>
      </c>
      <c r="C10" s="147">
        <f>'3B. NIRS+Time Trial'!B74</f>
        <v>0.26597222222222222</v>
      </c>
      <c r="D10" t="s">
        <v>187</v>
      </c>
    </row>
    <row r="13" spans="2:10" x14ac:dyDescent="0.3">
      <c r="B13" s="14" t="s">
        <v>189</v>
      </c>
      <c r="C13" s="14" t="s">
        <v>158</v>
      </c>
      <c r="D13" s="14" t="s">
        <v>181</v>
      </c>
      <c r="E13" s="14" t="s">
        <v>40</v>
      </c>
      <c r="F13" s="14" t="s">
        <v>41</v>
      </c>
      <c r="G13" s="14" t="s">
        <v>182</v>
      </c>
      <c r="H13" s="14" t="s">
        <v>183</v>
      </c>
      <c r="I13" s="14" t="s">
        <v>209</v>
      </c>
      <c r="J13" s="14" t="s">
        <v>208</v>
      </c>
    </row>
    <row r="14" spans="2:10" x14ac:dyDescent="0.3">
      <c r="B14" t="str">
        <f>C2</f>
        <v>T2A_64</v>
      </c>
      <c r="C14" s="177">
        <f ca="1">C3</f>
        <v>54</v>
      </c>
      <c r="D14" s="177">
        <f>C4</f>
        <v>1</v>
      </c>
      <c r="E14" s="178">
        <f>C5</f>
        <v>73.729500000000002</v>
      </c>
      <c r="F14" s="177">
        <f>C6</f>
        <v>183.95</v>
      </c>
      <c r="G14" s="178">
        <f>C7</f>
        <v>22.684180731078584</v>
      </c>
      <c r="H14" s="183">
        <f>C8</f>
        <v>46.141639370943786</v>
      </c>
      <c r="I14" s="183">
        <f>C9</f>
        <v>13.639181060498172</v>
      </c>
      <c r="J14" s="179">
        <f>C10</f>
        <v>0.26597222222222222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Algemene informatie</vt:lpstr>
      <vt:lpstr>1A. Antropometrie</vt:lpstr>
      <vt:lpstr>1B. VO2max</vt:lpstr>
      <vt:lpstr>2A. 3D US</vt:lpstr>
      <vt:lpstr>2B. Wingate</vt:lpstr>
      <vt:lpstr>3A. Jump test</vt:lpstr>
      <vt:lpstr>3B. NIRS+Time Trial</vt:lpstr>
      <vt:lpstr>Factoren groepindeling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luuk vos</dc:creator>
  <cp:lastModifiedBy>luuk vos</cp:lastModifiedBy>
  <dcterms:created xsi:type="dcterms:W3CDTF">2022-07-15T14:05:02Z</dcterms:created>
  <dcterms:modified xsi:type="dcterms:W3CDTF">2022-09-16T14:33:17Z</dcterms:modified>
</cp:coreProperties>
</file>