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1 September\"/>
    </mc:Choice>
  </mc:AlternateContent>
  <xr:revisionPtr revIDLastSave="0" documentId="13_ncr:1_{9C2A8B1C-5184-4317-9A49-C98123FE135B}" xr6:coauthVersionLast="47" xr6:coauthVersionMax="47" xr10:uidLastSave="{00000000-0000-0000-0000-000000000000}"/>
  <bookViews>
    <workbookView xWindow="-108" yWindow="-108" windowWidth="23256" windowHeight="12456" firstSheet="2" activeTab="3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7" i="8"/>
  <c r="B34" i="5"/>
  <c r="L23" i="2" l="1"/>
  <c r="G14" i="8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B7" i="1"/>
  <c r="G36" i="2" s="1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6" i="5"/>
  <c r="B5" i="5"/>
  <c r="B4" i="5"/>
  <c r="B37" i="5" s="1"/>
  <c r="B6" i="4"/>
  <c r="B5" i="4"/>
  <c r="B4" i="4"/>
  <c r="B18" i="4" l="1"/>
  <c r="B16" i="4"/>
  <c r="B17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37" i="2" s="1"/>
  <c r="B61" i="3"/>
  <c r="B7" i="7"/>
  <c r="B8" i="6"/>
  <c r="B8" i="5"/>
  <c r="B8" i="7"/>
  <c r="B7" i="6"/>
  <c r="B7" i="5"/>
  <c r="B20" i="5" s="1"/>
  <c r="B39" i="2" l="1"/>
  <c r="C40" i="2"/>
  <c r="C41" i="2"/>
  <c r="C39" i="2"/>
  <c r="B37" i="2"/>
  <c r="B40" i="2"/>
  <c r="C38" i="2"/>
  <c r="C42" i="2"/>
  <c r="B42" i="2"/>
  <c r="B38" i="2"/>
  <c r="B41" i="2"/>
</calcChain>
</file>

<file path=xl/sharedStrings.xml><?xml version="1.0" encoding="utf-8"?>
<sst xmlns="http://schemas.openxmlformats.org/spreadsheetml/2006/main" count="437" uniqueCount="236">
  <si>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</si>
  <si>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</si>
  <si>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</si>
  <si>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</si>
  <si>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</si>
  <si>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</si>
  <si>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</si>
  <si>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</si>
  <si>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</si>
  <si>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</si>
  <si>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</si>
  <si>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</si>
  <si>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</si>
  <si>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</si>
  <si>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</si>
  <si>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</si>
  <si>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</si>
  <si>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</si>
  <si>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</si>
  <si>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</si>
  <si>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</si>
  <si>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</si>
  <si>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</si>
  <si>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</si>
  <si>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</si>
  <si>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</si>
  <si>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</si>
  <si>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</si>
  <si>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</si>
  <si>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</si>
  <si>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</si>
  <si>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</si>
  <si>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</si>
  <si>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</si>
  <si>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</si>
  <si>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</si>
  <si>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</si>
  <si>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</si>
  <si>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</si>
  <si>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</si>
  <si>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</si>
  <si>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</si>
  <si>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</si>
  <si>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</si>
  <si>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</si>
  <si>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</si>
  <si>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</si>
  <si>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</si>
  <si>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</si>
  <si>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</si>
  <si>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</si>
  <si>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</si>
  <si>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</si>
  <si>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</si>
  <si>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</si>
  <si>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</si>
  <si>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</si>
  <si>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</si>
  <si>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</si>
  <si>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</si>
  <si>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</si>
  <si>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</si>
  <si>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</si>
  <si>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</si>
  <si>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</si>
  <si>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</si>
  <si>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</si>
  <si>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</si>
  <si>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</si>
  <si>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</si>
  <si>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</si>
  <si>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</si>
  <si>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</si>
  <si>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</si>
  <si>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</si>
  <si>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</si>
  <si>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</si>
  <si>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</si>
  <si>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</si>
  <si>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</si>
  <si>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</si>
  <si>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</si>
  <si>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</si>
  <si>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</si>
  <si>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</si>
  <si>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</si>
  <si>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</si>
  <si>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</si>
  <si>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</si>
  <si>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</si>
  <si>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</si>
  <si>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</si>
  <si>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</si>
  <si>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</si>
  <si>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</si>
  <si>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</si>
  <si>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</si>
  <si>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</si>
  <si>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</si>
  <si>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</si>
  <si>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</si>
  <si>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</si>
  <si>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</si>
  <si>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</si>
  <si>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</si>
  <si>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</si>
  <si>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</si>
  <si>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</si>
  <si>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</si>
  <si>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</si>
  <si>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</si>
  <si>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</si>
  <si>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</si>
  <si>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</si>
  <si>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</si>
  <si>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</si>
  <si>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</si>
  <si>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</si>
  <si>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</si>
  <si>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</si>
  <si>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</si>
  <si>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</si>
  <si>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</si>
  <si>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</si>
  <si>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</si>
  <si>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</si>
  <si>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</si>
  <si>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</si>
  <si>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</si>
  <si>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</si>
  <si>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</si>
  <si>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</si>
  <si>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</si>
  <si>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</si>
  <si>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</si>
  <si>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</si>
  <si>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</si>
  <si>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</si>
  <si>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</si>
  <si>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</si>
  <si>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</si>
  <si>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</si>
  <si>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</si>
  <si>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</si>
  <si>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</si>
  <si>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</si>
  <si>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</si>
  <si>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</si>
  <si>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</si>
  <si>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</si>
  <si>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</si>
  <si>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</si>
  <si>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</si>
  <si>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</si>
  <si>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</si>
  <si>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</si>
  <si>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</si>
  <si>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</si>
  <si>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</si>
  <si>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</si>
  <si>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</si>
  <si>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</si>
  <si>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</si>
  <si>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</si>
  <si>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</si>
  <si>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</si>
  <si>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</si>
  <si>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</si>
  <si>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</si>
  <si>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</si>
  <si>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</si>
  <si>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</si>
  <si>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</si>
  <si>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</si>
  <si>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</si>
  <si>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</si>
  <si>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</si>
  <si>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</si>
  <si>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</si>
  <si>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</si>
  <si>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</si>
  <si>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</si>
  <si>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</si>
  <si>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</si>
  <si>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</si>
  <si>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</si>
  <si>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</si>
  <si>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</si>
  <si>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</si>
  <si>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</si>
  <si>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</si>
  <si>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</si>
  <si>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</si>
  <si>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</si>
  <si>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</si>
  <si>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</si>
  <si>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</si>
  <si>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</si>
  <si>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</si>
  <si>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</si>
  <si>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</si>
  <si>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</si>
  <si>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</si>
  <si>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</si>
  <si>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</si>
  <si>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</si>
  <si>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</si>
  <si>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</si>
  <si>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</si>
  <si>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</si>
  <si>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</si>
  <si>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</si>
  <si>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</si>
  <si>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</si>
  <si>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</si>
  <si>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</si>
  <si>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</si>
  <si>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 xml:space="preserve"> T2A_69</t>
  </si>
  <si>
    <t>recreatief</t>
  </si>
  <si>
    <t>Weg</t>
  </si>
  <si>
    <t>Lange</t>
  </si>
  <si>
    <t>Doet aan triatlon. 1 a 2 keer in de week fietsen 3x hardlopen en 1x zwemmen</t>
  </si>
  <si>
    <t xml:space="preserve"> </t>
  </si>
  <si>
    <t>Lengte en gewicht gemeten op 11/9</t>
  </si>
  <si>
    <t>Luuk</t>
  </si>
  <si>
    <t xml:space="preserve">2e scan is op 10cm gemaakt </t>
  </si>
  <si>
    <t>Renske</t>
  </si>
  <si>
    <t>SPD</t>
  </si>
  <si>
    <t>Tweede gat van achteren</t>
  </si>
  <si>
    <t>Rechts</t>
  </si>
  <si>
    <t xml:space="preserve">Het idee dat hij niet helemaal maximaal heeft gegeven. Zelf vaak ook moeite met eerste bout van intervaltraining. </t>
  </si>
  <si>
    <t>L</t>
  </si>
  <si>
    <t xml:space="preserve"> b</t>
  </si>
  <si>
    <t>RAW00338.DAT</t>
  </si>
  <si>
    <t>RAW00166.DAT</t>
  </si>
  <si>
    <t>RER bij eerste stap boven de 1. HR 133 na 3 min. Lijkt een hele kleine langzame component in te zitten. RPE4 na eerste stap. Lijkt bij 2e stap toch wel goed te gaan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</si>
</sst>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2" fontId="6" fillId="0" borderId="0" xfId="0" applyNumberFormat="1" applyFont="1"/>
    <xf numFmtId="0" fontId="6" fillId="0" borderId="18" xfId="0" applyFont="1" applyBorder="1"/>
    <xf numFmtId="0" fontId="6" fillId="0" borderId="11" xfId="0" applyFont="1" applyBorder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E11" sqref="E11:F13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0" t="s">
        <v>32</v>
      </c>
      <c r="B3" s="201"/>
      <c r="C3" s="27"/>
      <c r="D3" s="200" t="s">
        <v>34</v>
      </c>
      <c r="E3" s="202"/>
      <c r="F3" s="201"/>
    </row>
    <row r="4" spans="1:6" ht="15" customHeight="1" thickTop="1" x14ac:dyDescent="0.3">
      <c r="A4" s="24" t="s">
        <v>17</v>
      </c>
      <c r="B4" s="18" t="s">
        <v>217</v>
      </c>
      <c r="C4" s="28"/>
      <c r="D4" s="24" t="s">
        <v>19</v>
      </c>
      <c r="E4" s="14" t="s">
        <v>218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6" t="s">
        <v>219</v>
      </c>
      <c r="F5" s="27" t="s">
        <v>30</v>
      </c>
    </row>
    <row r="6" spans="1:6" x14ac:dyDescent="0.3">
      <c r="A6" s="25" t="s">
        <v>18</v>
      </c>
      <c r="B6" s="20">
        <v>33940</v>
      </c>
      <c r="C6" s="20"/>
      <c r="D6" s="25"/>
      <c r="E6" s="14" t="s">
        <v>220</v>
      </c>
      <c r="F6" s="27" t="s">
        <v>31</v>
      </c>
    </row>
    <row r="7" spans="1:6" ht="15" thickBot="1" x14ac:dyDescent="0.35">
      <c r="A7" s="60" t="s">
        <v>149</v>
      </c>
      <c r="B7" s="134">
        <f ca="1">(YEAR(NOW())-YEAR(B6))</f>
        <v>30</v>
      </c>
      <c r="C7" s="25"/>
      <c r="D7" s="25" t="s">
        <v>20</v>
      </c>
      <c r="E7" s="135">
        <v>3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>
        <v>3</v>
      </c>
      <c r="F8" s="27" t="s">
        <v>23</v>
      </c>
    </row>
    <row r="9" spans="1:6" x14ac:dyDescent="0.3">
      <c r="C9" s="27"/>
      <c r="D9" s="25" t="s">
        <v>24</v>
      </c>
      <c r="E9" s="135">
        <v>80</v>
      </c>
      <c r="F9" s="27" t="s">
        <v>25</v>
      </c>
    </row>
    <row r="10" spans="1:6" ht="15" thickBot="1" x14ac:dyDescent="0.35">
      <c r="C10" s="27"/>
      <c r="D10" s="26" t="s">
        <v>26</v>
      </c>
      <c r="E10" s="29">
        <v>3</v>
      </c>
      <c r="F10" s="30" t="s">
        <v>27</v>
      </c>
    </row>
    <row r="11" spans="1:6" ht="15" thickTop="1" x14ac:dyDescent="0.3">
      <c r="C11" s="27"/>
      <c r="D11" s="197" t="s">
        <v>28</v>
      </c>
      <c r="E11" s="191" t="s">
        <v>221</v>
      </c>
      <c r="F11" s="192"/>
    </row>
    <row r="12" spans="1:6" x14ac:dyDescent="0.3">
      <c r="C12" s="27"/>
      <c r="D12" s="198"/>
      <c r="E12" s="193"/>
      <c r="F12" s="194"/>
    </row>
    <row r="13" spans="1:6" ht="15" thickBot="1" x14ac:dyDescent="0.35">
      <c r="C13" s="27"/>
      <c r="D13" s="199"/>
      <c r="E13" s="195"/>
      <c r="F13" s="196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D25" sqref="D25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0" t="s">
        <v>32</v>
      </c>
      <c r="B3" s="201"/>
    </row>
    <row r="4" spans="1:9" ht="15" thickTop="1" x14ac:dyDescent="0.3">
      <c r="A4" s="24" t="s">
        <v>17</v>
      </c>
      <c r="B4" s="18" t="str">
        <f>'Algemene informatie'!B4</f>
        <v xml:space="preserve"> T2A_69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33940</v>
      </c>
    </row>
    <row r="7" spans="1:9" ht="15.6" thickTop="1" thickBot="1" x14ac:dyDescent="0.35"/>
    <row r="8" spans="1:9" ht="15.6" thickTop="1" thickBot="1" x14ac:dyDescent="0.35">
      <c r="A8" s="200" t="s">
        <v>58</v>
      </c>
      <c r="B8" s="201"/>
    </row>
    <row r="9" spans="1:9" ht="15" thickTop="1" x14ac:dyDescent="0.3">
      <c r="A9" s="25" t="s">
        <v>59</v>
      </c>
      <c r="B9" s="20">
        <v>44817</v>
      </c>
    </row>
    <row r="10" spans="1:9" x14ac:dyDescent="0.3">
      <c r="A10" s="25" t="s">
        <v>209</v>
      </c>
      <c r="B10" s="20" t="s">
        <v>226</v>
      </c>
    </row>
    <row r="11" spans="1:9" ht="15" thickBot="1" x14ac:dyDescent="0.35">
      <c r="A11" s="26" t="s">
        <v>60</v>
      </c>
      <c r="B11" s="58">
        <v>0.47916666666666669</v>
      </c>
    </row>
    <row r="12" spans="1:9" ht="15.6" thickTop="1" thickBot="1" x14ac:dyDescent="0.35"/>
    <row r="13" spans="1:9" ht="15.6" thickTop="1" thickBot="1" x14ac:dyDescent="0.35">
      <c r="A13" s="210" t="s">
        <v>39</v>
      </c>
      <c r="B13" s="211"/>
      <c r="C13" s="211"/>
      <c r="D13" s="211"/>
      <c r="E13" s="212"/>
      <c r="F13" s="206" t="s">
        <v>38</v>
      </c>
      <c r="G13" s="207"/>
      <c r="H13" s="216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8"/>
      <c r="G14" s="209"/>
      <c r="H14" s="217"/>
      <c r="I14" s="1"/>
    </row>
    <row r="15" spans="1:9" ht="15" thickTop="1" x14ac:dyDescent="0.3">
      <c r="A15" s="45" t="s">
        <v>40</v>
      </c>
      <c r="B15" s="46">
        <v>95.853999999999999</v>
      </c>
      <c r="C15" s="47">
        <v>95.847999999999999</v>
      </c>
      <c r="D15" s="48"/>
      <c r="E15" s="27" t="s">
        <v>1</v>
      </c>
      <c r="F15" s="2">
        <f>+(C15-B15)/B15</f>
        <v>-6.2595196861896501E-5</v>
      </c>
      <c r="G15" s="27" t="str">
        <f>IF(ABS(F15)&gt;1%,"Yes","No")</f>
        <v>No</v>
      </c>
      <c r="H15" s="34">
        <f>IF(D15=0,AVERAGE(B15,C15),MEDIAN(B15:D15))</f>
        <v>95.850999999999999</v>
      </c>
    </row>
    <row r="16" spans="1:9" x14ac:dyDescent="0.3">
      <c r="A16" s="38" t="s">
        <v>41</v>
      </c>
      <c r="B16" s="5">
        <v>197.8</v>
      </c>
      <c r="C16" s="4">
        <v>197.8</v>
      </c>
      <c r="D16" s="6"/>
      <c r="E16" s="27" t="s">
        <v>2</v>
      </c>
      <c r="F16" s="2">
        <f t="shared" ref="F16:F27" si="0">+(C16-B16)/B16</f>
        <v>0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197.8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5</v>
      </c>
      <c r="C18" s="4">
        <v>5.4</v>
      </c>
      <c r="D18" s="6">
        <v>5.0999999999999996</v>
      </c>
      <c r="E18" s="27" t="s">
        <v>3</v>
      </c>
      <c r="F18" s="2">
        <f t="shared" si="0"/>
        <v>8.0000000000000071E-2</v>
      </c>
      <c r="G18" s="27" t="str">
        <f>IF(ABS(F18)&gt;5%,"Yes","No")</f>
        <v>Yes</v>
      </c>
      <c r="H18" s="34">
        <f t="shared" si="2"/>
        <v>5.0999999999999996</v>
      </c>
      <c r="I18" s="218" t="s">
        <v>163</v>
      </c>
      <c r="J18" s="220"/>
      <c r="K18" s="137"/>
      <c r="L18" s="138">
        <v>36.299999999999997</v>
      </c>
      <c r="M18" s="138" t="s">
        <v>2</v>
      </c>
    </row>
    <row r="19" spans="1:13" x14ac:dyDescent="0.3">
      <c r="A19" s="41" t="s">
        <v>43</v>
      </c>
      <c r="B19" s="5">
        <v>12.6</v>
      </c>
      <c r="C19" s="4">
        <v>12.3</v>
      </c>
      <c r="D19" s="6"/>
      <c r="E19" s="27" t="s">
        <v>3</v>
      </c>
      <c r="F19" s="2">
        <f t="shared" si="0"/>
        <v>-2.3809523809523725E-2</v>
      </c>
      <c r="G19" s="27" t="str">
        <f t="shared" ref="G19:G21" si="3">IF(ABS(F19)&gt;5%,"Yes","No")</f>
        <v>No</v>
      </c>
      <c r="H19" s="34">
        <f t="shared" si="2"/>
        <v>12.45</v>
      </c>
      <c r="I19" s="218" t="s">
        <v>162</v>
      </c>
      <c r="J19" s="220"/>
      <c r="K19" s="220"/>
      <c r="L19" s="138">
        <f>L18/2</f>
        <v>18.149999999999999</v>
      </c>
      <c r="M19" s="138" t="s">
        <v>2</v>
      </c>
    </row>
    <row r="20" spans="1:13" x14ac:dyDescent="0.3">
      <c r="A20" s="40" t="s">
        <v>44</v>
      </c>
      <c r="B20" s="5">
        <v>10.9</v>
      </c>
      <c r="C20" s="4">
        <v>10.6</v>
      </c>
      <c r="D20" s="6"/>
      <c r="E20" s="27" t="s">
        <v>3</v>
      </c>
      <c r="F20" s="2">
        <f t="shared" si="0"/>
        <v>-2.7522935779816578E-2</v>
      </c>
      <c r="G20" s="27" t="str">
        <f t="shared" si="3"/>
        <v>No</v>
      </c>
      <c r="H20" s="34">
        <f t="shared" si="2"/>
        <v>10.75</v>
      </c>
    </row>
    <row r="21" spans="1:13" x14ac:dyDescent="0.3">
      <c r="A21" s="40" t="s">
        <v>45</v>
      </c>
      <c r="B21" s="5">
        <v>19.399999999999999</v>
      </c>
      <c r="C21" s="4">
        <v>19.2</v>
      </c>
      <c r="D21" s="6"/>
      <c r="E21" s="27" t="s">
        <v>3</v>
      </c>
      <c r="F21" s="2">
        <f t="shared" si="0"/>
        <v>-1.0309278350515427E-2</v>
      </c>
      <c r="G21" s="27" t="str">
        <f t="shared" si="3"/>
        <v>No</v>
      </c>
      <c r="H21" s="34">
        <f t="shared" si="2"/>
        <v>19.299999999999997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49.4</v>
      </c>
      <c r="C23" s="4">
        <v>50</v>
      </c>
      <c r="D23" s="6">
        <v>50.1</v>
      </c>
      <c r="E23" s="27" t="s">
        <v>2</v>
      </c>
      <c r="F23" s="2">
        <f>+(C23-B23)/B23</f>
        <v>1.2145748987854281E-2</v>
      </c>
      <c r="G23" s="27" t="str">
        <f t="shared" si="1"/>
        <v>Yes</v>
      </c>
      <c r="H23" s="34">
        <f t="shared" si="2"/>
        <v>50</v>
      </c>
      <c r="I23" s="218" t="s">
        <v>170</v>
      </c>
      <c r="J23" s="219"/>
      <c r="K23" s="219"/>
      <c r="L23" s="139">
        <f>B23-(B23/2)</f>
        <v>24.7</v>
      </c>
      <c r="M23" s="31" t="s">
        <v>2</v>
      </c>
    </row>
    <row r="24" spans="1:13" x14ac:dyDescent="0.3">
      <c r="A24" s="43" t="s">
        <v>49</v>
      </c>
      <c r="B24" s="5">
        <v>60.2</v>
      </c>
      <c r="C24" s="4">
        <v>61</v>
      </c>
      <c r="D24" s="6">
        <v>61</v>
      </c>
      <c r="E24" s="27" t="s">
        <v>2</v>
      </c>
      <c r="F24" s="2">
        <f t="shared" si="0"/>
        <v>1.328903654485045E-2</v>
      </c>
      <c r="G24" s="27" t="str">
        <f t="shared" si="1"/>
        <v>Yes</v>
      </c>
      <c r="H24" s="34">
        <f t="shared" si="2"/>
        <v>61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43.4</v>
      </c>
      <c r="C26" s="4">
        <v>43</v>
      </c>
      <c r="D26" s="6"/>
      <c r="E26" s="27" t="s">
        <v>2</v>
      </c>
      <c r="F26" s="2">
        <f t="shared" si="0"/>
        <v>-9.2165898617511191E-3</v>
      </c>
      <c r="G26" s="27" t="str">
        <f t="shared" si="1"/>
        <v>No</v>
      </c>
      <c r="H26" s="34">
        <f t="shared" si="2"/>
        <v>43.2</v>
      </c>
    </row>
    <row r="27" spans="1:13" x14ac:dyDescent="0.3">
      <c r="A27" s="41" t="s">
        <v>52</v>
      </c>
      <c r="B27" s="55">
        <v>46.1</v>
      </c>
      <c r="C27" s="56">
        <v>46</v>
      </c>
      <c r="D27" s="57"/>
      <c r="E27" s="27" t="s">
        <v>2</v>
      </c>
      <c r="F27" s="2">
        <f t="shared" si="0"/>
        <v>-2.1691973969631545E-3</v>
      </c>
      <c r="G27" s="27" t="str">
        <f t="shared" si="1"/>
        <v>No</v>
      </c>
      <c r="H27" s="34">
        <f t="shared" si="2"/>
        <v>46.05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6"/>
      <c r="D29" s="157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3" t="s">
        <v>169</v>
      </c>
      <c r="J29" s="215"/>
      <c r="K29" s="138" t="str">
        <f>B4&amp;"_Biceps"</f>
        <v xml:space="preserve"> T2A_69_Biceps</v>
      </c>
    </row>
    <row r="30" spans="1:13" x14ac:dyDescent="0.3">
      <c r="A30" s="41" t="s">
        <v>55</v>
      </c>
      <c r="B30" s="5"/>
      <c r="C30" s="156"/>
      <c r="D30" s="157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3" t="s">
        <v>169</v>
      </c>
      <c r="J30" s="215"/>
      <c r="K30" s="138" t="str">
        <f>B4&amp;"_Triceps"</f>
        <v xml:space="preserve"> T2A_69_Triceps</v>
      </c>
    </row>
    <row r="31" spans="1:13" x14ac:dyDescent="0.3">
      <c r="A31" s="40" t="s">
        <v>56</v>
      </c>
      <c r="B31" s="5"/>
      <c r="C31" s="156"/>
      <c r="D31" s="157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3" t="s">
        <v>169</v>
      </c>
      <c r="J31" s="215"/>
      <c r="K31" s="138" t="str">
        <f>B4&amp;"_Subscapular"</f>
        <v xml:space="preserve"> T2A_69_Subscapular</v>
      </c>
    </row>
    <row r="32" spans="1:13" ht="15" thickBot="1" x14ac:dyDescent="0.35">
      <c r="A32" s="44" t="s">
        <v>57</v>
      </c>
      <c r="B32" s="32"/>
      <c r="C32" s="158"/>
      <c r="D32" s="159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3" t="s">
        <v>169</v>
      </c>
      <c r="J32" s="215"/>
      <c r="K32" s="138" t="str">
        <f>B4&amp;"_Iliac"</f>
        <v xml:space="preserve"> T2A_69_Iliac</v>
      </c>
    </row>
    <row r="33" spans="1:11" ht="15.6" thickTop="1" thickBot="1" x14ac:dyDescent="0.35">
      <c r="A33" s="131"/>
      <c r="B33" s="63"/>
      <c r="C33" s="63"/>
      <c r="D33" s="2"/>
      <c r="E33" s="2"/>
      <c r="F33" s="2"/>
      <c r="G33" s="125" t="s">
        <v>148</v>
      </c>
      <c r="H33" s="126">
        <f>SUM(H18:H21)</f>
        <v>47.599999999999994</v>
      </c>
    </row>
    <row r="34" spans="1:11" ht="15.6" thickTop="1" thickBot="1" x14ac:dyDescent="0.35">
      <c r="A34" s="200" t="s">
        <v>159</v>
      </c>
      <c r="B34" s="202"/>
      <c r="C34" s="202"/>
      <c r="D34" s="201"/>
      <c r="E34" s="98"/>
      <c r="F34" s="2"/>
      <c r="G34" s="63"/>
      <c r="H34" s="2"/>
    </row>
    <row r="35" spans="1:11" ht="15.6" thickTop="1" thickBot="1" x14ac:dyDescent="0.35">
      <c r="A35" s="210" t="s">
        <v>161</v>
      </c>
      <c r="B35" s="211"/>
      <c r="C35" s="211"/>
      <c r="D35" s="212"/>
      <c r="E35" s="2"/>
      <c r="F35" s="2"/>
      <c r="G35" s="2"/>
      <c r="H35" s="2"/>
    </row>
    <row r="36" spans="1:11" ht="15.6" thickTop="1" thickBot="1" x14ac:dyDescent="0.35">
      <c r="A36" s="132" t="s">
        <v>160</v>
      </c>
      <c r="B36" s="68" t="s">
        <v>147</v>
      </c>
      <c r="C36" s="132" t="s">
        <v>150</v>
      </c>
      <c r="D36" s="133"/>
      <c r="E36" s="213" t="s">
        <v>171</v>
      </c>
      <c r="F36" s="214"/>
      <c r="G36" s="140">
        <f ca="1">'Algemene informatie'!B7</f>
        <v>30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23.489435123856538</v>
      </c>
      <c r="C37" s="27">
        <f>(495/(1.1369-(0.0598*LOG(H33))))-450</f>
        <v>27.532296359555005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18.612095812410246</v>
      </c>
      <c r="C38" s="27">
        <f>(495/(1.1549-(0.0678*LOG(H33))))-450</f>
        <v>25.432049511172693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18.273194748772141</v>
      </c>
      <c r="C39" s="27">
        <f>(495/(1.1599-(0.0717*LOG(H33))))-450</f>
        <v>26.137534693913835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156</v>
      </c>
      <c r="B40" s="27">
        <f>(495/(1.1422-(0.0544*LOG(H33))))-450</f>
        <v>21.007722990301659</v>
      </c>
      <c r="C40" s="27">
        <f>(495/(1.1423-(0.0632*LOG(H33))))-450</f>
        <v>27.672321611290954</v>
      </c>
      <c r="D40" s="27" t="s">
        <v>13</v>
      </c>
      <c r="E40" s="2"/>
      <c r="F40" s="2"/>
      <c r="G40" s="2"/>
      <c r="H40" s="2"/>
      <c r="J40" s="130"/>
      <c r="K40" s="130"/>
    </row>
    <row r="41" spans="1:11" x14ac:dyDescent="0.3">
      <c r="A41" s="25" t="s">
        <v>157</v>
      </c>
      <c r="B41" s="27">
        <f>(495/(1.162-(0.07*LOG(H33))))-450</f>
        <v>23.880331996600262</v>
      </c>
      <c r="C41" s="27">
        <f>(495/(1.1333-(0.0612*LOG(H33))))-450</f>
        <v>30.288543620868779</v>
      </c>
      <c r="D41" s="27" t="s">
        <v>13</v>
      </c>
      <c r="E41" s="2"/>
      <c r="F41" s="2"/>
      <c r="G41" s="2"/>
      <c r="H41" s="2"/>
      <c r="J41" s="130"/>
      <c r="K41" s="130"/>
    </row>
    <row r="42" spans="1:11" ht="15" thickBot="1" x14ac:dyDescent="0.35">
      <c r="A42" s="26" t="s">
        <v>158</v>
      </c>
      <c r="B42" s="30">
        <f>(495/(1.1715-(0.0779*LOG(H33))))-450</f>
        <v>25.589107200294734</v>
      </c>
      <c r="C42" s="30">
        <f>(495/(1.1339-(0.0645*LOG(H33))))-450</f>
        <v>32.599908298410639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0" t="s">
        <v>86</v>
      </c>
      <c r="B44" s="201"/>
      <c r="D44" s="2"/>
      <c r="E44" s="2"/>
      <c r="F44" s="2"/>
      <c r="G44" s="2"/>
      <c r="H44" s="2"/>
    </row>
    <row r="45" spans="1:11" ht="15" thickTop="1" x14ac:dyDescent="0.3">
      <c r="A45" s="25" t="s">
        <v>194</v>
      </c>
      <c r="B45" s="160" t="str">
        <f>B4&amp;"_PRE_Biceps"</f>
        <v xml:space="preserve"> T2A_69_PRE_Biceps</v>
      </c>
      <c r="D45" s="2"/>
      <c r="E45" s="2"/>
      <c r="F45" s="2"/>
      <c r="G45" s="2"/>
      <c r="H45" s="2"/>
    </row>
    <row r="46" spans="1:11" x14ac:dyDescent="0.3">
      <c r="A46" s="25"/>
      <c r="B46" s="141" t="str">
        <f>B4&amp;"_PRE_Triceps"</f>
        <v xml:space="preserve"> T2A_69_PRE_Triceps</v>
      </c>
      <c r="D46" s="2"/>
      <c r="E46" s="2"/>
      <c r="F46" s="2"/>
      <c r="G46" s="2"/>
      <c r="H46" s="2"/>
    </row>
    <row r="47" spans="1:11" x14ac:dyDescent="0.3">
      <c r="A47" s="25"/>
      <c r="B47" s="141" t="str">
        <f>B4&amp;"_PRE_Subscapula"</f>
        <v xml:space="preserve"> T2A_69_PRE_Subscapula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1" t="str">
        <f>B4&amp;"_PRE_Crista"</f>
        <v xml:space="preserve"> T2A_69_PRE_Crista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0" t="s">
        <v>109</v>
      </c>
      <c r="B50" s="202"/>
      <c r="C50" s="201"/>
    </row>
    <row r="51" spans="1:3" ht="15" thickTop="1" x14ac:dyDescent="0.3">
      <c r="A51" s="191" t="s">
        <v>223</v>
      </c>
      <c r="B51" s="203"/>
      <c r="C51" s="192"/>
    </row>
    <row r="52" spans="1:3" x14ac:dyDescent="0.3">
      <c r="A52" s="193"/>
      <c r="B52" s="204"/>
      <c r="C52" s="194"/>
    </row>
    <row r="53" spans="1:3" x14ac:dyDescent="0.3">
      <c r="A53" s="193"/>
      <c r="B53" s="204"/>
      <c r="C53" s="194"/>
    </row>
    <row r="54" spans="1:3" x14ac:dyDescent="0.3">
      <c r="A54" s="193"/>
      <c r="B54" s="204"/>
      <c r="C54" s="194"/>
    </row>
    <row r="55" spans="1:3" ht="15" thickBot="1" x14ac:dyDescent="0.35">
      <c r="A55" s="195"/>
      <c r="B55" s="205"/>
      <c r="C55" s="196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51" zoomScaleNormal="100" workbookViewId="0">
      <selection activeCell="D69" sqref="D69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 xml:space="preserve"> T2A_69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33940</v>
      </c>
      <c r="C6" s="27"/>
    </row>
    <row r="7" spans="1:3" x14ac:dyDescent="0.3">
      <c r="A7" s="59" t="s">
        <v>62</v>
      </c>
      <c r="B7" s="61">
        <f>'1A. Antropometrie'!H16</f>
        <v>197.8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95.850999999999999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'1A. Antropometrie'!B9</f>
        <v>44817</v>
      </c>
      <c r="C11" s="27"/>
    </row>
    <row r="12" spans="1:3" x14ac:dyDescent="0.3">
      <c r="A12" s="25" t="s">
        <v>207</v>
      </c>
      <c r="B12" s="67" t="s">
        <v>224</v>
      </c>
      <c r="C12" s="27"/>
    </row>
    <row r="13" spans="1:3" x14ac:dyDescent="0.3">
      <c r="A13" s="25" t="s">
        <v>60</v>
      </c>
      <c r="B13" s="71">
        <v>0.5</v>
      </c>
      <c r="C13" s="27" t="s">
        <v>108</v>
      </c>
    </row>
    <row r="14" spans="1:3" x14ac:dyDescent="0.3">
      <c r="A14" s="70" t="s">
        <v>63</v>
      </c>
      <c r="B14" s="16">
        <v>19.3</v>
      </c>
      <c r="C14" s="27" t="s">
        <v>12</v>
      </c>
    </row>
    <row r="15" spans="1:3" x14ac:dyDescent="0.3">
      <c r="A15" s="70" t="s">
        <v>75</v>
      </c>
      <c r="B15" s="75">
        <v>70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227</v>
      </c>
      <c r="C17" s="27"/>
    </row>
    <row r="18" spans="1:7" x14ac:dyDescent="0.3">
      <c r="A18" s="76" t="s">
        <v>78</v>
      </c>
      <c r="B18" s="75" t="s">
        <v>231</v>
      </c>
      <c r="C18" s="27" t="s">
        <v>80</v>
      </c>
    </row>
    <row r="19" spans="1:7" ht="15" thickBot="1" x14ac:dyDescent="0.35">
      <c r="A19" s="77" t="s">
        <v>79</v>
      </c>
      <c r="B19" s="29" t="s">
        <v>231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0" t="s">
        <v>64</v>
      </c>
      <c r="B21" s="202"/>
      <c r="C21" s="202"/>
      <c r="D21" s="201"/>
    </row>
    <row r="22" spans="1:7" ht="15.6" thickTop="1" thickBot="1" x14ac:dyDescent="0.35">
      <c r="A22" s="221" t="s">
        <v>73</v>
      </c>
      <c r="B22" s="222"/>
      <c r="C22" s="221" t="s">
        <v>74</v>
      </c>
      <c r="D22" s="222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0" t="s">
        <v>164</v>
      </c>
      <c r="B32" s="202"/>
      <c r="C32" s="202"/>
      <c r="D32" s="202"/>
      <c r="E32" s="202"/>
      <c r="F32" s="202"/>
      <c r="G32" s="201"/>
    </row>
    <row r="33" spans="1:11" ht="15.6" thickTop="1" thickBot="1" x14ac:dyDescent="0.35">
      <c r="A33" s="116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7">
        <v>4.1666666666666664E-2</v>
      </c>
      <c r="B34" s="47">
        <v>100</v>
      </c>
      <c r="C34" s="47">
        <v>2281</v>
      </c>
      <c r="D34" s="47">
        <v>112</v>
      </c>
      <c r="E34" s="47">
        <v>0.78</v>
      </c>
      <c r="F34" s="81">
        <v>0</v>
      </c>
      <c r="G34" s="27">
        <v>465</v>
      </c>
    </row>
    <row r="35" spans="1:11" x14ac:dyDescent="0.3">
      <c r="A35" s="118">
        <v>8.3333333333333329E-2</v>
      </c>
      <c r="B35" s="4">
        <v>100</v>
      </c>
      <c r="C35" s="4">
        <v>1863</v>
      </c>
      <c r="D35" s="4">
        <v>113</v>
      </c>
      <c r="E35" s="4">
        <v>0.85</v>
      </c>
      <c r="F35" s="4">
        <v>1</v>
      </c>
      <c r="G35" s="79">
        <v>467</v>
      </c>
    </row>
    <row r="36" spans="1:11" x14ac:dyDescent="0.3">
      <c r="A36" s="118">
        <v>0.125</v>
      </c>
      <c r="B36" s="4">
        <v>100</v>
      </c>
      <c r="C36" s="4">
        <v>2104</v>
      </c>
      <c r="D36" s="4">
        <v>117</v>
      </c>
      <c r="E36" s="4">
        <v>0.89</v>
      </c>
      <c r="F36" s="4">
        <v>2</v>
      </c>
      <c r="G36" s="79">
        <v>465</v>
      </c>
    </row>
    <row r="37" spans="1:11" x14ac:dyDescent="0.3">
      <c r="A37" s="118">
        <v>0.16666666666666666</v>
      </c>
      <c r="B37" s="4">
        <f>B36+25</f>
        <v>125</v>
      </c>
      <c r="C37" s="4">
        <v>2116</v>
      </c>
      <c r="D37" s="4">
        <v>126</v>
      </c>
      <c r="E37" s="4">
        <v>0.93</v>
      </c>
      <c r="F37" s="4">
        <v>2</v>
      </c>
      <c r="G37" s="27">
        <v>482</v>
      </c>
    </row>
    <row r="38" spans="1:11" x14ac:dyDescent="0.3">
      <c r="A38" s="118">
        <v>0.20833333333333334</v>
      </c>
      <c r="B38" s="4">
        <f t="shared" ref="B38:B48" si="0">B37+25</f>
        <v>150</v>
      </c>
      <c r="C38" s="4">
        <v>2318</v>
      </c>
      <c r="D38" s="4">
        <v>129</v>
      </c>
      <c r="E38" s="4">
        <v>0.91</v>
      </c>
      <c r="F38" s="4">
        <v>2</v>
      </c>
      <c r="G38" s="82">
        <v>487</v>
      </c>
    </row>
    <row r="39" spans="1:11" x14ac:dyDescent="0.3">
      <c r="A39" s="118">
        <v>0.25</v>
      </c>
      <c r="B39" s="4">
        <f t="shared" si="0"/>
        <v>175</v>
      </c>
      <c r="C39" s="4">
        <v>2363</v>
      </c>
      <c r="D39" s="4">
        <v>137</v>
      </c>
      <c r="E39" s="4">
        <v>0.92</v>
      </c>
      <c r="F39" s="4">
        <v>2</v>
      </c>
      <c r="G39" s="79">
        <v>495</v>
      </c>
    </row>
    <row r="40" spans="1:11" x14ac:dyDescent="0.3">
      <c r="A40" s="118">
        <v>0.29166666666666669</v>
      </c>
      <c r="B40" s="4">
        <f t="shared" si="0"/>
        <v>200</v>
      </c>
      <c r="C40" s="4">
        <v>2968</v>
      </c>
      <c r="D40" s="4">
        <v>139</v>
      </c>
      <c r="E40" s="4">
        <v>0.95</v>
      </c>
      <c r="F40" s="4">
        <v>3</v>
      </c>
      <c r="G40" s="27">
        <v>510</v>
      </c>
    </row>
    <row r="41" spans="1:11" x14ac:dyDescent="0.3">
      <c r="A41" s="118">
        <v>0.33333333333333331</v>
      </c>
      <c r="B41" s="4">
        <f t="shared" si="0"/>
        <v>225</v>
      </c>
      <c r="C41" s="4">
        <v>2815</v>
      </c>
      <c r="D41" s="4">
        <v>144</v>
      </c>
      <c r="E41" s="4">
        <v>0.95</v>
      </c>
      <c r="F41" s="4">
        <v>3</v>
      </c>
      <c r="G41" s="82">
        <v>521</v>
      </c>
    </row>
    <row r="42" spans="1:11" x14ac:dyDescent="0.3">
      <c r="A42" s="118">
        <v>0.375</v>
      </c>
      <c r="B42" s="4">
        <f t="shared" si="0"/>
        <v>250</v>
      </c>
      <c r="C42" s="4">
        <v>3070</v>
      </c>
      <c r="D42" s="4">
        <v>148</v>
      </c>
      <c r="E42" s="4">
        <v>0.93</v>
      </c>
      <c r="F42" s="4">
        <v>3</v>
      </c>
      <c r="G42" s="79">
        <v>523</v>
      </c>
    </row>
    <row r="43" spans="1:11" x14ac:dyDescent="0.3">
      <c r="A43" s="118">
        <v>0.41666666666666669</v>
      </c>
      <c r="B43" s="4">
        <f t="shared" si="0"/>
        <v>275</v>
      </c>
      <c r="C43" s="4">
        <v>3445</v>
      </c>
      <c r="D43" s="4">
        <v>151</v>
      </c>
      <c r="E43" s="4">
        <v>0.95</v>
      </c>
      <c r="F43" s="4">
        <v>4</v>
      </c>
      <c r="G43" s="27">
        <v>529</v>
      </c>
      <c r="K43" s="11"/>
    </row>
    <row r="44" spans="1:11" x14ac:dyDescent="0.3">
      <c r="A44" s="118">
        <v>0.45833333333333331</v>
      </c>
      <c r="B44" s="4">
        <f t="shared" si="0"/>
        <v>300</v>
      </c>
      <c r="C44" s="4">
        <v>3551</v>
      </c>
      <c r="D44" s="4">
        <v>154</v>
      </c>
      <c r="E44" s="4">
        <v>0.96</v>
      </c>
      <c r="F44" s="4">
        <v>4</v>
      </c>
      <c r="G44" s="82">
        <v>535</v>
      </c>
    </row>
    <row r="45" spans="1:11" x14ac:dyDescent="0.3">
      <c r="A45" s="118">
        <v>0.5</v>
      </c>
      <c r="B45" s="4">
        <f t="shared" si="0"/>
        <v>325</v>
      </c>
      <c r="C45" s="4">
        <v>3719</v>
      </c>
      <c r="D45" s="4">
        <v>160</v>
      </c>
      <c r="E45" s="4">
        <v>0.99</v>
      </c>
      <c r="F45" s="4">
        <v>4</v>
      </c>
      <c r="G45" s="82">
        <v>540</v>
      </c>
    </row>
    <row r="46" spans="1:11" x14ac:dyDescent="0.3">
      <c r="A46" s="118">
        <v>0.54166666666666663</v>
      </c>
      <c r="B46" s="4">
        <f t="shared" si="0"/>
        <v>350</v>
      </c>
      <c r="C46" s="4">
        <v>3916</v>
      </c>
      <c r="D46" s="4">
        <v>164</v>
      </c>
      <c r="E46" s="4">
        <v>1.06</v>
      </c>
      <c r="F46" s="4">
        <v>5</v>
      </c>
      <c r="G46" s="79">
        <v>543</v>
      </c>
    </row>
    <row r="47" spans="1:11" x14ac:dyDescent="0.3">
      <c r="A47" s="118">
        <v>0.58333333333333337</v>
      </c>
      <c r="B47" s="4">
        <f t="shared" si="0"/>
        <v>375</v>
      </c>
      <c r="C47" s="4">
        <v>4591</v>
      </c>
      <c r="D47" s="4">
        <v>169</v>
      </c>
      <c r="E47" s="4">
        <v>1.1100000000000001</v>
      </c>
      <c r="F47" s="4">
        <v>6</v>
      </c>
      <c r="G47" s="79">
        <v>558</v>
      </c>
    </row>
    <row r="48" spans="1:11" x14ac:dyDescent="0.3">
      <c r="A48" s="117">
        <v>0.625</v>
      </c>
      <c r="B48" s="4">
        <f t="shared" si="0"/>
        <v>400</v>
      </c>
      <c r="C48" s="47">
        <v>4767</v>
      </c>
      <c r="D48" s="47">
        <v>173</v>
      </c>
      <c r="E48" s="47">
        <v>1.1299999999999999</v>
      </c>
      <c r="F48" s="47">
        <v>7</v>
      </c>
      <c r="G48" s="79">
        <v>642</v>
      </c>
    </row>
    <row r="49" spans="1:8" x14ac:dyDescent="0.3">
      <c r="A49" s="118">
        <v>0.66666666666666663</v>
      </c>
      <c r="B49" s="4">
        <f>B48+25</f>
        <v>425</v>
      </c>
      <c r="C49" s="4" t="s">
        <v>232</v>
      </c>
      <c r="D49" s="4"/>
      <c r="E49" s="4"/>
      <c r="F49" s="4"/>
      <c r="G49" s="79"/>
    </row>
    <row r="50" spans="1:8" x14ac:dyDescent="0.3">
      <c r="A50" s="118">
        <v>0.70833333333333337</v>
      </c>
      <c r="B50" s="4">
        <f t="shared" ref="B50:B53" si="1">B49+25</f>
        <v>450</v>
      </c>
      <c r="C50" s="152"/>
      <c r="D50" s="4"/>
      <c r="E50" s="4"/>
      <c r="F50" s="4"/>
      <c r="G50" s="121"/>
      <c r="H50" s="98"/>
    </row>
    <row r="51" spans="1:8" x14ac:dyDescent="0.3">
      <c r="A51" s="117">
        <v>0.75</v>
      </c>
      <c r="B51" s="4">
        <f t="shared" si="1"/>
        <v>475</v>
      </c>
      <c r="C51" s="153"/>
      <c r="D51" s="47"/>
      <c r="E51" s="47"/>
      <c r="F51" s="47"/>
      <c r="G51" s="121"/>
    </row>
    <row r="52" spans="1:8" x14ac:dyDescent="0.3">
      <c r="A52" s="117">
        <v>0.79166666666666663</v>
      </c>
      <c r="B52" s="4">
        <f t="shared" si="1"/>
        <v>500</v>
      </c>
      <c r="C52" s="153"/>
      <c r="D52" s="47"/>
      <c r="E52" s="47"/>
      <c r="F52" s="47"/>
      <c r="G52" s="121"/>
      <c r="H52" s="98"/>
    </row>
    <row r="53" spans="1:8" ht="15" thickBot="1" x14ac:dyDescent="0.35">
      <c r="A53" s="155">
        <v>0.83333333333333337</v>
      </c>
      <c r="B53" s="33">
        <f t="shared" si="1"/>
        <v>525</v>
      </c>
      <c r="C53" s="154"/>
      <c r="D53" s="78"/>
      <c r="E53" s="78"/>
      <c r="F53" s="78"/>
      <c r="G53" s="21"/>
      <c r="H53" s="98"/>
    </row>
    <row r="54" spans="1:8" ht="15.6" thickTop="1" thickBot="1" x14ac:dyDescent="0.35">
      <c r="A54" s="149"/>
      <c r="B54" s="2"/>
      <c r="C54" s="2"/>
      <c r="D54" s="63"/>
      <c r="E54" s="2"/>
      <c r="F54" s="63"/>
      <c r="G54" s="2"/>
    </row>
    <row r="55" spans="1:8" ht="15.6" thickTop="1" thickBot="1" x14ac:dyDescent="0.35">
      <c r="A55" s="200" t="s">
        <v>192</v>
      </c>
      <c r="B55" s="202"/>
      <c r="C55" s="201"/>
      <c r="D55" s="2"/>
      <c r="E55" s="2"/>
      <c r="F55" s="2"/>
      <c r="G55" s="2"/>
    </row>
    <row r="56" spans="1:8" ht="15.6" thickTop="1" thickBot="1" x14ac:dyDescent="0.35">
      <c r="A56" t="s">
        <v>214</v>
      </c>
      <c r="B56" s="188">
        <v>4309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8" t="s">
        <v>193</v>
      </c>
      <c r="B57" s="180">
        <f>B56/B8</f>
        <v>44.955190869161513</v>
      </c>
      <c r="C57" s="150" t="s">
        <v>186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200" t="s">
        <v>86</v>
      </c>
      <c r="B59" s="202"/>
      <c r="C59" s="201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 xml:space="preserve"> T2A_69_VO2max_PRE_STEP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 xml:space="preserve"> T2A_69_VO2max_PRE_STEP10sec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0" t="s">
        <v>109</v>
      </c>
      <c r="B63" s="202"/>
      <c r="C63" s="201"/>
    </row>
    <row r="64" spans="1:8" ht="15" thickTop="1" x14ac:dyDescent="0.3">
      <c r="A64" s="191"/>
      <c r="B64" s="203"/>
      <c r="C64" s="192"/>
      <c r="D64" s="2"/>
    </row>
    <row r="65" spans="1:4" x14ac:dyDescent="0.3">
      <c r="A65" s="193"/>
      <c r="B65" s="204"/>
      <c r="C65" s="194"/>
      <c r="D65" s="2"/>
    </row>
    <row r="66" spans="1:4" x14ac:dyDescent="0.3">
      <c r="A66" s="193"/>
      <c r="B66" s="204"/>
      <c r="C66" s="194"/>
    </row>
    <row r="67" spans="1:4" x14ac:dyDescent="0.3">
      <c r="A67" s="193"/>
      <c r="B67" s="204"/>
      <c r="C67" s="194"/>
    </row>
    <row r="68" spans="1:4" ht="15" thickBot="1" x14ac:dyDescent="0.35">
      <c r="A68" s="195"/>
      <c r="B68" s="205"/>
      <c r="C68" s="196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tabSelected="1" topLeftCell="A11" zoomScaleNormal="100" workbookViewId="0">
      <selection activeCell="A26" sqref="A26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0" t="s">
        <v>32</v>
      </c>
      <c r="B3" s="201"/>
    </row>
    <row r="4" spans="1:3" ht="15" thickTop="1" x14ac:dyDescent="0.3">
      <c r="A4" s="24" t="s">
        <v>17</v>
      </c>
      <c r="B4" s="18" t="str">
        <f>'Algemene informatie'!B4</f>
        <v xml:space="preserve"> T2A_69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33940</v>
      </c>
    </row>
    <row r="7" spans="1:3" ht="15.6" thickTop="1" thickBot="1" x14ac:dyDescent="0.35"/>
    <row r="8" spans="1:3" ht="15.6" thickTop="1" thickBot="1" x14ac:dyDescent="0.35">
      <c r="A8" s="200" t="s">
        <v>58</v>
      </c>
      <c r="B8" s="201"/>
    </row>
    <row r="9" spans="1:3" ht="15" thickTop="1" x14ac:dyDescent="0.3">
      <c r="A9" s="25" t="s">
        <v>59</v>
      </c>
      <c r="B9" s="20">
        <v>44815</v>
      </c>
    </row>
    <row r="10" spans="1:3" x14ac:dyDescent="0.3">
      <c r="A10" s="25" t="s">
        <v>207</v>
      </c>
      <c r="B10" s="20" t="s">
        <v>224</v>
      </c>
    </row>
    <row r="11" spans="1:3" x14ac:dyDescent="0.3">
      <c r="A11" s="25" t="s">
        <v>60</v>
      </c>
      <c r="B11" s="127">
        <v>0.46527777777777773</v>
      </c>
    </row>
    <row r="12" spans="1:3" x14ac:dyDescent="0.3">
      <c r="A12" s="25" t="s">
        <v>151</v>
      </c>
      <c r="B12" s="181"/>
      <c r="C12" t="s">
        <v>2</v>
      </c>
    </row>
    <row r="13" spans="1:3" ht="15" thickBot="1" x14ac:dyDescent="0.35">
      <c r="A13" s="69" t="s">
        <v>167</v>
      </c>
      <c r="B13" s="128">
        <v>8</v>
      </c>
      <c r="C13" s="98" t="s">
        <v>2</v>
      </c>
    </row>
    <row r="14" spans="1:3" ht="15.6" thickTop="1" thickBot="1" x14ac:dyDescent="0.35">
      <c r="A14" s="68"/>
      <c r="B14" s="68" t="s">
        <v>222</v>
      </c>
    </row>
    <row r="15" spans="1:3" ht="15.6" thickTop="1" thickBot="1" x14ac:dyDescent="0.35">
      <c r="A15" s="200" t="s">
        <v>86</v>
      </c>
      <c r="B15" s="201"/>
    </row>
    <row r="16" spans="1:3" ht="15" thickTop="1" x14ac:dyDescent="0.3">
      <c r="A16" s="25" t="s">
        <v>88</v>
      </c>
      <c r="B16" s="18" t="str">
        <f>B4&amp;"_PRE_3D_scan1.mhd"</f>
        <v xml:space="preserve"> T2A_69_PRE_3D_scan1.mhd</v>
      </c>
    </row>
    <row r="17" spans="1:7" x14ac:dyDescent="0.3">
      <c r="A17" s="25" t="s">
        <v>89</v>
      </c>
      <c r="B17" s="18" t="str">
        <f>B4&amp;"_PRE_3D_scan2.mhd"</f>
        <v xml:space="preserve"> T2A_69_PRE_3D_scan2.mhd</v>
      </c>
    </row>
    <row r="18" spans="1:7" ht="15" thickBot="1" x14ac:dyDescent="0.35">
      <c r="A18" s="69" t="s">
        <v>166</v>
      </c>
      <c r="B18" s="89" t="str">
        <f>B4&amp;"_PRE_3D_botpunten.mhd"</f>
        <v xml:space="preserve"> T2A_69_PRE_3D_botpunten.mhd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200" t="s">
        <v>109</v>
      </c>
      <c r="B20" s="202"/>
      <c r="C20" s="201"/>
    </row>
    <row r="21" spans="1:7" ht="15" thickTop="1" x14ac:dyDescent="0.3">
      <c r="A21" s="191" t="s">
        <v>225</v>
      </c>
      <c r="B21" s="203"/>
      <c r="C21" s="192"/>
    </row>
    <row r="22" spans="1:7" x14ac:dyDescent="0.3">
      <c r="A22" s="193"/>
      <c r="B22" s="204"/>
      <c r="C22" s="194"/>
    </row>
    <row r="23" spans="1:7" x14ac:dyDescent="0.3">
      <c r="A23" s="193"/>
      <c r="B23" s="204"/>
      <c r="C23" s="194"/>
    </row>
    <row r="24" spans="1:7" x14ac:dyDescent="0.3">
      <c r="A24" s="193"/>
      <c r="B24" s="204"/>
      <c r="C24" s="194"/>
    </row>
    <row r="25" spans="1:7" ht="15" thickBot="1" x14ac:dyDescent="0.35">
      <c r="A25" s="195"/>
      <c r="B25" s="205"/>
      <c r="C25" s="196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31" workbookViewId="0">
      <selection activeCell="B35" sqref="B35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0" t="s">
        <v>32</v>
      </c>
      <c r="B3" s="202"/>
      <c r="C3" s="201"/>
    </row>
    <row r="4" spans="1:12" ht="15" thickTop="1" x14ac:dyDescent="0.3">
      <c r="A4" s="24" t="s">
        <v>17</v>
      </c>
      <c r="B4" s="85" t="str">
        <f>'Algemene informatie'!B4</f>
        <v xml:space="preserve"> T2A_69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33940</v>
      </c>
      <c r="C6" s="27"/>
    </row>
    <row r="7" spans="1:12" x14ac:dyDescent="0.3">
      <c r="A7" s="70" t="s">
        <v>61</v>
      </c>
      <c r="B7" s="91">
        <f>'1A. Antropometrie'!H15</f>
        <v>95.850999999999999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197.8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0" t="s">
        <v>58</v>
      </c>
      <c r="B10" s="202"/>
      <c r="C10" s="201"/>
    </row>
    <row r="11" spans="1:12" ht="15" thickTop="1" x14ac:dyDescent="0.3">
      <c r="A11" s="25" t="s">
        <v>59</v>
      </c>
      <c r="B11" s="72">
        <f>'2A. 3D US'!B9</f>
        <v>44815</v>
      </c>
      <c r="C11" s="27"/>
    </row>
    <row r="12" spans="1:12" x14ac:dyDescent="0.3">
      <c r="A12" s="25" t="s">
        <v>207</v>
      </c>
      <c r="B12" s="67" t="s">
        <v>226</v>
      </c>
      <c r="C12" s="27"/>
    </row>
    <row r="13" spans="1:12" x14ac:dyDescent="0.3">
      <c r="A13" s="25" t="s">
        <v>60</v>
      </c>
      <c r="B13" s="71">
        <v>0.51041666666666663</v>
      </c>
      <c r="C13" s="27"/>
    </row>
    <row r="14" spans="1:12" x14ac:dyDescent="0.3">
      <c r="A14" s="25" t="s">
        <v>63</v>
      </c>
      <c r="B14" s="91">
        <v>19.399999999999999</v>
      </c>
      <c r="C14" s="27" t="s">
        <v>12</v>
      </c>
    </row>
    <row r="15" spans="1:12" x14ac:dyDescent="0.3">
      <c r="A15" s="25" t="s">
        <v>75</v>
      </c>
      <c r="B15" s="91">
        <v>66</v>
      </c>
      <c r="C15" s="27" t="s">
        <v>13</v>
      </c>
    </row>
    <row r="16" spans="1:12" x14ac:dyDescent="0.3">
      <c r="A16" s="70" t="s">
        <v>77</v>
      </c>
      <c r="B16" s="129" t="s">
        <v>227</v>
      </c>
      <c r="C16" s="27"/>
    </row>
    <row r="17" spans="1:7" x14ac:dyDescent="0.3">
      <c r="A17" s="70" t="s">
        <v>91</v>
      </c>
      <c r="B17" s="129">
        <v>19.2</v>
      </c>
      <c r="C17" s="27"/>
    </row>
    <row r="18" spans="1:7" x14ac:dyDescent="0.3">
      <c r="A18" s="70" t="s">
        <v>92</v>
      </c>
      <c r="B18" s="129" t="s">
        <v>228</v>
      </c>
      <c r="C18" s="27"/>
    </row>
    <row r="19" spans="1:7" x14ac:dyDescent="0.3">
      <c r="A19" s="70" t="s">
        <v>93</v>
      </c>
      <c r="B19" s="129" t="s">
        <v>229</v>
      </c>
      <c r="C19" s="27"/>
    </row>
    <row r="20" spans="1:7" ht="15" thickBot="1" x14ac:dyDescent="0.35">
      <c r="A20" s="69" t="s">
        <v>94</v>
      </c>
      <c r="B20" s="93">
        <f>0.075*B7</f>
        <v>7.1888249999999996</v>
      </c>
      <c r="C20" s="30" t="s">
        <v>1</v>
      </c>
      <c r="D20" s="223" t="s">
        <v>103</v>
      </c>
      <c r="E20" s="224"/>
      <c r="F20" s="224"/>
      <c r="G20" s="224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0" t="s">
        <v>82</v>
      </c>
      <c r="B22" s="202"/>
      <c r="C22" s="201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168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152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152</v>
      </c>
      <c r="C30" s="105" t="s">
        <v>97</v>
      </c>
    </row>
    <row r="31" spans="1:7" ht="15.6" thickTop="1" thickBot="1" x14ac:dyDescent="0.35">
      <c r="A31" s="13"/>
      <c r="B31" s="147"/>
      <c r="C31" s="2"/>
    </row>
    <row r="32" spans="1:7" ht="15.6" thickTop="1" thickBot="1" x14ac:dyDescent="0.35">
      <c r="A32" s="200" t="s">
        <v>192</v>
      </c>
      <c r="B32" s="202"/>
      <c r="C32" s="201"/>
    </row>
    <row r="33" spans="1:4" ht="15.6" thickTop="1" thickBot="1" x14ac:dyDescent="0.35">
      <c r="A33" s="148" t="s">
        <v>213</v>
      </c>
      <c r="B33" s="180">
        <v>1152.3399999999999</v>
      </c>
      <c r="C33" s="150" t="s">
        <v>187</v>
      </c>
      <c r="D33" s="98"/>
    </row>
    <row r="34" spans="1:4" ht="15.6" thickTop="1" thickBot="1" x14ac:dyDescent="0.35">
      <c r="A34" s="179" t="s">
        <v>212</v>
      </c>
      <c r="B34" s="180">
        <f>B33/B7</f>
        <v>12.022201124662235</v>
      </c>
      <c r="C34" s="13" t="s">
        <v>187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0" t="s">
        <v>86</v>
      </c>
      <c r="B36" s="202"/>
      <c r="C36" s="201"/>
    </row>
    <row r="37" spans="1:4" ht="15.6" thickTop="1" thickBot="1" x14ac:dyDescent="0.35">
      <c r="A37" s="26" t="s">
        <v>104</v>
      </c>
      <c r="B37" s="225" t="str">
        <f>B4&amp;"_PRE_Wingate"</f>
        <v xml:space="preserve"> T2A_69_PRE_Wingate</v>
      </c>
      <c r="C37" s="226"/>
      <c r="D37" s="98"/>
    </row>
    <row r="38" spans="1:4" ht="15" thickBot="1" x14ac:dyDescent="0.35">
      <c r="C38" s="2"/>
    </row>
    <row r="39" spans="1:4" ht="15.6" thickTop="1" thickBot="1" x14ac:dyDescent="0.35">
      <c r="A39" s="200" t="s">
        <v>109</v>
      </c>
      <c r="B39" s="202"/>
      <c r="C39" s="201"/>
    </row>
    <row r="40" spans="1:4" ht="15" thickTop="1" x14ac:dyDescent="0.3">
      <c r="A40" s="191" t="s">
        <v>230</v>
      </c>
      <c r="B40" s="203"/>
      <c r="C40" s="192"/>
    </row>
    <row r="41" spans="1:4" x14ac:dyDescent="0.3">
      <c r="A41" s="193"/>
      <c r="B41" s="204"/>
      <c r="C41" s="194"/>
    </row>
    <row r="42" spans="1:4" x14ac:dyDescent="0.3">
      <c r="A42" s="193"/>
      <c r="B42" s="204"/>
      <c r="C42" s="194"/>
    </row>
    <row r="43" spans="1:4" x14ac:dyDescent="0.3">
      <c r="A43" s="193"/>
      <c r="B43" s="204"/>
      <c r="C43" s="194"/>
    </row>
    <row r="44" spans="1:4" ht="15" thickBot="1" x14ac:dyDescent="0.35">
      <c r="A44" s="195"/>
      <c r="B44" s="205"/>
      <c r="C44" s="196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1" workbookViewId="0">
      <selection activeCell="G20" sqref="G20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85" t="str">
        <f>'Algemene informatie'!B4</f>
        <v xml:space="preserve"> T2A_69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33940</v>
      </c>
      <c r="C6" s="27"/>
    </row>
    <row r="7" spans="1:3" x14ac:dyDescent="0.3">
      <c r="A7" s="70" t="s">
        <v>61</v>
      </c>
      <c r="B7" s="91">
        <f>'1A. Antropometrie'!H15</f>
        <v>95.850999999999999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197.8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v>44819</v>
      </c>
      <c r="C11" s="27"/>
    </row>
    <row r="12" spans="1:3" x14ac:dyDescent="0.3">
      <c r="A12" s="25" t="s">
        <v>207</v>
      </c>
      <c r="B12" s="187" t="s">
        <v>226</v>
      </c>
      <c r="C12" s="27"/>
    </row>
    <row r="13" spans="1:3" ht="15" thickBot="1" x14ac:dyDescent="0.35">
      <c r="A13" s="25" t="s">
        <v>60</v>
      </c>
      <c r="B13" s="95">
        <v>0.46875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200" t="s">
        <v>111</v>
      </c>
      <c r="B15" s="202"/>
      <c r="C15" s="201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0" t="s">
        <v>86</v>
      </c>
      <c r="B24" s="201"/>
      <c r="C24" s="98"/>
    </row>
    <row r="25" spans="1:12" ht="15" thickTop="1" x14ac:dyDescent="0.3">
      <c r="A25" s="24" t="s">
        <v>172</v>
      </c>
      <c r="B25" s="14" t="s">
        <v>233</v>
      </c>
      <c r="C25" s="98" t="s">
        <v>174</v>
      </c>
      <c r="D25" s="227" t="s">
        <v>120</v>
      </c>
      <c r="E25" s="227"/>
      <c r="F25" s="227"/>
      <c r="G25" s="227"/>
      <c r="H25" s="227"/>
      <c r="I25" s="227"/>
      <c r="J25" s="227"/>
      <c r="K25" s="227"/>
      <c r="L25" s="227"/>
    </row>
    <row r="26" spans="1:12" x14ac:dyDescent="0.3">
      <c r="A26" s="25" t="s">
        <v>172</v>
      </c>
      <c r="B26" s="141" t="str">
        <f>B4&amp;"_PRE_Leftfoot.DAT"</f>
        <v xml:space="preserve"> T2A_69_PRE_Leftfoot.DAT</v>
      </c>
      <c r="C26" s="98"/>
      <c r="D26" s="227" t="s">
        <v>120</v>
      </c>
      <c r="E26" s="227"/>
      <c r="F26" s="227"/>
      <c r="G26" s="227"/>
      <c r="H26" s="227"/>
      <c r="I26" s="227"/>
      <c r="J26" s="227"/>
      <c r="K26" s="227"/>
      <c r="L26" s="227"/>
    </row>
    <row r="27" spans="1:12" x14ac:dyDescent="0.3">
      <c r="A27" s="25" t="s">
        <v>173</v>
      </c>
      <c r="B27" s="141" t="s">
        <v>234</v>
      </c>
      <c r="C27" s="2" t="s">
        <v>174</v>
      </c>
      <c r="D27" s="2"/>
    </row>
    <row r="28" spans="1:12" x14ac:dyDescent="0.3">
      <c r="A28" s="25" t="s">
        <v>173</v>
      </c>
      <c r="B28" s="141" t="str">
        <f>B4&amp;"_PRE_Rightfoot.DAT"</f>
        <v xml:space="preserve"> T2A_69_PRE_Rightfoot.DAT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 xml:space="preserve"> T2A_69_PRE_Sprong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200" t="s">
        <v>109</v>
      </c>
      <c r="B31" s="202"/>
      <c r="C31" s="201"/>
    </row>
    <row r="32" spans="1:12" ht="15" thickTop="1" x14ac:dyDescent="0.3">
      <c r="A32" s="191"/>
      <c r="B32" s="203"/>
      <c r="C32" s="192"/>
    </row>
    <row r="33" spans="1:3" x14ac:dyDescent="0.3">
      <c r="A33" s="193"/>
      <c r="B33" s="204"/>
      <c r="C33" s="194"/>
    </row>
    <row r="34" spans="1:3" x14ac:dyDescent="0.3">
      <c r="A34" s="193"/>
      <c r="B34" s="204"/>
      <c r="C34" s="194"/>
    </row>
    <row r="35" spans="1:3" x14ac:dyDescent="0.3">
      <c r="A35" s="193"/>
      <c r="B35" s="204"/>
      <c r="C35" s="194"/>
    </row>
    <row r="36" spans="1:3" ht="15" thickBot="1" x14ac:dyDescent="0.35">
      <c r="A36" s="195"/>
      <c r="B36" s="205"/>
      <c r="C36" s="196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opLeftCell="A61" workbookViewId="0">
      <selection activeCell="G75" sqref="G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 xml:space="preserve"> T2A_69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33940</v>
      </c>
      <c r="C6" s="27"/>
    </row>
    <row r="7" spans="1:3" x14ac:dyDescent="0.3">
      <c r="A7" s="59" t="s">
        <v>62</v>
      </c>
      <c r="B7" s="61">
        <f>'1A. Antropometrie'!H16</f>
        <v>197.8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95.850999999999999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'3A. Jump test'!B11</f>
        <v>44819</v>
      </c>
      <c r="C11" s="27"/>
    </row>
    <row r="12" spans="1:3" x14ac:dyDescent="0.3">
      <c r="A12" s="25" t="s">
        <v>207</v>
      </c>
      <c r="B12" s="67" t="s">
        <v>224</v>
      </c>
      <c r="C12" s="27"/>
    </row>
    <row r="13" spans="1:3" x14ac:dyDescent="0.3">
      <c r="A13" s="25" t="s">
        <v>60</v>
      </c>
      <c r="B13" s="71">
        <v>0.48958333333333331</v>
      </c>
      <c r="C13" s="27" t="s">
        <v>108</v>
      </c>
    </row>
    <row r="14" spans="1:3" x14ac:dyDescent="0.3">
      <c r="A14" s="70" t="s">
        <v>63</v>
      </c>
      <c r="B14" s="16">
        <v>17.8</v>
      </c>
      <c r="C14" s="27" t="s">
        <v>12</v>
      </c>
    </row>
    <row r="15" spans="1:3" x14ac:dyDescent="0.3">
      <c r="A15" s="70" t="s">
        <v>75</v>
      </c>
      <c r="B15" s="75">
        <v>57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SPD</v>
      </c>
      <c r="C17" s="27"/>
    </row>
    <row r="18" spans="1:4" x14ac:dyDescent="0.3">
      <c r="A18" s="76" t="s">
        <v>78</v>
      </c>
      <c r="B18" s="75" t="str">
        <f>'1B. VO2max'!B18</f>
        <v>L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L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0" t="s">
        <v>64</v>
      </c>
      <c r="B21" s="202"/>
      <c r="C21" s="202"/>
      <c r="D21" s="201"/>
    </row>
    <row r="22" spans="1:4" ht="15.6" thickTop="1" thickBot="1" x14ac:dyDescent="0.35">
      <c r="A22" s="221" t="s">
        <v>73</v>
      </c>
      <c r="B22" s="222"/>
      <c r="C22" s="221" t="s">
        <v>74</v>
      </c>
      <c r="D22" s="222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0" t="s">
        <v>122</v>
      </c>
      <c r="B31" s="202"/>
      <c r="C31" s="201"/>
    </row>
    <row r="32" spans="1:4" ht="15" thickTop="1" x14ac:dyDescent="0.3">
      <c r="A32" s="25" t="s">
        <v>125</v>
      </c>
      <c r="B32" s="111">
        <v>43.5</v>
      </c>
      <c r="C32" s="27" t="s">
        <v>2</v>
      </c>
    </row>
    <row r="33" spans="1:7" x14ac:dyDescent="0.3">
      <c r="A33" s="25" t="s">
        <v>124</v>
      </c>
      <c r="B33" s="61">
        <f>B32*(2/3)</f>
        <v>29</v>
      </c>
      <c r="C33" s="27" t="s">
        <v>2</v>
      </c>
    </row>
    <row r="34" spans="1:7" x14ac:dyDescent="0.3">
      <c r="A34" s="25" t="s">
        <v>135</v>
      </c>
      <c r="B34" s="91">
        <v>12.4</v>
      </c>
      <c r="C34" s="27" t="s">
        <v>3</v>
      </c>
    </row>
    <row r="35" spans="1:7" x14ac:dyDescent="0.3">
      <c r="A35" s="25" t="s">
        <v>136</v>
      </c>
      <c r="B35" s="91">
        <v>12.2</v>
      </c>
      <c r="C35" s="27" t="s">
        <v>3</v>
      </c>
    </row>
    <row r="36" spans="1:7" x14ac:dyDescent="0.3">
      <c r="A36" s="25" t="s">
        <v>195</v>
      </c>
      <c r="B36" s="91"/>
      <c r="C36" s="27" t="s">
        <v>3</v>
      </c>
    </row>
    <row r="37" spans="1:7" x14ac:dyDescent="0.3">
      <c r="A37" s="70" t="s">
        <v>123</v>
      </c>
      <c r="B37" s="115">
        <v>2</v>
      </c>
      <c r="C37" s="27"/>
    </row>
    <row r="38" spans="1:7" ht="15" thickBot="1" x14ac:dyDescent="0.35">
      <c r="A38" s="60" t="s">
        <v>126</v>
      </c>
      <c r="B38" s="189" t="s">
        <v>231</v>
      </c>
      <c r="C38" s="21" t="s">
        <v>176</v>
      </c>
      <c r="D38" s="98"/>
    </row>
    <row r="39" spans="1:7" ht="15.6" thickTop="1" thickBot="1" x14ac:dyDescent="0.35"/>
    <row r="40" spans="1:7" ht="15.6" thickTop="1" thickBot="1" x14ac:dyDescent="0.35">
      <c r="A40" s="200" t="s">
        <v>127</v>
      </c>
      <c r="B40" s="202"/>
      <c r="C40" s="201"/>
    </row>
    <row r="41" spans="1:7" ht="15" thickTop="1" x14ac:dyDescent="0.3">
      <c r="A41" s="25" t="s">
        <v>128</v>
      </c>
      <c r="B41" s="111">
        <f>(F41*0.9)/(90^2)</f>
        <v>4.7222222222222221E-2</v>
      </c>
      <c r="C41" s="27" t="s">
        <v>134</v>
      </c>
      <c r="D41" s="213" t="s">
        <v>177</v>
      </c>
      <c r="E41" s="215"/>
      <c r="F41" s="138">
        <v>425</v>
      </c>
      <c r="G41" s="138" t="s">
        <v>130</v>
      </c>
    </row>
    <row r="42" spans="1:7" ht="15" thickBot="1" x14ac:dyDescent="0.35">
      <c r="A42" s="25" t="s">
        <v>129</v>
      </c>
      <c r="B42" s="61">
        <f>0.9*F42</f>
        <v>247.5</v>
      </c>
      <c r="C42" s="27" t="s">
        <v>130</v>
      </c>
      <c r="D42" s="218" t="s">
        <v>178</v>
      </c>
      <c r="E42" s="220"/>
      <c r="F42" s="138">
        <v>275</v>
      </c>
      <c r="G42" s="138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0" t="s">
        <v>204</v>
      </c>
      <c r="B44" s="201"/>
      <c r="C44" s="2"/>
    </row>
    <row r="45" spans="1:7" ht="15" thickTop="1" x14ac:dyDescent="0.3">
      <c r="A45" s="64" t="s">
        <v>205</v>
      </c>
      <c r="B45" s="190">
        <v>45.6</v>
      </c>
      <c r="C45" s="2"/>
    </row>
    <row r="46" spans="1:7" ht="15" thickBot="1" x14ac:dyDescent="0.35">
      <c r="A46" s="30" t="s">
        <v>206</v>
      </c>
      <c r="B46" s="161">
        <v>71.8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0" t="s">
        <v>82</v>
      </c>
      <c r="B48" s="202"/>
      <c r="C48" s="202"/>
      <c r="D48" s="202"/>
      <c r="E48" s="202"/>
      <c r="F48" s="202"/>
      <c r="G48" s="201"/>
    </row>
    <row r="49" spans="1:12" ht="15.6" thickTop="1" thickBot="1" x14ac:dyDescent="0.35">
      <c r="A49" s="116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2" ht="15" thickTop="1" x14ac:dyDescent="0.3">
      <c r="A50" s="163" t="s">
        <v>198</v>
      </c>
      <c r="B50" s="238" t="s">
        <v>180</v>
      </c>
      <c r="C50" s="239"/>
      <c r="D50" s="239"/>
      <c r="E50" s="239"/>
      <c r="F50" s="239"/>
      <c r="G50" s="240"/>
      <c r="H50" s="151" t="s">
        <v>199</v>
      </c>
      <c r="I50" s="151"/>
      <c r="J50" s="164"/>
      <c r="K50" s="164"/>
      <c r="L50" s="151"/>
    </row>
    <row r="51" spans="1:12" x14ac:dyDescent="0.3">
      <c r="A51" s="117">
        <v>0.16666666666666666</v>
      </c>
      <c r="B51" s="47" t="s">
        <v>137</v>
      </c>
      <c r="C51" s="47" t="s">
        <v>222</v>
      </c>
      <c r="D51" s="47"/>
      <c r="E51" s="47"/>
      <c r="F51" s="47"/>
      <c r="G51" s="27"/>
      <c r="H51" s="87"/>
      <c r="I51" s="87"/>
    </row>
    <row r="52" spans="1:12" x14ac:dyDescent="0.3">
      <c r="A52" s="118">
        <v>0.25</v>
      </c>
      <c r="B52" s="4" t="s">
        <v>137</v>
      </c>
      <c r="C52" s="4"/>
      <c r="D52" s="4"/>
      <c r="E52" s="4"/>
      <c r="F52" s="4"/>
      <c r="G52" s="79"/>
    </row>
    <row r="53" spans="1:12" x14ac:dyDescent="0.3">
      <c r="A53" s="118">
        <v>0.33333333333333331</v>
      </c>
      <c r="B53" s="4" t="s">
        <v>137</v>
      </c>
      <c r="C53" s="4"/>
      <c r="D53" s="4"/>
      <c r="E53" s="4"/>
      <c r="F53" s="4"/>
      <c r="G53" s="79"/>
    </row>
    <row r="54" spans="1:12" x14ac:dyDescent="0.3">
      <c r="A54" s="118" t="s">
        <v>179</v>
      </c>
      <c r="B54" s="235" t="s">
        <v>196</v>
      </c>
      <c r="C54" s="236"/>
      <c r="D54" s="236"/>
      <c r="E54" s="236"/>
      <c r="F54" s="236"/>
      <c r="G54" s="237"/>
      <c r="H54" s="164" t="s">
        <v>199</v>
      </c>
      <c r="I54" s="164"/>
      <c r="J54" s="151"/>
      <c r="K54" s="151"/>
      <c r="L54" s="151"/>
    </row>
    <row r="55" spans="1:12" x14ac:dyDescent="0.3">
      <c r="A55" s="118">
        <v>0.66666666666666663</v>
      </c>
      <c r="B55" s="4" t="s">
        <v>137</v>
      </c>
      <c r="C55" s="4"/>
      <c r="D55" s="4"/>
      <c r="E55" s="4"/>
      <c r="F55" s="4"/>
      <c r="G55" s="82"/>
    </row>
    <row r="56" spans="1:12" x14ac:dyDescent="0.3">
      <c r="A56" s="118">
        <v>0.75</v>
      </c>
      <c r="B56" s="4" t="s">
        <v>137</v>
      </c>
      <c r="C56" s="4"/>
      <c r="D56" s="4"/>
      <c r="E56" s="4"/>
      <c r="F56" s="4"/>
      <c r="G56" s="79"/>
    </row>
    <row r="57" spans="1:12" x14ac:dyDescent="0.3">
      <c r="A57" s="142">
        <v>0.83333333333333337</v>
      </c>
      <c r="B57" s="4" t="s">
        <v>137</v>
      </c>
      <c r="C57" s="4"/>
      <c r="D57" s="4"/>
      <c r="E57" s="4"/>
      <c r="F57" s="4"/>
      <c r="G57" s="27"/>
      <c r="H57" s="151" t="s">
        <v>199</v>
      </c>
      <c r="I57" s="151"/>
      <c r="J57" s="151"/>
      <c r="K57" s="151"/>
      <c r="L57" s="151"/>
    </row>
    <row r="58" spans="1:12" ht="15" thickBot="1" x14ac:dyDescent="0.35">
      <c r="A58" s="122" t="s">
        <v>200</v>
      </c>
      <c r="B58" s="232" t="s">
        <v>197</v>
      </c>
      <c r="C58" s="233"/>
      <c r="D58" s="233"/>
      <c r="E58" s="233"/>
      <c r="F58" s="233"/>
      <c r="G58" s="234"/>
      <c r="H58" s="87"/>
      <c r="I58" s="87"/>
    </row>
    <row r="59" spans="1:12" ht="15.6" thickTop="1" thickBot="1" x14ac:dyDescent="0.35">
      <c r="A59" s="123" t="s">
        <v>83</v>
      </c>
      <c r="B59" s="124" t="s">
        <v>146</v>
      </c>
      <c r="C59" s="124" t="s">
        <v>4</v>
      </c>
      <c r="D59" s="124" t="s">
        <v>5</v>
      </c>
      <c r="E59" s="124" t="s">
        <v>6</v>
      </c>
      <c r="F59" s="124" t="s">
        <v>7</v>
      </c>
      <c r="G59" s="84" t="s">
        <v>85</v>
      </c>
    </row>
    <row r="60" spans="1:12" ht="15" thickTop="1" x14ac:dyDescent="0.3">
      <c r="A60" s="119" t="s">
        <v>202</v>
      </c>
      <c r="B60" s="167">
        <v>0</v>
      </c>
      <c r="C60" s="167"/>
      <c r="D60" s="167"/>
      <c r="E60" s="167"/>
      <c r="F60" s="162"/>
      <c r="G60" s="169"/>
    </row>
    <row r="61" spans="1:12" x14ac:dyDescent="0.3">
      <c r="A61" s="165" t="s">
        <v>201</v>
      </c>
      <c r="B61" s="168"/>
      <c r="C61" s="168"/>
      <c r="D61" s="168"/>
      <c r="E61" s="168"/>
      <c r="F61" s="156"/>
      <c r="G61" s="170"/>
    </row>
    <row r="62" spans="1:12" x14ac:dyDescent="0.3">
      <c r="A62" s="166" t="s">
        <v>138</v>
      </c>
      <c r="B62" s="168"/>
      <c r="C62" s="168"/>
      <c r="D62" s="168"/>
      <c r="E62" s="168"/>
      <c r="F62" s="156"/>
      <c r="G62" s="171"/>
    </row>
    <row r="63" spans="1:12" x14ac:dyDescent="0.3">
      <c r="A63" s="166" t="s">
        <v>139</v>
      </c>
      <c r="B63" s="168"/>
      <c r="C63" s="168"/>
      <c r="D63" s="168"/>
      <c r="E63" s="168"/>
      <c r="F63" s="156"/>
      <c r="G63" s="171"/>
    </row>
    <row r="64" spans="1:12" x14ac:dyDescent="0.3">
      <c r="A64" s="119" t="s">
        <v>140</v>
      </c>
      <c r="B64" s="168"/>
      <c r="C64" s="168"/>
      <c r="D64" s="168"/>
      <c r="E64" s="168"/>
      <c r="F64" s="156"/>
      <c r="G64" s="172"/>
    </row>
    <row r="65" spans="1:7" x14ac:dyDescent="0.3">
      <c r="A65" s="119" t="s">
        <v>141</v>
      </c>
      <c r="B65" s="168"/>
      <c r="C65" s="168"/>
      <c r="D65" s="168"/>
      <c r="E65" s="168"/>
      <c r="F65" s="156"/>
      <c r="G65" s="172"/>
    </row>
    <row r="66" spans="1:7" x14ac:dyDescent="0.3">
      <c r="A66" s="119" t="s">
        <v>142</v>
      </c>
      <c r="B66" s="167"/>
      <c r="C66" s="167"/>
      <c r="D66" s="167"/>
      <c r="E66" s="167"/>
      <c r="F66" s="162"/>
      <c r="G66" s="172"/>
    </row>
    <row r="67" spans="1:7" x14ac:dyDescent="0.3">
      <c r="A67" s="119" t="s">
        <v>143</v>
      </c>
      <c r="B67" s="168"/>
      <c r="C67" s="168"/>
      <c r="D67" s="168"/>
      <c r="E67" s="168"/>
      <c r="F67" s="156"/>
      <c r="G67" s="173"/>
    </row>
    <row r="68" spans="1:7" x14ac:dyDescent="0.3">
      <c r="A68" s="120" t="s">
        <v>144</v>
      </c>
      <c r="B68" s="168"/>
      <c r="C68" s="168"/>
      <c r="D68" s="168"/>
      <c r="E68" s="168"/>
      <c r="F68" s="156"/>
      <c r="G68" s="174"/>
    </row>
    <row r="69" spans="1:7" x14ac:dyDescent="0.3">
      <c r="A69" s="119" t="s">
        <v>145</v>
      </c>
      <c r="B69" s="167"/>
      <c r="C69" s="167"/>
      <c r="D69" s="167"/>
      <c r="E69" s="167"/>
      <c r="F69" s="162"/>
      <c r="G69" s="174"/>
    </row>
    <row r="70" spans="1:7" x14ac:dyDescent="0.3">
      <c r="A70" s="119" t="s">
        <v>181</v>
      </c>
      <c r="B70" s="167"/>
      <c r="C70" s="167"/>
      <c r="D70" s="167"/>
      <c r="E70" s="167"/>
      <c r="F70" s="162"/>
      <c r="G70" s="174"/>
    </row>
    <row r="71" spans="1:7" ht="15" thickBot="1" x14ac:dyDescent="0.35">
      <c r="A71" s="120" t="s">
        <v>182</v>
      </c>
      <c r="B71" s="183"/>
      <c r="C71" s="183"/>
      <c r="D71" s="183"/>
      <c r="E71" s="183"/>
      <c r="F71" s="158"/>
      <c r="G71" s="184"/>
    </row>
    <row r="72" spans="1:7" ht="15.6" thickTop="1" thickBot="1" x14ac:dyDescent="0.35">
      <c r="A72" s="63"/>
    </row>
    <row r="73" spans="1:7" ht="15.6" thickTop="1" thickBot="1" x14ac:dyDescent="0.35">
      <c r="A73" s="200" t="s">
        <v>192</v>
      </c>
      <c r="B73" s="202"/>
      <c r="C73" s="201"/>
    </row>
    <row r="74" spans="1:7" ht="15.6" thickTop="1" thickBot="1" x14ac:dyDescent="0.35">
      <c r="A74" s="175" t="s">
        <v>208</v>
      </c>
      <c r="B74" s="186">
        <v>0.25763888888888892</v>
      </c>
      <c r="C74" s="13" t="s">
        <v>189</v>
      </c>
      <c r="D74" s="98"/>
    </row>
    <row r="75" spans="1:7" ht="15.6" thickTop="1" thickBot="1" x14ac:dyDescent="0.35">
      <c r="A75" s="21"/>
      <c r="C75" s="68"/>
    </row>
    <row r="76" spans="1:7" ht="15.6" thickTop="1" thickBot="1" x14ac:dyDescent="0.35">
      <c r="A76" s="200" t="s">
        <v>86</v>
      </c>
      <c r="B76" s="202"/>
      <c r="C76" s="201"/>
    </row>
    <row r="77" spans="1:7" ht="15" thickTop="1" x14ac:dyDescent="0.3">
      <c r="A77" s="25" t="s">
        <v>131</v>
      </c>
      <c r="B77" s="228" t="str">
        <f>B4&amp;"_PRE_NIRS"</f>
        <v xml:space="preserve"> T2A_69_PRE_NIRS</v>
      </c>
      <c r="C77" s="229"/>
    </row>
    <row r="78" spans="1:7" x14ac:dyDescent="0.3">
      <c r="A78" s="70" t="s">
        <v>132</v>
      </c>
      <c r="B78" s="228" t="str">
        <f>B4&amp;"_PRE_TT_Bike"</f>
        <v xml:space="preserve"> T2A_69_PRE_TT_Bike</v>
      </c>
      <c r="C78" s="229"/>
    </row>
    <row r="79" spans="1:7" x14ac:dyDescent="0.3">
      <c r="A79" s="59" t="s">
        <v>203</v>
      </c>
      <c r="B79" s="228" t="str">
        <f>B4&amp;"_PRE_TT_CPET"</f>
        <v xml:space="preserve"> T2A_69_PRE_TT_CPET</v>
      </c>
      <c r="C79" s="229"/>
    </row>
    <row r="80" spans="1:7" ht="15" thickBot="1" x14ac:dyDescent="0.35">
      <c r="A80" s="69" t="s">
        <v>133</v>
      </c>
      <c r="B80" s="230" t="str">
        <f>B79&amp;"_10sec"</f>
        <v xml:space="preserve"> T2A_69_PRE_TT_CPET_10sec</v>
      </c>
      <c r="C80" s="231"/>
    </row>
    <row r="82" spans="1:3" ht="15.6" thickTop="1" thickBot="1" x14ac:dyDescent="0.35">
      <c r="A82" s="200" t="s">
        <v>109</v>
      </c>
      <c r="B82" s="202"/>
      <c r="C82" s="201"/>
    </row>
    <row r="83" spans="1:3" ht="15" thickTop="1" x14ac:dyDescent="0.3">
      <c r="A83" s="191" t="s">
        <v>235</v>
      </c>
      <c r="B83" s="203"/>
      <c r="C83" s="192"/>
    </row>
    <row r="84" spans="1:3" x14ac:dyDescent="0.3">
      <c r="A84" s="193"/>
      <c r="B84" s="204"/>
      <c r="C84" s="194"/>
    </row>
    <row r="85" spans="1:3" x14ac:dyDescent="0.3">
      <c r="A85" s="193"/>
      <c r="B85" s="204"/>
      <c r="C85" s="194"/>
    </row>
    <row r="86" spans="1:3" x14ac:dyDescent="0.3">
      <c r="A86" s="193"/>
      <c r="B86" s="204"/>
      <c r="C86" s="194"/>
    </row>
    <row r="87" spans="1:3" ht="15" thickBot="1" x14ac:dyDescent="0.35">
      <c r="A87" s="195"/>
      <c r="B87" s="205"/>
      <c r="C87" s="196"/>
    </row>
    <row r="88" spans="1:3" ht="15" thickTop="1" x14ac:dyDescent="0.3">
      <c r="A88" t="s">
        <v>222</v>
      </c>
    </row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J14" sqref="J14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43" t="str">
        <f>'Algemene informatie'!B4</f>
        <v xml:space="preserve"> T2A_69</v>
      </c>
    </row>
    <row r="3" spans="2:10" x14ac:dyDescent="0.3">
      <c r="B3" s="14" t="s">
        <v>160</v>
      </c>
      <c r="C3" s="144">
        <f ca="1">'Algemene informatie'!B7</f>
        <v>30</v>
      </c>
      <c r="D3" t="s">
        <v>27</v>
      </c>
    </row>
    <row r="4" spans="2:10" x14ac:dyDescent="0.3">
      <c r="B4" s="14" t="s">
        <v>183</v>
      </c>
      <c r="C4" s="144">
        <f>'Algemene informatie'!B5</f>
        <v>1</v>
      </c>
      <c r="D4" t="s">
        <v>190</v>
      </c>
    </row>
    <row r="5" spans="2:10" x14ac:dyDescent="0.3">
      <c r="B5" s="14" t="s">
        <v>40</v>
      </c>
      <c r="C5" s="145">
        <f>'1A. Antropometrie'!H15</f>
        <v>95.850999999999999</v>
      </c>
      <c r="D5" t="s">
        <v>1</v>
      </c>
    </row>
    <row r="6" spans="2:10" x14ac:dyDescent="0.3">
      <c r="B6" s="14" t="s">
        <v>41</v>
      </c>
      <c r="C6" s="144">
        <f>'1A. Antropometrie'!H16</f>
        <v>197.8</v>
      </c>
      <c r="D6" t="s">
        <v>2</v>
      </c>
    </row>
    <row r="7" spans="2:10" x14ac:dyDescent="0.3">
      <c r="B7" s="14" t="s">
        <v>184</v>
      </c>
      <c r="C7" s="145">
        <f>'1A. Antropometrie'!B40</f>
        <v>21.007722990301659</v>
      </c>
      <c r="D7" t="s">
        <v>13</v>
      </c>
    </row>
    <row r="8" spans="2:10" x14ac:dyDescent="0.3">
      <c r="B8" s="14" t="s">
        <v>185</v>
      </c>
      <c r="C8" s="185">
        <f>'1B. VO2max'!B57</f>
        <v>44.955190869161513</v>
      </c>
      <c r="D8" t="s">
        <v>186</v>
      </c>
    </row>
    <row r="9" spans="2:10" x14ac:dyDescent="0.3">
      <c r="B9" s="14" t="s">
        <v>211</v>
      </c>
      <c r="C9" s="185">
        <f>'2B. Wingate'!B34</f>
        <v>12.022201124662235</v>
      </c>
      <c r="D9" t="s">
        <v>216</v>
      </c>
    </row>
    <row r="10" spans="2:10" x14ac:dyDescent="0.3">
      <c r="B10" s="14" t="s">
        <v>188</v>
      </c>
      <c r="C10" s="146">
        <f>'3B. NIRS+Time Trial'!B74</f>
        <v>0.25763888888888892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 xml:space="preserve"> T2A_69</v>
      </c>
      <c r="C14" s="176">
        <f ca="1">C3</f>
        <v>30</v>
      </c>
      <c r="D14" s="176">
        <f>C4</f>
        <v>1</v>
      </c>
      <c r="E14" s="177">
        <f>C5</f>
        <v>95.850999999999999</v>
      </c>
      <c r="F14" s="176">
        <f>C6</f>
        <v>197.8</v>
      </c>
      <c r="G14" s="177">
        <f>C7</f>
        <v>21.007722990301659</v>
      </c>
      <c r="H14" s="182">
        <f>C8</f>
        <v>44.955190869161513</v>
      </c>
      <c r="I14" s="182">
        <f>C9</f>
        <v>12.022201124662235</v>
      </c>
      <c r="J14" s="178">
        <f>C10</f>
        <v>0.25763888888888892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2022-09-22T12:45:59Z</dcterms:modified>
</cp:coreProperties>
</file>