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wegingswetenschappen\Master\Thesis\Code\VO2\excel_data\"/>
    </mc:Choice>
  </mc:AlternateContent>
  <xr:revisionPtr revIDLastSave="0" documentId="13_ncr:1_{24823FCB-B778-43DB-928B-919670FFBCF1}" xr6:coauthVersionLast="47" xr6:coauthVersionMax="47" xr10:uidLastSave="{00000000-0000-0000-0000-000000000000}"/>
  <bookViews>
    <workbookView xWindow="43095" yWindow="0" windowWidth="14610" windowHeight="15585" activeTab="1" xr2:uid="{0728E1FD-065B-437E-8E35-90368049EFEC}"/>
  </bookViews>
  <sheets>
    <sheet name="POST" sheetId="2" r:id="rId1"/>
    <sheet name="PRE" sheetId="1" r:id="rId2"/>
    <sheet name="Versch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C16" i="2"/>
  <c r="C16" i="3" s="1"/>
  <c r="F15" i="2"/>
  <c r="C15" i="2"/>
  <c r="F14" i="2"/>
  <c r="C14" i="2"/>
  <c r="C14" i="3" s="1"/>
  <c r="F13" i="2"/>
  <c r="C13" i="2"/>
  <c r="F12" i="2"/>
  <c r="C12" i="2"/>
  <c r="C12" i="3" s="1"/>
  <c r="C11" i="2"/>
  <c r="F11" i="2"/>
  <c r="C11" i="3"/>
  <c r="F10" i="2"/>
  <c r="F10" i="3" s="1"/>
  <c r="C10" i="2"/>
  <c r="F9" i="2"/>
  <c r="C9" i="2"/>
  <c r="F8" i="2"/>
  <c r="F8" i="3" s="1"/>
  <c r="C8" i="2"/>
  <c r="C7" i="2"/>
  <c r="C6" i="2"/>
  <c r="F5" i="2"/>
  <c r="C5" i="2"/>
  <c r="F4" i="2"/>
  <c r="C4" i="2"/>
  <c r="F3" i="2"/>
  <c r="F3" i="3" s="1"/>
  <c r="C3" i="2"/>
  <c r="F2" i="2"/>
  <c r="C2" i="2"/>
  <c r="B3" i="3"/>
  <c r="C3" i="3"/>
  <c r="D3" i="3"/>
  <c r="E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G10" i="3"/>
  <c r="H10" i="3"/>
  <c r="I10" i="3"/>
  <c r="J10" i="3"/>
  <c r="K10" i="3"/>
  <c r="B11" i="3"/>
  <c r="D11" i="3"/>
  <c r="E11" i="3"/>
  <c r="F11" i="3"/>
  <c r="G11" i="3"/>
  <c r="H11" i="3"/>
  <c r="I11" i="3"/>
  <c r="J11" i="3"/>
  <c r="K11" i="3"/>
  <c r="B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K2" i="3"/>
  <c r="J2" i="3"/>
  <c r="I2" i="3"/>
  <c r="H2" i="3"/>
  <c r="G2" i="3"/>
  <c r="E2" i="3"/>
  <c r="D2" i="3"/>
  <c r="B2" i="3"/>
  <c r="F29" i="2"/>
  <c r="C29" i="2"/>
  <c r="F28" i="2"/>
  <c r="F27" i="2"/>
  <c r="C27" i="2"/>
  <c r="F26" i="2"/>
  <c r="C26" i="2"/>
  <c r="F25" i="2"/>
  <c r="C25" i="2"/>
  <c r="F24" i="2"/>
  <c r="C24" i="2"/>
  <c r="F23" i="2"/>
  <c r="F22" i="2"/>
  <c r="F21" i="2"/>
  <c r="C21" i="2"/>
  <c r="F20" i="2"/>
  <c r="C20" i="2"/>
  <c r="F19" i="2"/>
  <c r="C19" i="2"/>
  <c r="C18" i="2"/>
  <c r="F17" i="2"/>
  <c r="F18" i="1" l="1"/>
  <c r="C18" i="1"/>
  <c r="F16" i="1"/>
  <c r="C16" i="1"/>
  <c r="F14" i="1"/>
  <c r="C14" i="1"/>
  <c r="C12" i="1"/>
  <c r="F10" i="1"/>
  <c r="C10" i="1"/>
  <c r="F9" i="1"/>
  <c r="C9" i="1"/>
  <c r="F6" i="1"/>
  <c r="C6" i="1"/>
  <c r="F28" i="1"/>
  <c r="C28" i="1"/>
  <c r="F26" i="1"/>
  <c r="C26" i="1"/>
  <c r="F21" i="1"/>
  <c r="C21" i="1"/>
  <c r="F11" i="1"/>
  <c r="F4" i="1"/>
  <c r="C4" i="1"/>
  <c r="F3" i="1"/>
  <c r="C3" i="1"/>
  <c r="F2" i="1"/>
  <c r="F2" i="3" s="1"/>
  <c r="C2" i="1"/>
  <c r="C2" i="3" s="1"/>
  <c r="F29" i="1"/>
  <c r="C29" i="1"/>
  <c r="F27" i="1"/>
  <c r="C27" i="1"/>
  <c r="F22" i="1"/>
  <c r="C22" i="1"/>
  <c r="F20" i="1"/>
  <c r="C20" i="1"/>
  <c r="F17" i="1"/>
  <c r="C17" i="1"/>
  <c r="F13" i="1"/>
  <c r="C13" i="1"/>
  <c r="C7" i="1"/>
  <c r="F5" i="1"/>
  <c r="C5" i="1"/>
  <c r="F25" i="1"/>
  <c r="C25" i="1"/>
  <c r="F24" i="1"/>
  <c r="C24" i="1"/>
  <c r="F23" i="1"/>
  <c r="F19" i="1"/>
  <c r="C19" i="1"/>
  <c r="F15" i="1"/>
  <c r="C15" i="1"/>
  <c r="F8" i="1" l="1"/>
  <c r="C8" i="1"/>
</calcChain>
</file>

<file path=xl/sharedStrings.xml><?xml version="1.0" encoding="utf-8"?>
<sst xmlns="http://schemas.openxmlformats.org/spreadsheetml/2006/main" count="125" uniqueCount="46">
  <si>
    <t>PPcode</t>
  </si>
  <si>
    <t>VT1 VO2 (mL/min)</t>
  </si>
  <si>
    <t>VT1 Power (Watt)</t>
  </si>
  <si>
    <t>VT1 HR (slagen/min)</t>
  </si>
  <si>
    <t>VT2 VO2 (mL/min)</t>
  </si>
  <si>
    <t>VT2 Power (Watt)</t>
  </si>
  <si>
    <t>VT2 HR (slagen/min)</t>
  </si>
  <si>
    <t xml:space="preserve">VO2max </t>
  </si>
  <si>
    <t>HRmax (slagen/min)</t>
  </si>
  <si>
    <t>Piekpower (Watt op het moment van VO2max)</t>
  </si>
  <si>
    <t>Gewicht (kg)</t>
  </si>
  <si>
    <t>T2A_60</t>
  </si>
  <si>
    <t>T2A_35</t>
  </si>
  <si>
    <t>T2A_64</t>
  </si>
  <si>
    <t>T2A_63</t>
  </si>
  <si>
    <t>T2A_45</t>
  </si>
  <si>
    <t>T2A_54</t>
  </si>
  <si>
    <t>T2A_56</t>
  </si>
  <si>
    <t>T2A_69</t>
  </si>
  <si>
    <t>T2A_31</t>
  </si>
  <si>
    <t>T2A_49</t>
  </si>
  <si>
    <t>T2A_20</t>
  </si>
  <si>
    <t>T2A_66</t>
  </si>
  <si>
    <t>T2A_59</t>
  </si>
  <si>
    <t>T2A_42</t>
  </si>
  <si>
    <t>T2A_04</t>
  </si>
  <si>
    <t>T2A_08</t>
  </si>
  <si>
    <t>T2A_40</t>
  </si>
  <si>
    <t>T2A_10</t>
  </si>
  <si>
    <t>T2A_65</t>
  </si>
  <si>
    <t>T2A_67</t>
  </si>
  <si>
    <t>T2A_57</t>
  </si>
  <si>
    <t>T2A_23</t>
  </si>
  <si>
    <t>T2A_36</t>
  </si>
  <si>
    <t>T2A_37</t>
  </si>
  <si>
    <t>T2A_41</t>
  </si>
  <si>
    <t>T2A_44</t>
  </si>
  <si>
    <t>T2A_47</t>
  </si>
  <si>
    <t>T2A_53</t>
  </si>
  <si>
    <t>Bijzonderheden</t>
  </si>
  <si>
    <t>Bij VT2 heb ik 1 10sec waarde genegeerd, deze was 30sec na VT1</t>
  </si>
  <si>
    <t>VT1 en VT2 wel erg dicht op elkaar (30sec). Waarde schommelen hier ook wel beetje op en neer</t>
  </si>
  <si>
    <t>Bij VT2 heb ik 1 10sec waarde genegeerd, deze was 10sec na VT1. Geen hartslagdata beschikbaar. Polar checken voor 2 dec (denk dat deze datum niet klopt trouwens)</t>
  </si>
  <si>
    <t>PRE-POST, dus positief betekent vooruitgang</t>
  </si>
  <si>
    <t xml:space="preserve">Geen hartslagdata beschikbaar </t>
  </si>
  <si>
    <t>Geen VO2 boven VO2 max in binned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</si>
</sst>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" fontId="0" fillId="0" borderId="0" xfId="0" applyNumberFormat="1"/>
    <xf numFmtId="0" fontId="0" fillId="0" borderId="0" xfId="0" applyFont="1" applyFill="1"/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F5EC-FC4D-49B5-A20C-AD04C783C02D}">
  <dimension ref="A1:L45"/>
  <sheetViews>
    <sheetView workbookViewId="0">
      <pane xSplit="1" topLeftCell="F1" activePane="topRight" state="frozen"/>
      <selection pane="topRight" activeCell="J27" sqref="J27"/>
    </sheetView>
  </sheetViews>
  <sheetFormatPr defaultRowHeight="14.4" x14ac:dyDescent="0.3"/>
  <cols>
    <col min="1" max="1" width="7.88671875" customWidth="1"/>
    <col min="2" max="2" width="17.77734375" customWidth="1"/>
    <col min="3" max="3" width="17.77734375" style="10" customWidth="1"/>
    <col min="4" max="5" width="17.77734375" customWidth="1"/>
    <col min="6" max="6" width="17.77734375" style="10" customWidth="1"/>
    <col min="7" max="12" width="17.77734375" customWidth="1"/>
  </cols>
  <sheetData>
    <row r="1" spans="1:12" ht="47.4" customHeight="1" x14ac:dyDescent="0.3">
      <c r="A1" s="2" t="s">
        <v>0</v>
      </c>
      <c r="B1" s="2" t="s">
        <v>1</v>
      </c>
      <c r="C1" s="9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3" t="s">
        <v>9</v>
      </c>
      <c r="I1" s="2" t="s">
        <v>7</v>
      </c>
      <c r="J1" s="2" t="s">
        <v>8</v>
      </c>
      <c r="K1" s="2" t="s">
        <v>10</v>
      </c>
      <c r="L1" s="2" t="s">
        <v>39</v>
      </c>
    </row>
    <row r="2" spans="1:12" x14ac:dyDescent="0.3">
      <c r="A2" t="s">
        <v>25</v>
      </c>
      <c r="B2" s="15">
        <v>2960</v>
      </c>
      <c r="C2" s="10">
        <f>5/6*25+200</f>
        <v>220.83333333333334</v>
      </c>
      <c r="D2">
        <v>151</v>
      </c>
      <c r="E2" s="16">
        <v>3500</v>
      </c>
      <c r="F2" s="10">
        <f>5/6*25+250</f>
        <v>270.83333333333331</v>
      </c>
      <c r="G2">
        <v>166</v>
      </c>
      <c r="H2">
        <v>329.58333333333297</v>
      </c>
      <c r="I2">
        <v>3853.4057307266698</v>
      </c>
      <c r="J2">
        <v>187</v>
      </c>
      <c r="K2">
        <v>67.09</v>
      </c>
    </row>
    <row r="3" spans="1:12" x14ac:dyDescent="0.3">
      <c r="A3" t="s">
        <v>26</v>
      </c>
      <c r="B3" s="15">
        <v>3560</v>
      </c>
      <c r="C3" s="10">
        <f>2/6*25+250</f>
        <v>258.33333333333331</v>
      </c>
      <c r="D3">
        <v>133</v>
      </c>
      <c r="E3" s="16">
        <v>4440</v>
      </c>
      <c r="F3" s="10">
        <f>4/6*25+350</f>
        <v>366.66666666666669</v>
      </c>
      <c r="G3">
        <v>159</v>
      </c>
      <c r="H3">
        <v>419.16666666666703</v>
      </c>
      <c r="I3">
        <v>5092.8141193800002</v>
      </c>
      <c r="J3">
        <v>174</v>
      </c>
      <c r="K3">
        <v>86.79</v>
      </c>
    </row>
    <row r="4" spans="1:12" x14ac:dyDescent="0.3">
      <c r="A4" t="s">
        <v>28</v>
      </c>
      <c r="B4" s="15">
        <v>2960</v>
      </c>
      <c r="C4" s="10">
        <f>3/6*25+200</f>
        <v>212.5</v>
      </c>
      <c r="D4">
        <v>129</v>
      </c>
      <c r="E4" s="16">
        <v>3320</v>
      </c>
      <c r="F4" s="10">
        <f>225+5/6*25</f>
        <v>245.83333333333334</v>
      </c>
      <c r="G4">
        <v>140</v>
      </c>
      <c r="H4">
        <v>330.41666666666703</v>
      </c>
      <c r="I4">
        <v>4066.5557876233302</v>
      </c>
      <c r="J4">
        <v>165</v>
      </c>
      <c r="K4">
        <v>96.1</v>
      </c>
    </row>
    <row r="5" spans="1:12" x14ac:dyDescent="0.3">
      <c r="A5" t="s">
        <v>21</v>
      </c>
      <c r="B5" s="15">
        <v>3190</v>
      </c>
      <c r="C5" s="10">
        <f>4/6*25+225</f>
        <v>241.66666666666666</v>
      </c>
      <c r="D5">
        <v>169</v>
      </c>
      <c r="E5" s="16">
        <v>3700</v>
      </c>
      <c r="F5" s="10">
        <f>1/6*25+275</f>
        <v>279.16666666666669</v>
      </c>
      <c r="G5">
        <v>175</v>
      </c>
      <c r="H5">
        <v>357.08333333333297</v>
      </c>
      <c r="I5">
        <v>4155.5652518400002</v>
      </c>
      <c r="J5">
        <v>192</v>
      </c>
      <c r="K5">
        <v>84.42</v>
      </c>
    </row>
    <row r="6" spans="1:12" x14ac:dyDescent="0.3">
      <c r="A6" t="s">
        <v>32</v>
      </c>
      <c r="B6" s="15">
        <v>4160</v>
      </c>
      <c r="C6" s="10">
        <f>5/6*25+300</f>
        <v>320.83333333333331</v>
      </c>
      <c r="D6">
        <v>134</v>
      </c>
      <c r="E6" s="16">
        <v>4630</v>
      </c>
      <c r="F6" s="10">
        <v>375</v>
      </c>
      <c r="G6">
        <v>143</v>
      </c>
      <c r="H6">
        <v>479.58333333333297</v>
      </c>
      <c r="I6">
        <v>5495.5814286866698</v>
      </c>
      <c r="J6">
        <v>164</v>
      </c>
      <c r="K6">
        <v>93.51</v>
      </c>
    </row>
    <row r="7" spans="1:12" x14ac:dyDescent="0.3">
      <c r="A7" t="s">
        <v>19</v>
      </c>
      <c r="B7" s="15">
        <v>2850</v>
      </c>
      <c r="C7" s="10">
        <f>3/6*25+200</f>
        <v>212.5</v>
      </c>
      <c r="D7">
        <v>140</v>
      </c>
      <c r="E7" s="16">
        <v>3190</v>
      </c>
      <c r="F7" s="10">
        <v>250</v>
      </c>
      <c r="G7">
        <v>149</v>
      </c>
      <c r="H7">
        <v>338.33333333333297</v>
      </c>
      <c r="I7">
        <v>3829.0579140366699</v>
      </c>
      <c r="J7">
        <v>169</v>
      </c>
      <c r="K7">
        <v>77.34</v>
      </c>
    </row>
    <row r="8" spans="1:12" x14ac:dyDescent="0.3">
      <c r="A8" t="s">
        <v>12</v>
      </c>
      <c r="B8" s="15">
        <v>3020</v>
      </c>
      <c r="C8" s="10">
        <f>2/6*25+225</f>
        <v>233.33333333333334</v>
      </c>
      <c r="D8">
        <v>172</v>
      </c>
      <c r="E8" s="16">
        <v>3370</v>
      </c>
      <c r="F8" s="10">
        <f>4/6*25+250</f>
        <v>266.66666666666669</v>
      </c>
      <c r="G8">
        <v>181</v>
      </c>
      <c r="H8">
        <v>349.16666666666703</v>
      </c>
      <c r="I8">
        <v>3862.0815529566698</v>
      </c>
      <c r="J8">
        <v>203</v>
      </c>
      <c r="K8">
        <v>61.05</v>
      </c>
    </row>
    <row r="9" spans="1:12" x14ac:dyDescent="0.3">
      <c r="A9" t="s">
        <v>33</v>
      </c>
      <c r="B9" s="15">
        <v>2860</v>
      </c>
      <c r="C9" s="10">
        <f>5/6*25+200</f>
        <v>220.83333333333334</v>
      </c>
      <c r="D9">
        <v>141</v>
      </c>
      <c r="E9" s="16">
        <v>3220</v>
      </c>
      <c r="F9" s="10">
        <f>5/6*25+225</f>
        <v>245.83333333333334</v>
      </c>
      <c r="G9">
        <v>148</v>
      </c>
      <c r="H9">
        <v>330.83333333333297</v>
      </c>
      <c r="I9">
        <v>3683.99705806667</v>
      </c>
      <c r="J9">
        <v>171</v>
      </c>
      <c r="K9">
        <v>65.209999999999994</v>
      </c>
      <c r="L9" t="s">
        <v>45</v>
      </c>
    </row>
    <row r="10" spans="1:12" x14ac:dyDescent="0.3">
      <c r="A10" t="s">
        <v>34</v>
      </c>
      <c r="B10" s="15">
        <v>2810</v>
      </c>
      <c r="C10" s="10">
        <f>5/6*25+175</f>
        <v>195.83333333333334</v>
      </c>
      <c r="D10">
        <v>150</v>
      </c>
      <c r="E10" s="16">
        <v>3300</v>
      </c>
      <c r="F10" s="10">
        <f>250</f>
        <v>250</v>
      </c>
      <c r="G10">
        <v>166</v>
      </c>
      <c r="H10">
        <v>330</v>
      </c>
      <c r="I10">
        <v>3760.7103016566698</v>
      </c>
      <c r="J10">
        <v>192</v>
      </c>
      <c r="K10">
        <v>78.430000000000007</v>
      </c>
    </row>
    <row r="11" spans="1:12" x14ac:dyDescent="0.3">
      <c r="A11" t="s">
        <v>27</v>
      </c>
      <c r="B11" s="15">
        <v>2700</v>
      </c>
      <c r="C11" s="10">
        <f>5/6*25+200</f>
        <v>220.83333333333334</v>
      </c>
      <c r="D11">
        <v>177</v>
      </c>
      <c r="E11" s="16">
        <v>3010</v>
      </c>
      <c r="F11" s="10">
        <f>5/6*25+225</f>
        <v>245.83333333333334</v>
      </c>
      <c r="G11">
        <v>178</v>
      </c>
      <c r="H11">
        <v>287.91666666666703</v>
      </c>
      <c r="I11">
        <v>3277.3367777799999</v>
      </c>
      <c r="J11">
        <v>192</v>
      </c>
      <c r="K11">
        <v>65.099999999999994</v>
      </c>
      <c r="L11" t="s">
        <v>45</v>
      </c>
    </row>
    <row r="12" spans="1:12" x14ac:dyDescent="0.3">
      <c r="A12" t="s">
        <v>35</v>
      </c>
      <c r="B12" s="15">
        <v>3360</v>
      </c>
      <c r="C12" s="10">
        <f>4/6*25+250</f>
        <v>266.66666666666669</v>
      </c>
      <c r="D12">
        <v>161</v>
      </c>
      <c r="E12" s="16">
        <v>3880</v>
      </c>
      <c r="F12" s="10">
        <f>325+5/6*25</f>
        <v>345.83333333333331</v>
      </c>
      <c r="G12">
        <v>173</v>
      </c>
      <c r="H12">
        <v>405</v>
      </c>
      <c r="I12">
        <v>4381.9504932500004</v>
      </c>
      <c r="J12">
        <v>187</v>
      </c>
      <c r="K12">
        <v>74.260000000000005</v>
      </c>
    </row>
    <row r="13" spans="1:12" x14ac:dyDescent="0.3">
      <c r="A13" t="s">
        <v>24</v>
      </c>
      <c r="B13" s="15">
        <v>3250</v>
      </c>
      <c r="C13" s="10">
        <f>225+2/6*25</f>
        <v>233.33333333333334</v>
      </c>
      <c r="D13">
        <v>152</v>
      </c>
      <c r="E13" s="16">
        <v>3750</v>
      </c>
      <c r="F13" s="10">
        <f>4/6*25+300</f>
        <v>316.66666666666669</v>
      </c>
      <c r="G13">
        <v>171</v>
      </c>
      <c r="H13">
        <v>421.25</v>
      </c>
      <c r="I13">
        <v>4502.5225078766698</v>
      </c>
      <c r="J13">
        <v>200</v>
      </c>
      <c r="K13">
        <v>92</v>
      </c>
    </row>
    <row r="14" spans="1:12" x14ac:dyDescent="0.3">
      <c r="A14" t="s">
        <v>36</v>
      </c>
      <c r="B14" s="15">
        <v>2910</v>
      </c>
      <c r="C14" s="10">
        <f>200+1/6*25</f>
        <v>204.16666666666666</v>
      </c>
      <c r="D14">
        <v>143</v>
      </c>
      <c r="E14" s="16">
        <v>3200</v>
      </c>
      <c r="F14" s="10">
        <f>3/6*25+225</f>
        <v>237.5</v>
      </c>
      <c r="G14">
        <v>152</v>
      </c>
      <c r="H14">
        <v>311.66666666666703</v>
      </c>
      <c r="I14">
        <v>3548.43938832</v>
      </c>
      <c r="J14">
        <v>171</v>
      </c>
      <c r="K14">
        <v>87.61</v>
      </c>
    </row>
    <row r="15" spans="1:12" x14ac:dyDescent="0.3">
      <c r="A15" t="s">
        <v>15</v>
      </c>
      <c r="B15" s="15">
        <v>3390</v>
      </c>
      <c r="C15" s="10">
        <f>3/6*25+250</f>
        <v>262.5</v>
      </c>
      <c r="D15">
        <v>153</v>
      </c>
      <c r="E15" s="16">
        <v>3780</v>
      </c>
      <c r="F15" s="10">
        <f>300+1/6*25</f>
        <v>304.16666666666669</v>
      </c>
      <c r="G15">
        <v>161</v>
      </c>
      <c r="H15">
        <v>399.16666666666703</v>
      </c>
      <c r="I15">
        <v>4361.6362888433296</v>
      </c>
      <c r="J15">
        <v>182</v>
      </c>
      <c r="K15">
        <v>80.42</v>
      </c>
    </row>
    <row r="16" spans="1:12" x14ac:dyDescent="0.3">
      <c r="A16" t="s">
        <v>37</v>
      </c>
      <c r="B16" s="15">
        <v>2500</v>
      </c>
      <c r="C16" s="10">
        <f>175+3/6*25</f>
        <v>187.5</v>
      </c>
      <c r="E16" s="16">
        <v>2760</v>
      </c>
      <c r="F16" s="10">
        <f>200+5/6*25</f>
        <v>220.83333333333334</v>
      </c>
      <c r="H16">
        <v>316.66666666666703</v>
      </c>
      <c r="I16">
        <v>3566.0852948299998</v>
      </c>
      <c r="J16">
        <v>165</v>
      </c>
      <c r="K16">
        <v>78.989999999999995</v>
      </c>
      <c r="L16" t="s">
        <v>44</v>
      </c>
    </row>
    <row r="17" spans="1:12" x14ac:dyDescent="0.3">
      <c r="A17" t="s">
        <v>20</v>
      </c>
      <c r="B17" s="15">
        <v>3040</v>
      </c>
      <c r="C17" s="10">
        <v>225</v>
      </c>
      <c r="D17">
        <v>157</v>
      </c>
      <c r="E17" s="16">
        <v>3520</v>
      </c>
      <c r="F17" s="10">
        <f>275+((25/6)*3)</f>
        <v>287.5</v>
      </c>
      <c r="G17">
        <v>169</v>
      </c>
      <c r="H17">
        <v>333.33333333333297</v>
      </c>
      <c r="I17">
        <v>4089.71337137</v>
      </c>
      <c r="J17">
        <v>187</v>
      </c>
      <c r="K17">
        <v>65.06</v>
      </c>
    </row>
    <row r="18" spans="1:12" x14ac:dyDescent="0.3">
      <c r="A18" t="s">
        <v>38</v>
      </c>
      <c r="B18" s="15">
        <v>2340</v>
      </c>
      <c r="C18" s="10">
        <f>150+((25/6)*5)</f>
        <v>170.83333333333334</v>
      </c>
      <c r="D18">
        <v>152</v>
      </c>
      <c r="E18" s="16">
        <v>2660</v>
      </c>
      <c r="F18" s="10">
        <v>200</v>
      </c>
      <c r="G18">
        <v>158</v>
      </c>
      <c r="H18">
        <v>256.66666666666703</v>
      </c>
      <c r="I18">
        <v>3107.4577844999999</v>
      </c>
      <c r="J18">
        <v>183</v>
      </c>
      <c r="K18">
        <v>81.69</v>
      </c>
    </row>
    <row r="19" spans="1:12" x14ac:dyDescent="0.3">
      <c r="A19" t="s">
        <v>16</v>
      </c>
      <c r="B19" s="15">
        <v>2800</v>
      </c>
      <c r="C19" s="10">
        <f>175+((25/6)*3)</f>
        <v>187.5</v>
      </c>
      <c r="D19">
        <v>140</v>
      </c>
      <c r="E19" s="16">
        <v>3210</v>
      </c>
      <c r="F19" s="10">
        <f>250+((25/6)*2)</f>
        <v>258.33333333333331</v>
      </c>
      <c r="G19">
        <v>156</v>
      </c>
      <c r="H19">
        <v>329.16666666666703</v>
      </c>
      <c r="I19">
        <v>3649.3303505899999</v>
      </c>
      <c r="J19">
        <v>174</v>
      </c>
      <c r="K19">
        <v>75.650000000000006</v>
      </c>
    </row>
    <row r="20" spans="1:12" x14ac:dyDescent="0.3">
      <c r="A20" t="s">
        <v>17</v>
      </c>
      <c r="B20" s="15">
        <v>2730</v>
      </c>
      <c r="C20" s="10">
        <f>175+((25/6)*4)</f>
        <v>191.66666666666666</v>
      </c>
      <c r="D20">
        <v>131</v>
      </c>
      <c r="E20" s="16">
        <v>3170</v>
      </c>
      <c r="F20" s="10">
        <f>250+((25/6)*4)</f>
        <v>266.66666666666669</v>
      </c>
      <c r="G20">
        <v>147</v>
      </c>
      <c r="H20">
        <v>354.16666666666703</v>
      </c>
      <c r="I20">
        <v>3750.6793550100001</v>
      </c>
      <c r="J20">
        <v>166</v>
      </c>
      <c r="K20">
        <v>86.19</v>
      </c>
      <c r="L20" s="17" t="s">
        <v>40</v>
      </c>
    </row>
    <row r="21" spans="1:12" x14ac:dyDescent="0.3">
      <c r="A21" t="s">
        <v>31</v>
      </c>
      <c r="B21" s="15">
        <v>2960</v>
      </c>
      <c r="C21" s="10">
        <f>225+((25/6)*4)</f>
        <v>241.66666666666666</v>
      </c>
      <c r="D21">
        <v>144</v>
      </c>
      <c r="E21" s="16">
        <v>3390</v>
      </c>
      <c r="F21" s="10">
        <f>275+((25/6)*1)</f>
        <v>279.16666666666669</v>
      </c>
      <c r="G21">
        <v>156</v>
      </c>
      <c r="H21">
        <v>347.5</v>
      </c>
      <c r="I21">
        <v>3725.6277360333302</v>
      </c>
      <c r="J21">
        <v>176</v>
      </c>
      <c r="K21">
        <v>68.73</v>
      </c>
    </row>
    <row r="22" spans="1:12" x14ac:dyDescent="0.3">
      <c r="A22" t="s">
        <v>23</v>
      </c>
      <c r="B22" s="15">
        <v>3300</v>
      </c>
      <c r="C22" s="10">
        <v>250</v>
      </c>
      <c r="D22">
        <v>153</v>
      </c>
      <c r="E22" s="16">
        <v>3730</v>
      </c>
      <c r="F22" s="10">
        <f>275+((25/6)*5)</f>
        <v>295.83333333333331</v>
      </c>
      <c r="G22">
        <v>163</v>
      </c>
      <c r="H22">
        <v>400.83333333333297</v>
      </c>
      <c r="I22">
        <v>4203.9893864166697</v>
      </c>
      <c r="J22">
        <v>179</v>
      </c>
      <c r="K22">
        <v>80.63</v>
      </c>
    </row>
    <row r="23" spans="1:12" x14ac:dyDescent="0.3">
      <c r="A23" t="s">
        <v>11</v>
      </c>
      <c r="B23" s="15">
        <v>2110</v>
      </c>
      <c r="C23" s="10">
        <v>150</v>
      </c>
      <c r="D23">
        <v>167</v>
      </c>
      <c r="E23" s="16">
        <v>2380</v>
      </c>
      <c r="F23" s="10">
        <f>150+((25/6)*3)</f>
        <v>162.5</v>
      </c>
      <c r="G23">
        <v>171</v>
      </c>
      <c r="H23">
        <v>213.75</v>
      </c>
      <c r="I23">
        <v>2708.0020908333299</v>
      </c>
      <c r="J23">
        <v>187</v>
      </c>
      <c r="K23">
        <v>58.72</v>
      </c>
      <c r="L23" s="17" t="s">
        <v>41</v>
      </c>
    </row>
    <row r="24" spans="1:12" x14ac:dyDescent="0.3">
      <c r="A24" t="s">
        <v>14</v>
      </c>
      <c r="B24" s="15">
        <v>2570</v>
      </c>
      <c r="C24" s="10">
        <f>175+((25/6)*1)</f>
        <v>179.16666666666666</v>
      </c>
      <c r="D24">
        <v>118</v>
      </c>
      <c r="E24" s="16">
        <v>3170</v>
      </c>
      <c r="F24" s="10">
        <f>250+((25/6)*1)</f>
        <v>254.16666666666666</v>
      </c>
      <c r="G24">
        <v>142</v>
      </c>
      <c r="H24">
        <v>328.33333333333297</v>
      </c>
      <c r="I24">
        <v>3548.5676191399998</v>
      </c>
      <c r="J24">
        <v>177</v>
      </c>
      <c r="K24">
        <v>72.239999999999995</v>
      </c>
    </row>
    <row r="25" spans="1:12" x14ac:dyDescent="0.3">
      <c r="A25" t="s">
        <v>13</v>
      </c>
      <c r="B25" s="15">
        <v>2600</v>
      </c>
      <c r="C25" s="10">
        <f>175+((25/6)*4)</f>
        <v>191.66666666666666</v>
      </c>
      <c r="D25">
        <v>144</v>
      </c>
      <c r="E25" s="16">
        <v>3130</v>
      </c>
      <c r="F25" s="10">
        <f>250+((25/6)*4)</f>
        <v>266.66666666666669</v>
      </c>
      <c r="G25">
        <v>163</v>
      </c>
      <c r="H25">
        <v>326.66666666666703</v>
      </c>
      <c r="I25">
        <v>3435.0235968533302</v>
      </c>
      <c r="J25">
        <v>174</v>
      </c>
      <c r="K25">
        <v>75.64</v>
      </c>
    </row>
    <row r="26" spans="1:12" x14ac:dyDescent="0.3">
      <c r="A26" t="s">
        <v>29</v>
      </c>
      <c r="B26" s="15">
        <v>3120</v>
      </c>
      <c r="C26" s="10">
        <f>200+((25/6)*4)</f>
        <v>216.66666666666666</v>
      </c>
      <c r="D26">
        <v>152</v>
      </c>
      <c r="E26" s="16">
        <v>3940</v>
      </c>
      <c r="F26" s="10">
        <f>300+((25/6)*2)</f>
        <v>308.33333333333331</v>
      </c>
      <c r="G26">
        <v>168</v>
      </c>
      <c r="H26">
        <v>401.25</v>
      </c>
      <c r="I26">
        <v>4762.6722824999997</v>
      </c>
      <c r="J26">
        <v>181</v>
      </c>
      <c r="K26">
        <v>83.22</v>
      </c>
    </row>
    <row r="27" spans="1:12" x14ac:dyDescent="0.3">
      <c r="A27" t="s">
        <v>22</v>
      </c>
      <c r="B27" s="15">
        <v>3000</v>
      </c>
      <c r="C27" s="10">
        <f>200+((25/6)*3)</f>
        <v>212.5</v>
      </c>
      <c r="D27">
        <v>124</v>
      </c>
      <c r="E27" s="16">
        <v>3610</v>
      </c>
      <c r="F27" s="10">
        <f>275+((25/6)*3)</f>
        <v>287.5</v>
      </c>
      <c r="G27">
        <v>144</v>
      </c>
      <c r="H27">
        <v>382.08333333333297</v>
      </c>
      <c r="I27">
        <v>4316.4744998366696</v>
      </c>
      <c r="J27">
        <v>168</v>
      </c>
      <c r="K27">
        <v>69.180000000000007</v>
      </c>
    </row>
    <row r="28" spans="1:12" x14ac:dyDescent="0.3">
      <c r="A28" t="s">
        <v>30</v>
      </c>
      <c r="B28" s="15">
        <v>2820</v>
      </c>
      <c r="C28" s="10">
        <v>200</v>
      </c>
      <c r="D28">
        <v>124</v>
      </c>
      <c r="E28" s="16">
        <v>3550</v>
      </c>
      <c r="F28" s="10">
        <f>275+((25/6)*5)</f>
        <v>295.83333333333331</v>
      </c>
      <c r="G28">
        <v>151</v>
      </c>
      <c r="H28">
        <v>389.58333333333297</v>
      </c>
      <c r="I28">
        <v>4213.6254440066696</v>
      </c>
      <c r="J28">
        <v>181</v>
      </c>
      <c r="K28">
        <v>88.19</v>
      </c>
    </row>
    <row r="29" spans="1:12" x14ac:dyDescent="0.3">
      <c r="A29" t="s">
        <v>18</v>
      </c>
      <c r="B29" s="15">
        <v>3250</v>
      </c>
      <c r="C29" s="10">
        <f>250+((25/6)*5)</f>
        <v>270.83333333333331</v>
      </c>
      <c r="D29">
        <v>146</v>
      </c>
      <c r="E29" s="16">
        <v>3400</v>
      </c>
      <c r="F29" s="10">
        <f>275+((25/6)*5)</f>
        <v>295.83333333333331</v>
      </c>
      <c r="G29">
        <v>149</v>
      </c>
      <c r="H29">
        <v>429.16666666666703</v>
      </c>
      <c r="I29">
        <v>4607.67737192</v>
      </c>
      <c r="J29">
        <v>177</v>
      </c>
      <c r="K29">
        <v>96.84</v>
      </c>
      <c r="L29" s="17" t="s">
        <v>42</v>
      </c>
    </row>
    <row r="33" spans="2:11" x14ac:dyDescent="0.3">
      <c r="B33" s="13"/>
      <c r="C33" s="14"/>
      <c r="D33" s="13"/>
      <c r="E33" s="13"/>
      <c r="F33" s="14"/>
      <c r="G33" s="13"/>
      <c r="H33" s="13"/>
      <c r="I33" s="13"/>
      <c r="J33" s="13"/>
      <c r="K33" s="13"/>
    </row>
    <row r="34" spans="2:11" x14ac:dyDescent="0.3">
      <c r="B34" s="13"/>
      <c r="C34" s="14"/>
      <c r="D34" s="13"/>
      <c r="E34" s="13"/>
      <c r="F34" s="14"/>
      <c r="G34" s="14"/>
      <c r="H34" s="13"/>
      <c r="I34" s="13"/>
      <c r="J34" s="13"/>
      <c r="K34" s="13"/>
    </row>
    <row r="35" spans="2:11" x14ac:dyDescent="0.3">
      <c r="B35" s="13"/>
      <c r="C35" s="14"/>
      <c r="D35" s="13"/>
      <c r="E35" s="13"/>
      <c r="F35" s="14"/>
      <c r="G35" s="13"/>
      <c r="H35" s="13"/>
      <c r="I35" s="13"/>
      <c r="J35" s="13"/>
      <c r="K35" s="13"/>
    </row>
    <row r="36" spans="2:11" x14ac:dyDescent="0.3">
      <c r="B36" s="13"/>
      <c r="C36" s="14"/>
      <c r="D36" s="13"/>
      <c r="E36" s="13"/>
      <c r="F36" s="14"/>
      <c r="G36" s="13"/>
      <c r="H36" s="13"/>
      <c r="I36" s="13"/>
      <c r="J36" s="13"/>
      <c r="K36" s="13"/>
    </row>
    <row r="37" spans="2:11" x14ac:dyDescent="0.3">
      <c r="B37" s="13"/>
      <c r="C37" s="14"/>
      <c r="D37" s="13"/>
      <c r="E37" s="13"/>
      <c r="F37" s="14"/>
      <c r="G37" s="13"/>
      <c r="H37" s="13"/>
      <c r="I37" s="13"/>
      <c r="J37" s="13"/>
      <c r="K37" s="13"/>
    </row>
    <row r="38" spans="2:11" x14ac:dyDescent="0.3">
      <c r="B38" s="13"/>
      <c r="C38" s="14"/>
      <c r="D38" s="13"/>
      <c r="E38" s="13"/>
      <c r="F38" s="14"/>
      <c r="G38" s="13"/>
      <c r="H38" s="13"/>
      <c r="I38" s="13"/>
      <c r="J38" s="13"/>
      <c r="K38" s="13"/>
    </row>
    <row r="39" spans="2:11" x14ac:dyDescent="0.3">
      <c r="B39" s="13"/>
      <c r="C39" s="14"/>
      <c r="D39" s="13"/>
      <c r="E39" s="13"/>
      <c r="F39" s="14"/>
      <c r="G39" s="13"/>
      <c r="H39" s="13"/>
      <c r="I39" s="13"/>
      <c r="J39" s="13"/>
      <c r="K39" s="13"/>
    </row>
    <row r="40" spans="2:11" x14ac:dyDescent="0.3">
      <c r="B40" s="13"/>
      <c r="C40" s="14"/>
      <c r="D40" s="13"/>
      <c r="E40" s="13"/>
      <c r="F40" s="14"/>
      <c r="G40" s="13"/>
      <c r="H40" s="13"/>
      <c r="I40" s="13"/>
      <c r="J40" s="13"/>
      <c r="K40" s="13"/>
    </row>
    <row r="41" spans="2:11" x14ac:dyDescent="0.3">
      <c r="B41" s="13"/>
      <c r="C41" s="14"/>
      <c r="D41" s="13"/>
      <c r="E41" s="13"/>
      <c r="F41" s="14"/>
      <c r="G41" s="13"/>
      <c r="H41" s="13"/>
      <c r="I41" s="13"/>
      <c r="J41" s="13"/>
      <c r="K41" s="13"/>
    </row>
    <row r="42" spans="2:11" x14ac:dyDescent="0.3">
      <c r="B42" s="13"/>
      <c r="C42" s="14"/>
      <c r="D42" s="13"/>
      <c r="E42" s="13"/>
      <c r="F42" s="14"/>
      <c r="G42" s="13"/>
      <c r="H42" s="13"/>
      <c r="I42" s="13"/>
      <c r="J42" s="13"/>
      <c r="K42" s="13"/>
    </row>
    <row r="43" spans="2:11" x14ac:dyDescent="0.3">
      <c r="B43" s="13"/>
      <c r="C43" s="14"/>
      <c r="D43" s="13"/>
      <c r="E43" s="13"/>
      <c r="F43" s="14"/>
      <c r="G43" s="13"/>
      <c r="H43" s="13"/>
      <c r="I43" s="13"/>
      <c r="J43" s="13"/>
      <c r="K43" s="13"/>
    </row>
    <row r="44" spans="2:11" x14ac:dyDescent="0.3">
      <c r="B44" s="13"/>
      <c r="C44" s="14"/>
      <c r="D44" s="13"/>
      <c r="E44" s="13"/>
      <c r="F44" s="14"/>
      <c r="G44" s="13"/>
      <c r="H44" s="13"/>
      <c r="I44" s="13"/>
      <c r="J44" s="13"/>
      <c r="K44" s="13"/>
    </row>
    <row r="45" spans="2:11" x14ac:dyDescent="0.3">
      <c r="B45" s="13"/>
      <c r="C45" s="14"/>
      <c r="D45" s="13"/>
      <c r="E45" s="13"/>
      <c r="F45" s="14"/>
      <c r="G45" s="13"/>
      <c r="H45" s="13"/>
      <c r="I45" s="13"/>
      <c r="J45" s="13"/>
      <c r="K45" s="13"/>
    </row>
  </sheetData>
  <sortState xmlns:xlrd2="http://schemas.microsoft.com/office/spreadsheetml/2017/richdata2" ref="A2:K29">
    <sortCondition ref="A1:A29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B9E3-F1B1-4BBA-8448-AA08178AE33D}">
  <dimension ref="A1:AA29"/>
  <sheetViews>
    <sheetView tabSelected="1" topLeftCell="E1" zoomScaleNormal="100" workbookViewId="0">
      <selection activeCell="J28" sqref="J28"/>
    </sheetView>
  </sheetViews>
  <sheetFormatPr defaultColWidth="8.77734375" defaultRowHeight="14.4" x14ac:dyDescent="0.3"/>
  <cols>
    <col min="1" max="1" width="7.88671875" customWidth="1"/>
    <col min="2" max="2" width="17.77734375" style="13" customWidth="1"/>
    <col min="3" max="3" width="17.77734375" style="14" customWidth="1"/>
    <col min="4" max="5" width="17.77734375" style="13" customWidth="1"/>
    <col min="6" max="6" width="17.77734375" style="14" customWidth="1"/>
    <col min="7" max="11" width="17.77734375" style="13" customWidth="1"/>
    <col min="12" max="13" width="17.77734375" customWidth="1"/>
    <col min="14" max="14" width="43.109375" customWidth="1"/>
    <col min="15" max="15" width="37.33203125" bestFit="1" customWidth="1"/>
    <col min="16" max="16" width="16.109375" customWidth="1"/>
    <col min="17" max="17" width="45.5546875" customWidth="1"/>
  </cols>
  <sheetData>
    <row r="1" spans="1:27" ht="43.2" x14ac:dyDescent="0.3">
      <c r="A1" s="2" t="s">
        <v>0</v>
      </c>
      <c r="B1" s="3" t="s">
        <v>1</v>
      </c>
      <c r="C1" s="12" t="s">
        <v>2</v>
      </c>
      <c r="D1" s="3" t="s">
        <v>3</v>
      </c>
      <c r="E1" s="3" t="s">
        <v>4</v>
      </c>
      <c r="F1" s="12" t="s">
        <v>5</v>
      </c>
      <c r="G1" s="3" t="s">
        <v>6</v>
      </c>
      <c r="H1" s="3" t="s">
        <v>9</v>
      </c>
      <c r="I1" s="3" t="s">
        <v>7</v>
      </c>
      <c r="J1" s="3" t="s">
        <v>8</v>
      </c>
      <c r="K1" s="3" t="s">
        <v>10</v>
      </c>
      <c r="L1" s="2"/>
      <c r="M1" s="2"/>
      <c r="N1" s="1"/>
      <c r="O1" s="1"/>
      <c r="P1" s="2"/>
      <c r="Q1" s="8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3">
      <c r="A2" t="s">
        <v>25</v>
      </c>
      <c r="B2" s="13">
        <v>2400</v>
      </c>
      <c r="C2" s="14">
        <f>125+((25/6)*5)</f>
        <v>145.83333333333334</v>
      </c>
      <c r="D2" s="13">
        <v>138</v>
      </c>
      <c r="E2" s="13">
        <v>3480</v>
      </c>
      <c r="F2" s="14">
        <f>250+((25/6)*6)</f>
        <v>275</v>
      </c>
      <c r="G2" s="13">
        <v>173</v>
      </c>
      <c r="H2">
        <v>309.58333333333297</v>
      </c>
      <c r="I2">
        <v>3906.2220624566698</v>
      </c>
      <c r="J2">
        <v>184</v>
      </c>
      <c r="K2" s="13">
        <v>67</v>
      </c>
      <c r="L2" s="1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s="5" customFormat="1" x14ac:dyDescent="0.3">
      <c r="A3" t="s">
        <v>26</v>
      </c>
      <c r="B3" s="13">
        <v>3120</v>
      </c>
      <c r="C3" s="14">
        <f>225+((25/6)*1)</f>
        <v>229.16666666666666</v>
      </c>
      <c r="D3" s="13">
        <v>125</v>
      </c>
      <c r="E3" s="13">
        <v>4310</v>
      </c>
      <c r="F3" s="14">
        <f>350+((25/6)*1)</f>
        <v>354.16666666666669</v>
      </c>
      <c r="G3" s="13">
        <v>157</v>
      </c>
      <c r="H3">
        <v>455</v>
      </c>
      <c r="I3">
        <v>4988.5685988566702</v>
      </c>
      <c r="J3">
        <v>178</v>
      </c>
      <c r="K3" s="13">
        <v>85</v>
      </c>
      <c r="L3" s="1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3">
      <c r="A4" t="s">
        <v>28</v>
      </c>
      <c r="B4" s="13">
        <v>2970</v>
      </c>
      <c r="C4" s="14">
        <f>175+((25/6)*1)</f>
        <v>179.16666666666666</v>
      </c>
      <c r="D4" s="13">
        <v>119</v>
      </c>
      <c r="E4" s="13">
        <v>3460</v>
      </c>
      <c r="F4" s="14">
        <f>225+((25/6)*3)</f>
        <v>237.5</v>
      </c>
      <c r="G4" s="13">
        <v>133</v>
      </c>
      <c r="H4">
        <v>352.08333333333297</v>
      </c>
      <c r="I4">
        <v>4100.4320125633303</v>
      </c>
      <c r="J4">
        <v>163</v>
      </c>
      <c r="K4" s="13">
        <v>93</v>
      </c>
      <c r="L4" s="1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3">
      <c r="A5" t="s">
        <v>21</v>
      </c>
      <c r="B5" s="13">
        <v>2850</v>
      </c>
      <c r="C5" s="14">
        <f>150+((25/6)*1)</f>
        <v>154.16666666666666</v>
      </c>
      <c r="D5" s="13">
        <v>140</v>
      </c>
      <c r="E5" s="13">
        <v>3650</v>
      </c>
      <c r="F5" s="14">
        <f>250+((25/6)*2)</f>
        <v>258.33333333333331</v>
      </c>
      <c r="G5" s="13">
        <v>173</v>
      </c>
      <c r="H5">
        <v>350</v>
      </c>
      <c r="I5">
        <v>4399.8756562400004</v>
      </c>
      <c r="J5">
        <v>195</v>
      </c>
      <c r="K5" s="13">
        <v>84</v>
      </c>
      <c r="L5" s="1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s="5" customFormat="1" x14ac:dyDescent="0.3">
      <c r="A6" t="s">
        <v>32</v>
      </c>
      <c r="B6" s="13">
        <v>4100</v>
      </c>
      <c r="C6" s="14">
        <f>300+((25/6)*2)</f>
        <v>308.33333333333331</v>
      </c>
      <c r="D6" s="13">
        <v>126</v>
      </c>
      <c r="E6" s="13">
        <v>4650</v>
      </c>
      <c r="F6" s="14">
        <f>350+((25/6)*3)</f>
        <v>362.5</v>
      </c>
      <c r="G6" s="14">
        <v>137</v>
      </c>
      <c r="H6">
        <v>495</v>
      </c>
      <c r="I6">
        <v>5723.6373616800001</v>
      </c>
      <c r="J6">
        <v>160</v>
      </c>
      <c r="K6" s="13">
        <v>67</v>
      </c>
      <c r="L6" s="1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3">
      <c r="A7" t="s">
        <v>19</v>
      </c>
      <c r="B7" s="13">
        <v>2600</v>
      </c>
      <c r="C7" s="14">
        <f>175+((25/6)*5)</f>
        <v>195.83333333333334</v>
      </c>
      <c r="D7" s="13">
        <v>132</v>
      </c>
      <c r="E7" s="13">
        <v>3080</v>
      </c>
      <c r="F7" s="14">
        <v>250</v>
      </c>
      <c r="G7" s="13">
        <v>147</v>
      </c>
      <c r="H7">
        <v>327.91666666666703</v>
      </c>
      <c r="I7">
        <v>3526.3209889366699</v>
      </c>
      <c r="J7">
        <v>168</v>
      </c>
      <c r="K7" s="13">
        <v>78</v>
      </c>
      <c r="L7" s="11"/>
      <c r="M7" s="6"/>
      <c r="N7" s="7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s="5" customFormat="1" x14ac:dyDescent="0.3">
      <c r="A8" t="s">
        <v>12</v>
      </c>
      <c r="B8" s="13">
        <v>2920</v>
      </c>
      <c r="C8" s="14">
        <f>200+((25/6)*5)</f>
        <v>220.83333333333334</v>
      </c>
      <c r="D8" s="13">
        <v>156</v>
      </c>
      <c r="E8" s="13">
        <v>3340</v>
      </c>
      <c r="F8" s="14">
        <f>250+((25/6)*6)</f>
        <v>275</v>
      </c>
      <c r="G8" s="13">
        <v>170</v>
      </c>
      <c r="H8">
        <v>352.91666666666703</v>
      </c>
      <c r="I8">
        <v>4089.8907798199998</v>
      </c>
      <c r="J8">
        <v>190</v>
      </c>
      <c r="K8" s="13">
        <v>60</v>
      </c>
      <c r="L8"/>
      <c r="M8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s="4" customFormat="1" x14ac:dyDescent="0.3">
      <c r="A9" t="s">
        <v>33</v>
      </c>
      <c r="B9" s="13">
        <v>2600</v>
      </c>
      <c r="C9" s="14">
        <f>150+((25/6)*4)</f>
        <v>166.66666666666666</v>
      </c>
      <c r="D9" s="13">
        <v>125</v>
      </c>
      <c r="E9" s="13">
        <v>3270</v>
      </c>
      <c r="F9" s="14">
        <f>250+((25/6)*3)</f>
        <v>262.5</v>
      </c>
      <c r="G9" s="14">
        <v>153</v>
      </c>
      <c r="H9">
        <v>350.83333333333297</v>
      </c>
      <c r="I9">
        <v>3932.8909251099999</v>
      </c>
      <c r="J9">
        <v>170</v>
      </c>
      <c r="K9" s="13">
        <v>85</v>
      </c>
      <c r="L9"/>
      <c r="M9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3">
      <c r="A10" t="s">
        <v>34</v>
      </c>
      <c r="B10" s="13">
        <v>2900</v>
      </c>
      <c r="C10" s="14">
        <f>175+((25/6)*5)</f>
        <v>195.83333333333334</v>
      </c>
      <c r="D10" s="13">
        <v>146</v>
      </c>
      <c r="E10" s="13">
        <v>3460</v>
      </c>
      <c r="F10" s="14">
        <f>250+((25/6)*6)</f>
        <v>275</v>
      </c>
      <c r="G10" s="14">
        <v>169</v>
      </c>
      <c r="H10">
        <v>339.16666666666703</v>
      </c>
      <c r="I10">
        <v>4250.2425628933297</v>
      </c>
      <c r="J10">
        <v>188</v>
      </c>
      <c r="K10" s="13">
        <v>65</v>
      </c>
      <c r="N10" s="6"/>
      <c r="O10" s="6"/>
      <c r="P10" s="6"/>
      <c r="Q10" s="7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s="4" customFormat="1" x14ac:dyDescent="0.3">
      <c r="A11" t="s">
        <v>27</v>
      </c>
      <c r="B11" s="13">
        <v>2430</v>
      </c>
      <c r="C11" s="14">
        <v>175</v>
      </c>
      <c r="D11" s="13">
        <v>145</v>
      </c>
      <c r="E11" s="13">
        <v>2930</v>
      </c>
      <c r="F11" s="14">
        <f>225+((25/6)*4)</f>
        <v>241.66666666666666</v>
      </c>
      <c r="G11" s="13">
        <v>170</v>
      </c>
      <c r="H11">
        <v>287.5</v>
      </c>
      <c r="I11">
        <v>3399.06097217667</v>
      </c>
      <c r="J11">
        <v>175</v>
      </c>
      <c r="K11" s="13">
        <v>65</v>
      </c>
      <c r="L11"/>
      <c r="M1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3">
      <c r="A12" t="s">
        <v>35</v>
      </c>
      <c r="B12" s="13">
        <v>3400</v>
      </c>
      <c r="C12" s="14">
        <f>225+((25/6)*4)</f>
        <v>241.66666666666666</v>
      </c>
      <c r="D12" s="13">
        <v>154</v>
      </c>
      <c r="E12" s="13">
        <v>3810</v>
      </c>
      <c r="F12" s="14">
        <v>325</v>
      </c>
      <c r="G12" s="14">
        <v>166</v>
      </c>
      <c r="H12">
        <v>395</v>
      </c>
      <c r="I12">
        <v>4266.3266303966702</v>
      </c>
      <c r="J12">
        <v>183</v>
      </c>
      <c r="K12" s="13">
        <v>93</v>
      </c>
      <c r="N12" s="6"/>
      <c r="O12" s="6"/>
      <c r="P12" s="6"/>
      <c r="Q12" s="6"/>
      <c r="R12" s="6"/>
      <c r="S12" s="6"/>
      <c r="T12" s="6"/>
      <c r="U12" s="6"/>
    </row>
    <row r="13" spans="1:27" s="6" customFormat="1" x14ac:dyDescent="0.3">
      <c r="A13" t="s">
        <v>24</v>
      </c>
      <c r="B13" s="13">
        <v>3440</v>
      </c>
      <c r="C13" s="14">
        <f>250+((25/6)*6)</f>
        <v>275</v>
      </c>
      <c r="D13" s="13">
        <v>156</v>
      </c>
      <c r="E13" s="13">
        <v>3780</v>
      </c>
      <c r="F13" s="14">
        <f>300+((25/6)*3)</f>
        <v>312.5</v>
      </c>
      <c r="G13" s="13">
        <v>165</v>
      </c>
      <c r="H13">
        <v>420</v>
      </c>
      <c r="I13">
        <v>4637.3390098833297</v>
      </c>
      <c r="J13">
        <v>194</v>
      </c>
      <c r="K13" s="13">
        <v>91</v>
      </c>
      <c r="L13"/>
      <c r="M13"/>
    </row>
    <row r="14" spans="1:27" x14ac:dyDescent="0.3">
      <c r="A14" t="s">
        <v>36</v>
      </c>
      <c r="B14" s="13">
        <v>2600</v>
      </c>
      <c r="C14" s="14">
        <f>150+((25/6)*3)</f>
        <v>162.5</v>
      </c>
      <c r="D14" s="13">
        <v>130</v>
      </c>
      <c r="E14" s="13">
        <v>3350</v>
      </c>
      <c r="F14" s="14">
        <f>225+((25/6)*3)</f>
        <v>237.5</v>
      </c>
      <c r="G14" s="14">
        <v>152</v>
      </c>
      <c r="H14">
        <v>285.83333333333297</v>
      </c>
      <c r="I14">
        <v>3831.6490261633298</v>
      </c>
      <c r="J14">
        <v>169</v>
      </c>
      <c r="K14" s="13">
        <v>79</v>
      </c>
    </row>
    <row r="15" spans="1:27" x14ac:dyDescent="0.3">
      <c r="A15" t="s">
        <v>15</v>
      </c>
      <c r="B15" s="13">
        <v>3430</v>
      </c>
      <c r="C15" s="14">
        <f>225+((25/6)*5)</f>
        <v>245.83333333333334</v>
      </c>
      <c r="D15" s="13">
        <v>145</v>
      </c>
      <c r="E15" s="13">
        <v>3920</v>
      </c>
      <c r="F15" s="14">
        <f>275+((25/6)*5)</f>
        <v>295.83333333333331</v>
      </c>
      <c r="G15" s="13">
        <v>156</v>
      </c>
      <c r="H15">
        <v>402.5</v>
      </c>
      <c r="I15">
        <v>4680.2379229133303</v>
      </c>
      <c r="J15">
        <v>177</v>
      </c>
      <c r="K15" s="13">
        <v>92</v>
      </c>
    </row>
    <row r="16" spans="1:27" x14ac:dyDescent="0.3">
      <c r="A16" t="s">
        <v>37</v>
      </c>
      <c r="B16" s="13">
        <v>2780</v>
      </c>
      <c r="C16" s="14">
        <f>200+((25/6)*2)</f>
        <v>208.33333333333334</v>
      </c>
      <c r="D16" s="13">
        <v>126</v>
      </c>
      <c r="E16" s="13">
        <v>3270</v>
      </c>
      <c r="F16" s="14">
        <f>250+((25/6)*2)</f>
        <v>258.33333333333331</v>
      </c>
      <c r="G16" s="14">
        <v>141</v>
      </c>
      <c r="H16">
        <v>299.16666666666703</v>
      </c>
      <c r="I16">
        <v>3677.0249262100001</v>
      </c>
      <c r="J16">
        <v>159</v>
      </c>
      <c r="K16" s="13">
        <v>81</v>
      </c>
    </row>
    <row r="17" spans="1:11" x14ac:dyDescent="0.3">
      <c r="A17" t="s">
        <v>20</v>
      </c>
      <c r="B17" s="13">
        <v>2830</v>
      </c>
      <c r="C17" s="14">
        <f>175+((25/6)*1)</f>
        <v>179.16666666666666</v>
      </c>
      <c r="D17" s="13">
        <v>145</v>
      </c>
      <c r="E17" s="13">
        <v>3500</v>
      </c>
      <c r="F17" s="14">
        <f>250+((25/6)*1)</f>
        <v>254.16666666666666</v>
      </c>
      <c r="G17" s="13">
        <v>168</v>
      </c>
      <c r="H17">
        <v>336.66666666666703</v>
      </c>
      <c r="I17">
        <v>4048.51968076</v>
      </c>
      <c r="J17">
        <v>192</v>
      </c>
      <c r="K17" s="13">
        <v>64</v>
      </c>
    </row>
    <row r="18" spans="1:11" x14ac:dyDescent="0.3">
      <c r="A18" t="s">
        <v>38</v>
      </c>
      <c r="B18" s="13">
        <v>2400</v>
      </c>
      <c r="C18" s="14">
        <f>175+((25/6)*5)</f>
        <v>195.83333333333334</v>
      </c>
      <c r="D18" s="13">
        <v>150</v>
      </c>
      <c r="E18" s="13">
        <v>2670</v>
      </c>
      <c r="F18" s="14">
        <f>200+((25/6)*1)</f>
        <v>204.16666666666666</v>
      </c>
      <c r="G18" s="14">
        <v>160</v>
      </c>
      <c r="H18">
        <v>259.16666666666703</v>
      </c>
      <c r="I18">
        <v>3024.9154496733299</v>
      </c>
      <c r="J18">
        <v>183</v>
      </c>
      <c r="K18" s="13">
        <v>90</v>
      </c>
    </row>
    <row r="19" spans="1:11" x14ac:dyDescent="0.3">
      <c r="A19" t="s">
        <v>16</v>
      </c>
      <c r="B19" s="13">
        <v>2500</v>
      </c>
      <c r="C19" s="14">
        <f>125+((25/6)*6)</f>
        <v>150</v>
      </c>
      <c r="D19" s="13">
        <v>130</v>
      </c>
      <c r="E19" s="13">
        <v>3000</v>
      </c>
      <c r="F19" s="14">
        <f>200+((25/6)*1)</f>
        <v>204.16666666666666</v>
      </c>
      <c r="G19" s="13">
        <v>144</v>
      </c>
      <c r="H19">
        <v>315.41666666666703</v>
      </c>
      <c r="I19">
        <v>3463.5741021833301</v>
      </c>
      <c r="J19">
        <v>172</v>
      </c>
      <c r="K19" s="13">
        <v>72</v>
      </c>
    </row>
    <row r="20" spans="1:11" x14ac:dyDescent="0.3">
      <c r="A20" t="s">
        <v>17</v>
      </c>
      <c r="B20" s="13">
        <v>2450</v>
      </c>
      <c r="C20" s="14">
        <f>150+((25/6)*1)</f>
        <v>154.16666666666666</v>
      </c>
      <c r="D20" s="13">
        <v>119</v>
      </c>
      <c r="E20" s="13">
        <v>2990</v>
      </c>
      <c r="F20" s="14">
        <f>225+((25/6)*1)</f>
        <v>229.16666666666666</v>
      </c>
      <c r="G20" s="13">
        <v>138</v>
      </c>
      <c r="H20">
        <v>300.41666666666703</v>
      </c>
      <c r="I20">
        <v>3848.0784507666699</v>
      </c>
      <c r="J20">
        <v>154</v>
      </c>
      <c r="K20" s="13">
        <v>86</v>
      </c>
    </row>
    <row r="21" spans="1:11" x14ac:dyDescent="0.3">
      <c r="A21" t="s">
        <v>31</v>
      </c>
      <c r="B21" s="13">
        <v>2700</v>
      </c>
      <c r="C21" s="14">
        <f>175+((25/6)*4)</f>
        <v>191.66666666666666</v>
      </c>
      <c r="D21" s="13">
        <v>135</v>
      </c>
      <c r="E21" s="13">
        <v>3350</v>
      </c>
      <c r="F21" s="14">
        <f>250+((25/6)*5)</f>
        <v>270.83333333333331</v>
      </c>
      <c r="G21" s="13">
        <v>156</v>
      </c>
      <c r="H21">
        <v>344.16666666666703</v>
      </c>
      <c r="I21">
        <v>3869.54213078667</v>
      </c>
      <c r="J21">
        <v>178</v>
      </c>
      <c r="K21" s="13">
        <v>67</v>
      </c>
    </row>
    <row r="22" spans="1:11" x14ac:dyDescent="0.3">
      <c r="A22" t="s">
        <v>23</v>
      </c>
      <c r="B22" s="13">
        <v>2900</v>
      </c>
      <c r="C22" s="14">
        <f>175+((25/6)*6)</f>
        <v>200</v>
      </c>
      <c r="D22" s="13">
        <v>137</v>
      </c>
      <c r="E22" s="13">
        <v>3380</v>
      </c>
      <c r="F22" s="14">
        <f>250+((25/6)*3)</f>
        <v>262.5</v>
      </c>
      <c r="G22" s="13">
        <v>150</v>
      </c>
      <c r="H22">
        <v>349.16666666666703</v>
      </c>
      <c r="I22">
        <v>4250.7171514600004</v>
      </c>
      <c r="J22">
        <v>169</v>
      </c>
      <c r="K22" s="13">
        <v>81</v>
      </c>
    </row>
    <row r="23" spans="1:11" x14ac:dyDescent="0.3">
      <c r="A23" t="s">
        <v>11</v>
      </c>
      <c r="B23" s="13">
        <v>2080</v>
      </c>
      <c r="C23" s="14">
        <v>100</v>
      </c>
      <c r="D23" s="13">
        <v>152</v>
      </c>
      <c r="E23" s="13">
        <v>2420</v>
      </c>
      <c r="F23" s="14">
        <f>125+((25/6)*6)</f>
        <v>150</v>
      </c>
      <c r="G23" s="13">
        <v>170</v>
      </c>
      <c r="H23">
        <v>190.833333333333</v>
      </c>
      <c r="I23">
        <v>2698.98142222667</v>
      </c>
      <c r="J23">
        <v>190</v>
      </c>
      <c r="K23" s="13">
        <v>59</v>
      </c>
    </row>
    <row r="24" spans="1:11" x14ac:dyDescent="0.3">
      <c r="A24" t="s">
        <v>14</v>
      </c>
      <c r="B24" s="13">
        <v>2600</v>
      </c>
      <c r="C24" s="14">
        <f>175+((25/6)*2)</f>
        <v>183.33333333333334</v>
      </c>
      <c r="D24" s="13">
        <v>161</v>
      </c>
      <c r="E24" s="13">
        <v>3220</v>
      </c>
      <c r="F24" s="14">
        <f>225+((25/6)*6)</f>
        <v>250</v>
      </c>
      <c r="G24" s="13">
        <v>175</v>
      </c>
      <c r="H24">
        <v>306.66666666666703</v>
      </c>
      <c r="I24">
        <v>3490.1838160266698</v>
      </c>
      <c r="J24">
        <v>187</v>
      </c>
      <c r="K24" s="13">
        <v>73</v>
      </c>
    </row>
    <row r="25" spans="1:11" x14ac:dyDescent="0.3">
      <c r="A25" t="s">
        <v>13</v>
      </c>
      <c r="B25" s="13">
        <v>2700</v>
      </c>
      <c r="C25" s="14">
        <f>200+((25/6)*6)</f>
        <v>225</v>
      </c>
      <c r="D25" s="13">
        <v>146</v>
      </c>
      <c r="E25" s="13">
        <v>3150</v>
      </c>
      <c r="F25" s="14">
        <f>275+((25/6)*2)</f>
        <v>283.33333333333331</v>
      </c>
      <c r="G25" s="13">
        <v>160</v>
      </c>
      <c r="H25">
        <v>320.83333333333297</v>
      </c>
      <c r="I25">
        <v>3466.4217585900001</v>
      </c>
      <c r="J25">
        <v>174</v>
      </c>
      <c r="K25" s="13">
        <v>74</v>
      </c>
    </row>
    <row r="26" spans="1:11" x14ac:dyDescent="0.3">
      <c r="A26" t="s">
        <v>29</v>
      </c>
      <c r="B26" s="13">
        <v>3400</v>
      </c>
      <c r="C26" s="14">
        <f>175+((25/6)*6)</f>
        <v>200</v>
      </c>
      <c r="D26" s="13">
        <v>142</v>
      </c>
      <c r="E26" s="13">
        <v>4090</v>
      </c>
      <c r="F26" s="14">
        <f>275+((25/6)*3)</f>
        <v>287.5</v>
      </c>
      <c r="G26" s="13">
        <v>164</v>
      </c>
      <c r="H26">
        <v>402.5</v>
      </c>
      <c r="I26">
        <v>4875.3541900199998</v>
      </c>
      <c r="J26">
        <v>179</v>
      </c>
      <c r="K26" s="13">
        <v>81</v>
      </c>
    </row>
    <row r="27" spans="1:11" x14ac:dyDescent="0.3">
      <c r="A27" t="s">
        <v>22</v>
      </c>
      <c r="B27" s="13">
        <v>3340</v>
      </c>
      <c r="C27" s="14">
        <f>225+((25/6)*6)</f>
        <v>250</v>
      </c>
      <c r="D27" s="13">
        <v>134</v>
      </c>
      <c r="E27" s="13">
        <v>3840</v>
      </c>
      <c r="F27" s="14">
        <f>300+((25/6)*1)</f>
        <v>304.16666666666669</v>
      </c>
      <c r="G27" s="13">
        <v>148</v>
      </c>
      <c r="H27">
        <v>381.66666666666703</v>
      </c>
      <c r="I27">
        <v>4301.2944739333298</v>
      </c>
      <c r="J27">
        <v>170</v>
      </c>
      <c r="K27" s="13">
        <v>68</v>
      </c>
    </row>
    <row r="28" spans="1:11" x14ac:dyDescent="0.3">
      <c r="A28" t="s">
        <v>30</v>
      </c>
      <c r="B28" s="13">
        <v>2900</v>
      </c>
      <c r="C28" s="14">
        <f>200+((25/6)*5)</f>
        <v>220.83333333333334</v>
      </c>
      <c r="D28" s="13">
        <v>136</v>
      </c>
      <c r="E28" s="13">
        <v>3250</v>
      </c>
      <c r="F28" s="14">
        <f>250+((25/6)*6)</f>
        <v>275</v>
      </c>
      <c r="G28" s="13">
        <v>143</v>
      </c>
      <c r="H28">
        <v>365.41666666666703</v>
      </c>
      <c r="I28">
        <v>3987.4691243133302</v>
      </c>
      <c r="J28">
        <v>170</v>
      </c>
      <c r="K28" s="13">
        <v>90</v>
      </c>
    </row>
    <row r="29" spans="1:11" x14ac:dyDescent="0.3">
      <c r="A29" t="s">
        <v>18</v>
      </c>
      <c r="B29" s="13">
        <v>3310</v>
      </c>
      <c r="C29" s="14">
        <f>250+((25/6)*3)</f>
        <v>262.5</v>
      </c>
      <c r="D29" s="13">
        <v>151</v>
      </c>
      <c r="E29" s="13">
        <v>3840</v>
      </c>
      <c r="F29" s="14">
        <f>325+((25/6)*3)</f>
        <v>337.5</v>
      </c>
      <c r="G29" s="13">
        <v>163</v>
      </c>
      <c r="H29">
        <v>392.08333333333297</v>
      </c>
      <c r="I29">
        <v>4370.3982099599998</v>
      </c>
      <c r="J29">
        <v>176</v>
      </c>
      <c r="K29" s="13">
        <v>96</v>
      </c>
    </row>
  </sheetData>
  <sortState xmlns:xlrd2="http://schemas.microsoft.com/office/spreadsheetml/2017/richdata2" ref="A2:K29">
    <sortCondition ref="A1:A2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5D91-E633-4D39-9A75-6E360BBDD845}">
  <dimension ref="A1:M29"/>
  <sheetViews>
    <sheetView workbookViewId="0">
      <selection activeCell="H17" sqref="H17"/>
    </sheetView>
  </sheetViews>
  <sheetFormatPr defaultRowHeight="14.4" x14ac:dyDescent="0.3"/>
  <sheetData>
    <row r="1" spans="1:13" ht="86.4" x14ac:dyDescent="0.3">
      <c r="A1" s="2" t="s">
        <v>0</v>
      </c>
      <c r="B1" s="3" t="s">
        <v>1</v>
      </c>
      <c r="C1" s="12" t="s">
        <v>2</v>
      </c>
      <c r="D1" s="3" t="s">
        <v>3</v>
      </c>
      <c r="E1" s="3" t="s">
        <v>4</v>
      </c>
      <c r="F1" s="12" t="s">
        <v>5</v>
      </c>
      <c r="G1" s="3" t="s">
        <v>6</v>
      </c>
      <c r="H1" s="3" t="s">
        <v>9</v>
      </c>
      <c r="I1" s="3" t="s">
        <v>7</v>
      </c>
      <c r="J1" s="3" t="s">
        <v>8</v>
      </c>
      <c r="K1" s="3" t="s">
        <v>10</v>
      </c>
    </row>
    <row r="2" spans="1:13" x14ac:dyDescent="0.3">
      <c r="A2" t="s">
        <v>25</v>
      </c>
      <c r="B2" s="13">
        <f>POST!B2-PRE!B2</f>
        <v>560</v>
      </c>
      <c r="C2" s="14">
        <f>POST!C2-PRE!C2</f>
        <v>75</v>
      </c>
      <c r="D2" s="13">
        <f>POST!D2-PRE!D2</f>
        <v>13</v>
      </c>
      <c r="E2" s="13">
        <f>POST!E2-PRE!E2</f>
        <v>20</v>
      </c>
      <c r="F2" s="14">
        <f>POST!F2-PRE!F2</f>
        <v>-4.1666666666666856</v>
      </c>
      <c r="G2" s="13">
        <f>POST!G2-PRE!G2</f>
        <v>-7</v>
      </c>
      <c r="H2" s="13">
        <f>POST!H2-PRE!H2</f>
        <v>20</v>
      </c>
      <c r="I2" s="13">
        <f>POST!I2-PRE!I2</f>
        <v>-52.816331730000002</v>
      </c>
      <c r="J2" s="13">
        <f>POST!J2-PRE!J2</f>
        <v>3</v>
      </c>
      <c r="K2" s="13">
        <f>POST!K2-PRE!K2</f>
        <v>9.0000000000003411E-2</v>
      </c>
      <c r="M2" t="s">
        <v>43</v>
      </c>
    </row>
    <row r="3" spans="1:13" x14ac:dyDescent="0.3">
      <c r="A3" t="s">
        <v>26</v>
      </c>
      <c r="B3" s="13">
        <f>POST!B3-PRE!B3</f>
        <v>440</v>
      </c>
      <c r="C3" s="14">
        <f>POST!C3-PRE!C3</f>
        <v>29.166666666666657</v>
      </c>
      <c r="D3" s="13">
        <f>POST!D3-PRE!D3</f>
        <v>8</v>
      </c>
      <c r="E3" s="13">
        <f>POST!E3-PRE!E3</f>
        <v>130</v>
      </c>
      <c r="F3" s="14">
        <f>POST!F3-PRE!F3</f>
        <v>12.5</v>
      </c>
      <c r="G3" s="13">
        <f>POST!G3-PRE!G3</f>
        <v>2</v>
      </c>
      <c r="H3" s="13">
        <f>POST!H3-PRE!H3</f>
        <v>-35.833333333332973</v>
      </c>
      <c r="I3" s="13">
        <f>POST!I3-PRE!I3</f>
        <v>104.24552052333001</v>
      </c>
      <c r="J3" s="13">
        <f>POST!J3-PRE!J3</f>
        <v>-4</v>
      </c>
      <c r="K3" s="13">
        <f>POST!K3-PRE!K3</f>
        <v>1.7900000000000063</v>
      </c>
    </row>
    <row r="4" spans="1:13" x14ac:dyDescent="0.3">
      <c r="A4" t="s">
        <v>28</v>
      </c>
      <c r="B4" s="13">
        <f>POST!B4-PRE!B4</f>
        <v>-10</v>
      </c>
      <c r="C4" s="14">
        <f>POST!C4-PRE!C4</f>
        <v>33.333333333333343</v>
      </c>
      <c r="D4" s="13">
        <f>POST!D4-PRE!D4</f>
        <v>10</v>
      </c>
      <c r="E4" s="13">
        <f>POST!E4-PRE!E4</f>
        <v>-140</v>
      </c>
      <c r="F4" s="14">
        <f>POST!F4-PRE!F4</f>
        <v>8.3333333333333428</v>
      </c>
      <c r="G4" s="13">
        <f>POST!G4-PRE!G4</f>
        <v>7</v>
      </c>
      <c r="H4" s="13">
        <f>POST!H4-PRE!H4</f>
        <v>-21.666666666665947</v>
      </c>
      <c r="I4" s="13">
        <f>POST!I4-PRE!I4</f>
        <v>-33.876224940000156</v>
      </c>
      <c r="J4" s="13">
        <f>POST!J4-PRE!J4</f>
        <v>2</v>
      </c>
      <c r="K4" s="13">
        <f>POST!K4-PRE!K4</f>
        <v>3.0999999999999943</v>
      </c>
    </row>
    <row r="5" spans="1:13" x14ac:dyDescent="0.3">
      <c r="A5" t="s">
        <v>21</v>
      </c>
      <c r="B5" s="13">
        <f>POST!B5-PRE!B5</f>
        <v>340</v>
      </c>
      <c r="C5" s="14">
        <f>POST!C5-PRE!C5</f>
        <v>87.5</v>
      </c>
      <c r="D5" s="13">
        <f>POST!D5-PRE!D5</f>
        <v>29</v>
      </c>
      <c r="E5" s="13">
        <f>POST!E5-PRE!E5</f>
        <v>50</v>
      </c>
      <c r="F5" s="14">
        <f>POST!F5-PRE!F5</f>
        <v>20.833333333333371</v>
      </c>
      <c r="G5" s="13">
        <f>POST!G5-PRE!G5</f>
        <v>2</v>
      </c>
      <c r="H5" s="13">
        <f>POST!H5-PRE!H5</f>
        <v>7.0833333333329733</v>
      </c>
      <c r="I5" s="13">
        <f>POST!I5-PRE!I5</f>
        <v>-244.31040440000015</v>
      </c>
      <c r="J5" s="13">
        <f>POST!J5-PRE!J5</f>
        <v>-3</v>
      </c>
      <c r="K5" s="13">
        <f>POST!K5-PRE!K5</f>
        <v>0.42000000000000171</v>
      </c>
    </row>
    <row r="6" spans="1:13" x14ac:dyDescent="0.3">
      <c r="A6" t="s">
        <v>32</v>
      </c>
      <c r="B6" s="13">
        <f>POST!B6-PRE!B6</f>
        <v>60</v>
      </c>
      <c r="C6" s="14">
        <f>POST!C6-PRE!C6</f>
        <v>12.5</v>
      </c>
      <c r="D6" s="13">
        <f>POST!D6-PRE!D6</f>
        <v>8</v>
      </c>
      <c r="E6" s="13">
        <f>POST!E6-PRE!E6</f>
        <v>-20</v>
      </c>
      <c r="F6" s="14">
        <f>POST!F6-PRE!F6</f>
        <v>12.5</v>
      </c>
      <c r="G6" s="13">
        <f>POST!G6-PRE!G6</f>
        <v>6</v>
      </c>
      <c r="H6" s="13">
        <f>POST!H6-PRE!H6</f>
        <v>-15.416666666667027</v>
      </c>
      <c r="I6" s="13">
        <f>POST!I6-PRE!I6</f>
        <v>-228.05593299333032</v>
      </c>
      <c r="J6" s="13">
        <f>POST!J6-PRE!J6</f>
        <v>4</v>
      </c>
      <c r="K6" s="13">
        <f>POST!K6-PRE!K6</f>
        <v>26.510000000000005</v>
      </c>
    </row>
    <row r="7" spans="1:13" x14ac:dyDescent="0.3">
      <c r="A7" t="s">
        <v>19</v>
      </c>
      <c r="B7" s="13">
        <f>POST!B7-PRE!B7</f>
        <v>250</v>
      </c>
      <c r="C7" s="14">
        <f>POST!C7-PRE!C7</f>
        <v>16.666666666666657</v>
      </c>
      <c r="D7" s="13">
        <f>POST!D7-PRE!D7</f>
        <v>8</v>
      </c>
      <c r="E7" s="13">
        <f>POST!E7-PRE!E7</f>
        <v>110</v>
      </c>
      <c r="F7" s="14">
        <f>POST!F7-PRE!F7</f>
        <v>0</v>
      </c>
      <c r="G7" s="13">
        <f>POST!G7-PRE!G7</f>
        <v>2</v>
      </c>
      <c r="H7" s="13">
        <f>POST!H7-PRE!H7</f>
        <v>10.416666666665947</v>
      </c>
      <c r="I7" s="13">
        <f>POST!I7-PRE!I7</f>
        <v>302.73692510000001</v>
      </c>
      <c r="J7" s="13">
        <f>POST!J7-PRE!J7</f>
        <v>1</v>
      </c>
      <c r="K7" s="13">
        <f>POST!K7-PRE!K7</f>
        <v>-0.65999999999999659</v>
      </c>
    </row>
    <row r="8" spans="1:13" x14ac:dyDescent="0.3">
      <c r="A8" t="s">
        <v>12</v>
      </c>
      <c r="B8" s="13">
        <f>POST!B8-PRE!B8</f>
        <v>100</v>
      </c>
      <c r="C8" s="14">
        <f>POST!C8-PRE!C8</f>
        <v>12.5</v>
      </c>
      <c r="D8" s="13">
        <f>POST!D8-PRE!D8</f>
        <v>16</v>
      </c>
      <c r="E8" s="13">
        <f>POST!E8-PRE!E8</f>
        <v>30</v>
      </c>
      <c r="F8" s="14">
        <f>POST!F8-PRE!F8</f>
        <v>-8.3333333333333144</v>
      </c>
      <c r="G8" s="13">
        <f>POST!G8-PRE!G8</f>
        <v>11</v>
      </c>
      <c r="H8" s="13">
        <f>POST!H8-PRE!H8</f>
        <v>-3.75</v>
      </c>
      <c r="I8" s="13">
        <f>POST!I8-PRE!I8</f>
        <v>-227.80922686332997</v>
      </c>
      <c r="J8" s="13">
        <f>POST!J8-PRE!J8</f>
        <v>13</v>
      </c>
      <c r="K8" s="13">
        <f>POST!K8-PRE!K8</f>
        <v>1.0499999999999972</v>
      </c>
    </row>
    <row r="9" spans="1:13" x14ac:dyDescent="0.3">
      <c r="A9" t="s">
        <v>33</v>
      </c>
      <c r="B9" s="13">
        <f>POST!B9-PRE!B9</f>
        <v>260</v>
      </c>
      <c r="C9" s="14">
        <f>POST!C9-PRE!C9</f>
        <v>54.166666666666686</v>
      </c>
      <c r="D9" s="13">
        <f>POST!D9-PRE!D9</f>
        <v>16</v>
      </c>
      <c r="E9" s="13">
        <f>POST!E9-PRE!E9</f>
        <v>-50</v>
      </c>
      <c r="F9" s="14">
        <f>POST!F9-PRE!F9</f>
        <v>-16.666666666666657</v>
      </c>
      <c r="G9" s="13">
        <f>POST!G9-PRE!G9</f>
        <v>-5</v>
      </c>
      <c r="H9" s="13">
        <f>POST!H9-PRE!H9</f>
        <v>-20</v>
      </c>
      <c r="I9" s="13">
        <f>POST!I9-PRE!I9</f>
        <v>-248.89386704332992</v>
      </c>
      <c r="J9" s="13">
        <f>POST!J9-PRE!J9</f>
        <v>1</v>
      </c>
      <c r="K9" s="13">
        <f>POST!K9-PRE!K9</f>
        <v>-19.790000000000006</v>
      </c>
    </row>
    <row r="10" spans="1:13" x14ac:dyDescent="0.3">
      <c r="A10" t="s">
        <v>34</v>
      </c>
      <c r="B10" s="13">
        <f>POST!B10-PRE!B10</f>
        <v>-90</v>
      </c>
      <c r="C10" s="14">
        <f>POST!C10-PRE!C10</f>
        <v>0</v>
      </c>
      <c r="D10" s="13">
        <f>POST!D10-PRE!D10</f>
        <v>4</v>
      </c>
      <c r="E10" s="13">
        <f>POST!E10-PRE!E10</f>
        <v>-160</v>
      </c>
      <c r="F10" s="14">
        <f>POST!F10-PRE!F10</f>
        <v>-25</v>
      </c>
      <c r="G10" s="13">
        <f>POST!G10-PRE!G10</f>
        <v>-3</v>
      </c>
      <c r="H10" s="13">
        <f>POST!H10-PRE!H10</f>
        <v>-9.1666666666670267</v>
      </c>
      <c r="I10" s="13">
        <f>POST!I10-PRE!I10</f>
        <v>-489.53226123665991</v>
      </c>
      <c r="J10" s="13">
        <f>POST!J10-PRE!J10</f>
        <v>4</v>
      </c>
      <c r="K10" s="13">
        <f>POST!K10-PRE!K10</f>
        <v>13.430000000000007</v>
      </c>
    </row>
    <row r="11" spans="1:13" x14ac:dyDescent="0.3">
      <c r="A11" t="s">
        <v>27</v>
      </c>
      <c r="B11" s="13">
        <f>POST!B11-PRE!B11</f>
        <v>270</v>
      </c>
      <c r="C11" s="14">
        <f>POST!C11-PRE!C11</f>
        <v>45.833333333333343</v>
      </c>
      <c r="D11" s="13">
        <f>POST!D11-PRE!D11</f>
        <v>32</v>
      </c>
      <c r="E11" s="13">
        <f>POST!E11-PRE!E11</f>
        <v>80</v>
      </c>
      <c r="F11" s="14">
        <f>POST!F11-PRE!F11</f>
        <v>4.1666666666666856</v>
      </c>
      <c r="G11" s="13">
        <f>POST!G11-PRE!G11</f>
        <v>8</v>
      </c>
      <c r="H11" s="13">
        <f>POST!H11-PRE!H11</f>
        <v>0.41666666666702667</v>
      </c>
      <c r="I11" s="13">
        <f>POST!I11-PRE!I11</f>
        <v>-121.7241943966701</v>
      </c>
      <c r="J11" s="13">
        <f>POST!J11-PRE!J11</f>
        <v>17</v>
      </c>
      <c r="K11" s="13">
        <f>POST!K11-PRE!K11</f>
        <v>9.9999999999994316E-2</v>
      </c>
    </row>
    <row r="12" spans="1:13" x14ac:dyDescent="0.3">
      <c r="A12" t="s">
        <v>35</v>
      </c>
      <c r="B12" s="13">
        <f>POST!B12-PRE!B12</f>
        <v>-40</v>
      </c>
      <c r="C12" s="14">
        <f>POST!C12-PRE!C12</f>
        <v>25.000000000000028</v>
      </c>
      <c r="D12" s="13">
        <f>POST!D12-PRE!D12</f>
        <v>7</v>
      </c>
      <c r="E12" s="13">
        <f>POST!E12-PRE!E12</f>
        <v>70</v>
      </c>
      <c r="F12" s="14">
        <f>POST!F12-PRE!F12</f>
        <v>20.833333333333314</v>
      </c>
      <c r="G12" s="13">
        <f>POST!G12-PRE!G12</f>
        <v>7</v>
      </c>
      <c r="H12" s="13">
        <f>POST!H12-PRE!H12</f>
        <v>10</v>
      </c>
      <c r="I12" s="13">
        <f>POST!I12-PRE!I12</f>
        <v>115.62386285333014</v>
      </c>
      <c r="J12" s="13">
        <f>POST!J12-PRE!J12</f>
        <v>4</v>
      </c>
      <c r="K12" s="13">
        <f>POST!K12-PRE!K12</f>
        <v>-18.739999999999995</v>
      </c>
    </row>
    <row r="13" spans="1:13" x14ac:dyDescent="0.3">
      <c r="A13" t="s">
        <v>24</v>
      </c>
      <c r="B13" s="13">
        <f>POST!B13-PRE!B13</f>
        <v>-190</v>
      </c>
      <c r="C13" s="14">
        <f>POST!C13-PRE!C13</f>
        <v>-41.666666666666657</v>
      </c>
      <c r="D13" s="13">
        <f>POST!D13-PRE!D13</f>
        <v>-4</v>
      </c>
      <c r="E13" s="13">
        <f>POST!E13-PRE!E13</f>
        <v>-30</v>
      </c>
      <c r="F13" s="14">
        <f>POST!F13-PRE!F13</f>
        <v>4.1666666666666856</v>
      </c>
      <c r="G13" s="13">
        <f>POST!G13-PRE!G13</f>
        <v>6</v>
      </c>
      <c r="H13" s="13">
        <f>POST!H13-PRE!H13</f>
        <v>1.25</v>
      </c>
      <c r="I13" s="13">
        <f>POST!I13-PRE!I13</f>
        <v>-134.8165020066599</v>
      </c>
      <c r="J13" s="13">
        <f>POST!J13-PRE!J13</f>
        <v>6</v>
      </c>
      <c r="K13" s="13">
        <f>POST!K13-PRE!K13</f>
        <v>1</v>
      </c>
    </row>
    <row r="14" spans="1:13" x14ac:dyDescent="0.3">
      <c r="A14" t="s">
        <v>36</v>
      </c>
      <c r="B14" s="13">
        <f>POST!B14-PRE!B14</f>
        <v>310</v>
      </c>
      <c r="C14" s="14">
        <f>POST!C14-PRE!C14</f>
        <v>41.666666666666657</v>
      </c>
      <c r="D14" s="13">
        <f>POST!D14-PRE!D14</f>
        <v>13</v>
      </c>
      <c r="E14" s="13">
        <f>POST!E14-PRE!E14</f>
        <v>-150</v>
      </c>
      <c r="F14" s="14">
        <f>POST!F14-PRE!F14</f>
        <v>0</v>
      </c>
      <c r="G14" s="13">
        <f>POST!G14-PRE!G14</f>
        <v>0</v>
      </c>
      <c r="H14" s="13">
        <f>POST!H14-PRE!H14</f>
        <v>25.833333333334053</v>
      </c>
      <c r="I14" s="13">
        <f>POST!I14-PRE!I14</f>
        <v>-283.2096378433298</v>
      </c>
      <c r="J14" s="13">
        <f>POST!J14-PRE!J14</f>
        <v>2</v>
      </c>
      <c r="K14" s="13">
        <f>POST!K14-PRE!K14</f>
        <v>8.61</v>
      </c>
    </row>
    <row r="15" spans="1:13" x14ac:dyDescent="0.3">
      <c r="A15" t="s">
        <v>15</v>
      </c>
      <c r="B15" s="13">
        <f>POST!B15-PRE!B15</f>
        <v>-40</v>
      </c>
      <c r="C15" s="14">
        <f>POST!C15-PRE!C15</f>
        <v>16.666666666666657</v>
      </c>
      <c r="D15" s="13">
        <f>POST!D15-PRE!D15</f>
        <v>8</v>
      </c>
      <c r="E15" s="13">
        <f>POST!E15-PRE!E15</f>
        <v>-140</v>
      </c>
      <c r="F15" s="14">
        <f>POST!F15-PRE!F15</f>
        <v>8.3333333333333712</v>
      </c>
      <c r="G15" s="13">
        <f>POST!G15-PRE!G15</f>
        <v>5</v>
      </c>
      <c r="H15" s="13">
        <f>POST!H15-PRE!H15</f>
        <v>-3.3333333333329733</v>
      </c>
      <c r="I15" s="13">
        <f>POST!I15-PRE!I15</f>
        <v>-318.60163407000073</v>
      </c>
      <c r="J15" s="13">
        <f>POST!J15-PRE!J15</f>
        <v>5</v>
      </c>
      <c r="K15" s="13">
        <f>POST!K15-PRE!K15</f>
        <v>-11.579999999999998</v>
      </c>
    </row>
    <row r="16" spans="1:13" x14ac:dyDescent="0.3">
      <c r="A16" t="s">
        <v>37</v>
      </c>
      <c r="B16" s="13">
        <f>POST!B16-PRE!B16</f>
        <v>-280</v>
      </c>
      <c r="C16" s="14">
        <f>POST!C16-PRE!C16</f>
        <v>-20.833333333333343</v>
      </c>
      <c r="D16" s="13">
        <f>POST!D16-PRE!D16</f>
        <v>-126</v>
      </c>
      <c r="E16" s="13">
        <f>POST!E16-PRE!E16</f>
        <v>-510</v>
      </c>
      <c r="F16" s="14">
        <f>POST!F16-PRE!F16</f>
        <v>-37.499999999999972</v>
      </c>
      <c r="G16" s="13">
        <f>POST!G16-PRE!G16</f>
        <v>-141</v>
      </c>
      <c r="H16" s="13">
        <f>POST!H16-PRE!H16</f>
        <v>17.5</v>
      </c>
      <c r="I16" s="13">
        <f>POST!I16-PRE!I16</f>
        <v>-110.93963138000026</v>
      </c>
      <c r="J16" s="13">
        <f>POST!J16-PRE!J16</f>
        <v>6</v>
      </c>
      <c r="K16" s="13">
        <f>POST!K16-PRE!K16</f>
        <v>-2.0100000000000051</v>
      </c>
    </row>
    <row r="17" spans="1:11" x14ac:dyDescent="0.3">
      <c r="A17" t="s">
        <v>20</v>
      </c>
      <c r="B17" s="13">
        <f>POST!B17-PRE!B17</f>
        <v>210</v>
      </c>
      <c r="C17" s="14">
        <f>POST!C17-PRE!C17</f>
        <v>45.833333333333343</v>
      </c>
      <c r="D17" s="13">
        <f>POST!D17-PRE!D17</f>
        <v>12</v>
      </c>
      <c r="E17" s="13">
        <f>POST!E17-PRE!E17</f>
        <v>20</v>
      </c>
      <c r="F17" s="14">
        <f>POST!F17-PRE!F17</f>
        <v>33.333333333333343</v>
      </c>
      <c r="G17" s="13">
        <f>POST!G17-PRE!G17</f>
        <v>1</v>
      </c>
      <c r="H17" s="13">
        <f>POST!H17-PRE!H17</f>
        <v>-3.3333333333340533</v>
      </c>
      <c r="I17" s="13">
        <f>POST!I17-PRE!I17</f>
        <v>41.193690609999976</v>
      </c>
      <c r="J17" s="13">
        <f>POST!J17-PRE!J17</f>
        <v>-5</v>
      </c>
      <c r="K17" s="13">
        <f>POST!K17-PRE!K17</f>
        <v>1.0600000000000023</v>
      </c>
    </row>
    <row r="18" spans="1:11" x14ac:dyDescent="0.3">
      <c r="A18" t="s">
        <v>38</v>
      </c>
      <c r="B18" s="13">
        <f>POST!B18-PRE!B18</f>
        <v>-60</v>
      </c>
      <c r="C18" s="14">
        <f>POST!C18-PRE!C18</f>
        <v>-25</v>
      </c>
      <c r="D18" s="13">
        <f>POST!D18-PRE!D18</f>
        <v>2</v>
      </c>
      <c r="E18" s="13">
        <f>POST!E18-PRE!E18</f>
        <v>-10</v>
      </c>
      <c r="F18" s="14">
        <f>POST!F18-PRE!F18</f>
        <v>-4.1666666666666572</v>
      </c>
      <c r="G18" s="13">
        <f>POST!G18-PRE!G18</f>
        <v>-2</v>
      </c>
      <c r="H18" s="13">
        <f>POST!H18-PRE!H18</f>
        <v>-2.5</v>
      </c>
      <c r="I18" s="13">
        <f>POST!I18-PRE!I18</f>
        <v>82.542334826669958</v>
      </c>
      <c r="J18" s="13">
        <f>POST!J18-PRE!J18</f>
        <v>0</v>
      </c>
      <c r="K18" s="13">
        <f>POST!K18-PRE!K18</f>
        <v>-8.3100000000000023</v>
      </c>
    </row>
    <row r="19" spans="1:11" x14ac:dyDescent="0.3">
      <c r="A19" t="s">
        <v>16</v>
      </c>
      <c r="B19" s="13">
        <f>POST!B19-PRE!B19</f>
        <v>300</v>
      </c>
      <c r="C19" s="14">
        <f>POST!C19-PRE!C19</f>
        <v>37.5</v>
      </c>
      <c r="D19" s="13">
        <f>POST!D19-PRE!D19</f>
        <v>10</v>
      </c>
      <c r="E19" s="13">
        <f>POST!E19-PRE!E19</f>
        <v>210</v>
      </c>
      <c r="F19" s="14">
        <f>POST!F19-PRE!F19</f>
        <v>54.166666666666657</v>
      </c>
      <c r="G19" s="13">
        <f>POST!G19-PRE!G19</f>
        <v>12</v>
      </c>
      <c r="H19" s="13">
        <f>POST!H19-PRE!H19</f>
        <v>13.75</v>
      </c>
      <c r="I19" s="13">
        <f>POST!I19-PRE!I19</f>
        <v>185.75624840666978</v>
      </c>
      <c r="J19" s="13">
        <f>POST!J19-PRE!J19</f>
        <v>2</v>
      </c>
      <c r="K19" s="13">
        <f>POST!K19-PRE!K19</f>
        <v>3.6500000000000057</v>
      </c>
    </row>
    <row r="20" spans="1:11" x14ac:dyDescent="0.3">
      <c r="A20" t="s">
        <v>17</v>
      </c>
      <c r="B20" s="13">
        <f>POST!B20-PRE!B20</f>
        <v>280</v>
      </c>
      <c r="C20" s="14">
        <f>POST!C20-PRE!C20</f>
        <v>37.5</v>
      </c>
      <c r="D20" s="13">
        <f>POST!D20-PRE!D20</f>
        <v>12</v>
      </c>
      <c r="E20" s="13">
        <f>POST!E20-PRE!E20</f>
        <v>180</v>
      </c>
      <c r="F20" s="14">
        <f>POST!F20-PRE!F20</f>
        <v>37.500000000000028</v>
      </c>
      <c r="G20" s="13">
        <f>POST!G20-PRE!G20</f>
        <v>9</v>
      </c>
      <c r="H20" s="13">
        <f>POST!H20-PRE!H20</f>
        <v>53.75</v>
      </c>
      <c r="I20" s="13">
        <f>POST!I20-PRE!I20</f>
        <v>-97.399095756669794</v>
      </c>
      <c r="J20" s="13">
        <f>POST!J20-PRE!J20</f>
        <v>12</v>
      </c>
      <c r="K20" s="13">
        <f>POST!K20-PRE!K20</f>
        <v>0.18999999999999773</v>
      </c>
    </row>
    <row r="21" spans="1:11" x14ac:dyDescent="0.3">
      <c r="A21" t="s">
        <v>31</v>
      </c>
      <c r="B21" s="13">
        <f>POST!B21-PRE!B21</f>
        <v>260</v>
      </c>
      <c r="C21" s="14">
        <f>POST!C21-PRE!C21</f>
        <v>50</v>
      </c>
      <c r="D21" s="13">
        <f>POST!D21-PRE!D21</f>
        <v>9</v>
      </c>
      <c r="E21" s="13">
        <f>POST!E21-PRE!E21</f>
        <v>40</v>
      </c>
      <c r="F21" s="14">
        <f>POST!F21-PRE!F21</f>
        <v>8.3333333333333712</v>
      </c>
      <c r="G21" s="13">
        <f>POST!G21-PRE!G21</f>
        <v>0</v>
      </c>
      <c r="H21" s="13">
        <f>POST!H21-PRE!H21</f>
        <v>3.3333333333329733</v>
      </c>
      <c r="I21" s="13">
        <f>POST!I21-PRE!I21</f>
        <v>-143.91439475333982</v>
      </c>
      <c r="J21" s="13">
        <f>POST!J21-PRE!J21</f>
        <v>-2</v>
      </c>
      <c r="K21" s="13">
        <f>POST!K21-PRE!K21</f>
        <v>1.730000000000004</v>
      </c>
    </row>
    <row r="22" spans="1:11" x14ac:dyDescent="0.3">
      <c r="A22" t="s">
        <v>23</v>
      </c>
      <c r="B22" s="13">
        <f>POST!B22-PRE!B22</f>
        <v>400</v>
      </c>
      <c r="C22" s="14">
        <f>POST!C22-PRE!C22</f>
        <v>50</v>
      </c>
      <c r="D22" s="13">
        <f>POST!D22-PRE!D22</f>
        <v>16</v>
      </c>
      <c r="E22" s="13">
        <f>POST!E22-PRE!E22</f>
        <v>350</v>
      </c>
      <c r="F22" s="14">
        <f>POST!F22-PRE!F22</f>
        <v>33.333333333333314</v>
      </c>
      <c r="G22" s="13">
        <f>POST!G22-PRE!G22</f>
        <v>13</v>
      </c>
      <c r="H22" s="13">
        <f>POST!H22-PRE!H22</f>
        <v>51.666666666665947</v>
      </c>
      <c r="I22" s="13">
        <f>POST!I22-PRE!I22</f>
        <v>-46.727765043330692</v>
      </c>
      <c r="J22" s="13">
        <f>POST!J22-PRE!J22</f>
        <v>10</v>
      </c>
      <c r="K22" s="13">
        <f>POST!K22-PRE!K22</f>
        <v>-0.37000000000000455</v>
      </c>
    </row>
    <row r="23" spans="1:11" x14ac:dyDescent="0.3">
      <c r="A23" t="s">
        <v>11</v>
      </c>
      <c r="B23" s="13">
        <f>POST!B23-PRE!B23</f>
        <v>30</v>
      </c>
      <c r="C23" s="14">
        <f>POST!C23-PRE!C23</f>
        <v>50</v>
      </c>
      <c r="D23" s="13">
        <f>POST!D23-PRE!D23</f>
        <v>15</v>
      </c>
      <c r="E23" s="13">
        <f>POST!E23-PRE!E23</f>
        <v>-40</v>
      </c>
      <c r="F23" s="14">
        <f>POST!F23-PRE!F23</f>
        <v>12.5</v>
      </c>
      <c r="G23" s="13">
        <f>POST!G23-PRE!G23</f>
        <v>1</v>
      </c>
      <c r="H23" s="13">
        <f>POST!H23-PRE!H23</f>
        <v>22.916666666666998</v>
      </c>
      <c r="I23" s="13">
        <f>POST!I23-PRE!I23</f>
        <v>9.0206686066599104</v>
      </c>
      <c r="J23" s="13">
        <f>POST!J23-PRE!J23</f>
        <v>-3</v>
      </c>
      <c r="K23" s="13">
        <f>POST!K23-PRE!K23</f>
        <v>-0.28000000000000114</v>
      </c>
    </row>
    <row r="24" spans="1:11" x14ac:dyDescent="0.3">
      <c r="A24" t="s">
        <v>14</v>
      </c>
      <c r="B24" s="13">
        <f>POST!B24-PRE!B24</f>
        <v>-30</v>
      </c>
      <c r="C24" s="14">
        <f>POST!C24-PRE!C24</f>
        <v>-4.1666666666666856</v>
      </c>
      <c r="D24" s="13">
        <f>POST!D24-PRE!D24</f>
        <v>-43</v>
      </c>
      <c r="E24" s="13">
        <f>POST!E24-PRE!E24</f>
        <v>-50</v>
      </c>
      <c r="F24" s="14">
        <f>POST!F24-PRE!F24</f>
        <v>4.1666666666666572</v>
      </c>
      <c r="G24" s="13">
        <f>POST!G24-PRE!G24</f>
        <v>-33</v>
      </c>
      <c r="H24" s="13">
        <f>POST!H24-PRE!H24</f>
        <v>21.666666666665947</v>
      </c>
      <c r="I24" s="13">
        <f>POST!I24-PRE!I24</f>
        <v>58.383803113330032</v>
      </c>
      <c r="J24" s="13">
        <f>POST!J24-PRE!J24</f>
        <v>-10</v>
      </c>
      <c r="K24" s="13">
        <f>POST!K24-PRE!K24</f>
        <v>-0.76000000000000512</v>
      </c>
    </row>
    <row r="25" spans="1:11" x14ac:dyDescent="0.3">
      <c r="A25" t="s">
        <v>13</v>
      </c>
      <c r="B25" s="13">
        <f>POST!B25-PRE!B25</f>
        <v>-100</v>
      </c>
      <c r="C25" s="14">
        <f>POST!C25-PRE!C25</f>
        <v>-33.333333333333343</v>
      </c>
      <c r="D25" s="13">
        <f>POST!D25-PRE!D25</f>
        <v>-2</v>
      </c>
      <c r="E25" s="13">
        <f>POST!E25-PRE!E25</f>
        <v>-20</v>
      </c>
      <c r="F25" s="14">
        <f>POST!F25-PRE!F25</f>
        <v>-16.666666666666629</v>
      </c>
      <c r="G25" s="13">
        <f>POST!G25-PRE!G25</f>
        <v>3</v>
      </c>
      <c r="H25" s="13">
        <f>POST!H25-PRE!H25</f>
        <v>5.8333333333340533</v>
      </c>
      <c r="I25" s="13">
        <f>POST!I25-PRE!I25</f>
        <v>-31.398161736669863</v>
      </c>
      <c r="J25" s="13">
        <f>POST!J25-PRE!J25</f>
        <v>0</v>
      </c>
      <c r="K25" s="13">
        <f>POST!K25-PRE!K25</f>
        <v>1.6400000000000006</v>
      </c>
    </row>
    <row r="26" spans="1:11" x14ac:dyDescent="0.3">
      <c r="A26" t="s">
        <v>29</v>
      </c>
      <c r="B26" s="13">
        <f>POST!B26-PRE!B26</f>
        <v>-280</v>
      </c>
      <c r="C26" s="14">
        <f>POST!C26-PRE!C26</f>
        <v>16.666666666666657</v>
      </c>
      <c r="D26" s="13">
        <f>POST!D26-PRE!D26</f>
        <v>10</v>
      </c>
      <c r="E26" s="13">
        <f>POST!E26-PRE!E26</f>
        <v>-150</v>
      </c>
      <c r="F26" s="14">
        <f>POST!F26-PRE!F26</f>
        <v>20.833333333333314</v>
      </c>
      <c r="G26" s="13">
        <f>POST!G26-PRE!G26</f>
        <v>4</v>
      </c>
      <c r="H26" s="13">
        <f>POST!H26-PRE!H26</f>
        <v>-1.25</v>
      </c>
      <c r="I26" s="13">
        <f>POST!I26-PRE!I26</f>
        <v>-112.6819075200001</v>
      </c>
      <c r="J26" s="13">
        <f>POST!J26-PRE!J26</f>
        <v>2</v>
      </c>
      <c r="K26" s="13">
        <f>POST!K26-PRE!K26</f>
        <v>2.2199999999999989</v>
      </c>
    </row>
    <row r="27" spans="1:11" x14ac:dyDescent="0.3">
      <c r="A27" t="s">
        <v>22</v>
      </c>
      <c r="B27" s="13">
        <f>POST!B27-PRE!B27</f>
        <v>-340</v>
      </c>
      <c r="C27" s="14">
        <f>POST!C27-PRE!C27</f>
        <v>-37.5</v>
      </c>
      <c r="D27" s="13">
        <f>POST!D27-PRE!D27</f>
        <v>-10</v>
      </c>
      <c r="E27" s="13">
        <f>POST!E27-PRE!E27</f>
        <v>-230</v>
      </c>
      <c r="F27" s="14">
        <f>POST!F27-PRE!F27</f>
        <v>-16.666666666666686</v>
      </c>
      <c r="G27" s="13">
        <f>POST!G27-PRE!G27</f>
        <v>-4</v>
      </c>
      <c r="H27" s="13">
        <f>POST!H27-PRE!H27</f>
        <v>0.41666666666594665</v>
      </c>
      <c r="I27" s="13">
        <f>POST!I27-PRE!I27</f>
        <v>15.180025903339811</v>
      </c>
      <c r="J27" s="13">
        <f>POST!J27-PRE!J27</f>
        <v>-2</v>
      </c>
      <c r="K27" s="13">
        <f>POST!K27-PRE!K27</f>
        <v>1.1800000000000068</v>
      </c>
    </row>
    <row r="28" spans="1:11" x14ac:dyDescent="0.3">
      <c r="A28" t="s">
        <v>30</v>
      </c>
      <c r="B28" s="13">
        <f>POST!B28-PRE!B28</f>
        <v>-80</v>
      </c>
      <c r="C28" s="14">
        <f>POST!C28-PRE!C28</f>
        <v>-20.833333333333343</v>
      </c>
      <c r="D28" s="13">
        <f>POST!D28-PRE!D28</f>
        <v>-12</v>
      </c>
      <c r="E28" s="13">
        <f>POST!E28-PRE!E28</f>
        <v>300</v>
      </c>
      <c r="F28" s="14">
        <f>POST!F28-PRE!F28</f>
        <v>20.833333333333314</v>
      </c>
      <c r="G28" s="13">
        <f>POST!G28-PRE!G28</f>
        <v>8</v>
      </c>
      <c r="H28" s="13">
        <f>POST!H28-PRE!H28</f>
        <v>24.166666666665947</v>
      </c>
      <c r="I28" s="13">
        <f>POST!I28-PRE!I28</f>
        <v>226.15631969333936</v>
      </c>
      <c r="J28" s="13">
        <f>POST!J28-PRE!J28</f>
        <v>11</v>
      </c>
      <c r="K28" s="13">
        <f>POST!K28-PRE!K28</f>
        <v>-1.8100000000000023</v>
      </c>
    </row>
    <row r="29" spans="1:11" x14ac:dyDescent="0.3">
      <c r="A29" t="s">
        <v>18</v>
      </c>
      <c r="B29" s="13">
        <f>POST!B29-PRE!B29</f>
        <v>-60</v>
      </c>
      <c r="C29" s="14">
        <f>POST!C29-PRE!C29</f>
        <v>8.3333333333333144</v>
      </c>
      <c r="D29" s="13">
        <f>POST!D29-PRE!D29</f>
        <v>-5</v>
      </c>
      <c r="E29" s="13">
        <f>POST!E29-PRE!E29</f>
        <v>-440</v>
      </c>
      <c r="F29" s="14">
        <f>POST!F29-PRE!F29</f>
        <v>-41.666666666666686</v>
      </c>
      <c r="G29" s="13">
        <f>POST!G29-PRE!G29</f>
        <v>-14</v>
      </c>
      <c r="H29" s="13">
        <f>POST!H29-PRE!H29</f>
        <v>37.083333333334053</v>
      </c>
      <c r="I29" s="13">
        <f>POST!I29-PRE!I29</f>
        <v>237.27916196000024</v>
      </c>
      <c r="J29" s="13">
        <f>POST!J29-PRE!J29</f>
        <v>1</v>
      </c>
      <c r="K29" s="13">
        <f>POST!K29-PRE!K29</f>
        <v>0.84000000000000341</v>
      </c>
    </row>
  </sheetData>
  <conditionalFormatting sqref="B2:K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</vt:lpstr>
      <vt:lpstr>PRE</vt:lpstr>
      <vt:lpstr>Verschil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Renske Vergeer</dc:creator>
  <cp:lastModifiedBy>luuk vos</cp:lastModifiedBy>
  <dcterms:created xsi:type="dcterms:W3CDTF">2022-09-20T12:33:39Z</dcterms:created>
  <dcterms:modified xsi:type="dcterms:W3CDTF">2024-01-17T11:43:42Z</dcterms:modified>
</cp:coreProperties>
</file>