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ipherfinancials1.sharepoint.com/sites/Decipher/Shared Documents/Shared/DFin/.CLIFFWATER/MODELS/Borrower Models/.Associate files/Luv/Picked Up Models from other Analysts - WIP/Completed/"/>
    </mc:Choice>
  </mc:AlternateContent>
  <xr:revisionPtr revIDLastSave="403" documentId="11_688C2E4A2DF01F80829FA3E22017AFBCF1C9384B" xr6:coauthVersionLast="47" xr6:coauthVersionMax="47" xr10:uidLastSave="{03A78295-A31F-4B95-9DEB-127170DAD666}"/>
  <bookViews>
    <workbookView xWindow="1440" yWindow="1008" windowWidth="21600" windowHeight="11232" tabRatio="546" xr2:uid="{00000000-000D-0000-FFFF-FFFF00000000}"/>
  </bookViews>
  <sheets>
    <sheet name="American Academy (aka AAPC)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19" i="1"/>
  <c r="M19" i="1"/>
  <c r="N19" i="1"/>
  <c r="O19" i="1"/>
  <c r="O13" i="1"/>
  <c r="N13" i="1"/>
  <c r="M13" i="1"/>
  <c r="L13" i="1"/>
  <c r="K13" i="1"/>
  <c r="M87" i="1"/>
  <c r="L87" i="1"/>
  <c r="K87" i="1"/>
  <c r="N87" i="1"/>
  <c r="F19" i="1"/>
  <c r="E19" i="1"/>
  <c r="F12" i="1"/>
  <c r="E12" i="1"/>
  <c r="G10" i="1"/>
  <c r="S19" i="1"/>
  <c r="R19" i="1"/>
  <c r="Q19" i="1"/>
  <c r="P19" i="1"/>
  <c r="L75" i="1" l="1"/>
  <c r="G3" i="1" l="1"/>
  <c r="L7" i="1"/>
  <c r="AD97" i="1"/>
  <c r="AD92" i="1"/>
  <c r="AD87" i="1"/>
  <c r="AD86" i="1"/>
  <c r="AD81" i="1"/>
  <c r="AD79" i="1"/>
  <c r="AD74" i="1"/>
  <c r="AD72" i="1"/>
  <c r="AD52" i="1"/>
  <c r="AD62" i="1" s="1"/>
  <c r="AD66" i="1" s="1"/>
  <c r="AD67" i="1" s="1"/>
  <c r="AD43" i="1"/>
  <c r="AD46" i="1" s="1"/>
  <c r="AD24" i="1"/>
  <c r="AD11" i="1"/>
  <c r="AD20" i="1" s="1"/>
  <c r="AC97" i="1"/>
  <c r="AC92" i="1"/>
  <c r="AC87" i="1"/>
  <c r="AC86" i="1"/>
  <c r="AC81" i="1"/>
  <c r="AC79" i="1"/>
  <c r="AC74" i="1"/>
  <c r="AC72" i="1"/>
  <c r="AC52" i="1"/>
  <c r="AC62" i="1" s="1"/>
  <c r="AC66" i="1" s="1"/>
  <c r="AC67" i="1" s="1"/>
  <c r="AC43" i="1"/>
  <c r="AC46" i="1" s="1"/>
  <c r="AC24" i="1"/>
  <c r="AC11" i="1"/>
  <c r="AC14" i="1" s="1"/>
  <c r="AB97" i="1"/>
  <c r="AB92" i="1"/>
  <c r="AB87" i="1"/>
  <c r="AB86" i="1"/>
  <c r="AB81" i="1"/>
  <c r="AB79" i="1"/>
  <c r="AB74" i="1"/>
  <c r="AB72" i="1"/>
  <c r="AB52" i="1"/>
  <c r="AB62" i="1" s="1"/>
  <c r="AB66" i="1" s="1"/>
  <c r="AB67" i="1" s="1"/>
  <c r="AB43" i="1"/>
  <c r="AB46" i="1" s="1"/>
  <c r="AB24" i="1"/>
  <c r="AB11" i="1"/>
  <c r="AB14" i="1" s="1"/>
  <c r="AA97" i="1"/>
  <c r="AA92" i="1"/>
  <c r="AA87" i="1"/>
  <c r="AA86" i="1"/>
  <c r="AA81" i="1"/>
  <c r="AA79" i="1"/>
  <c r="AA74" i="1"/>
  <c r="AA72" i="1"/>
  <c r="AA52" i="1"/>
  <c r="AA62" i="1" s="1"/>
  <c r="AA66" i="1" s="1"/>
  <c r="AA67" i="1" s="1"/>
  <c r="AA43" i="1"/>
  <c r="AA46" i="1" s="1"/>
  <c r="AA24" i="1"/>
  <c r="AA11" i="1"/>
  <c r="AA14" i="1" s="1"/>
  <c r="Z97" i="1"/>
  <c r="Z92" i="1"/>
  <c r="Z87" i="1"/>
  <c r="Z86" i="1"/>
  <c r="Z81" i="1"/>
  <c r="Z79" i="1"/>
  <c r="Z74" i="1"/>
  <c r="Z72" i="1"/>
  <c r="Z52" i="1"/>
  <c r="Z62" i="1" s="1"/>
  <c r="Z66" i="1" s="1"/>
  <c r="Z67" i="1" s="1"/>
  <c r="Z43" i="1"/>
  <c r="Z46" i="1" s="1"/>
  <c r="Z24" i="1"/>
  <c r="Z11" i="1"/>
  <c r="Z14" i="1" s="1"/>
  <c r="Y97" i="1"/>
  <c r="Y92" i="1"/>
  <c r="Y87" i="1"/>
  <c r="Y86" i="1"/>
  <c r="Y81" i="1"/>
  <c r="Y79" i="1"/>
  <c r="Y74" i="1"/>
  <c r="Y72" i="1"/>
  <c r="Y52" i="1"/>
  <c r="Y62" i="1" s="1"/>
  <c r="Y66" i="1" s="1"/>
  <c r="Y67" i="1" s="1"/>
  <c r="Y43" i="1"/>
  <c r="Y46" i="1" s="1"/>
  <c r="Y24" i="1"/>
  <c r="Y11" i="1"/>
  <c r="Y14" i="1" s="1"/>
  <c r="X97" i="1"/>
  <c r="X92" i="1"/>
  <c r="X87" i="1"/>
  <c r="X86" i="1"/>
  <c r="X81" i="1"/>
  <c r="X79" i="1"/>
  <c r="X74" i="1"/>
  <c r="X72" i="1"/>
  <c r="X52" i="1"/>
  <c r="X62" i="1" s="1"/>
  <c r="X66" i="1" s="1"/>
  <c r="X67" i="1" s="1"/>
  <c r="X43" i="1"/>
  <c r="X46" i="1" s="1"/>
  <c r="X24" i="1"/>
  <c r="X11" i="1"/>
  <c r="X20" i="1" s="1"/>
  <c r="W97" i="1"/>
  <c r="W92" i="1"/>
  <c r="W87" i="1"/>
  <c r="W86" i="1"/>
  <c r="W81" i="1"/>
  <c r="W79" i="1"/>
  <c r="W74" i="1"/>
  <c r="W72" i="1"/>
  <c r="W52" i="1"/>
  <c r="W62" i="1" s="1"/>
  <c r="W66" i="1" s="1"/>
  <c r="W67" i="1" s="1"/>
  <c r="W43" i="1"/>
  <c r="W46" i="1" s="1"/>
  <c r="W24" i="1"/>
  <c r="W11" i="1"/>
  <c r="W14" i="1" s="1"/>
  <c r="V97" i="1"/>
  <c r="V92" i="1"/>
  <c r="V87" i="1"/>
  <c r="V86" i="1"/>
  <c r="V81" i="1"/>
  <c r="V79" i="1"/>
  <c r="V74" i="1"/>
  <c r="V72" i="1"/>
  <c r="V52" i="1"/>
  <c r="V62" i="1" s="1"/>
  <c r="V66" i="1" s="1"/>
  <c r="V67" i="1" s="1"/>
  <c r="V43" i="1"/>
  <c r="V46" i="1" s="1"/>
  <c r="V24" i="1"/>
  <c r="V11" i="1"/>
  <c r="V14" i="1" s="1"/>
  <c r="U97" i="1"/>
  <c r="U92" i="1"/>
  <c r="U87" i="1"/>
  <c r="U86" i="1"/>
  <c r="U81" i="1"/>
  <c r="U79" i="1"/>
  <c r="U74" i="1"/>
  <c r="U72" i="1"/>
  <c r="U52" i="1"/>
  <c r="U62" i="1" s="1"/>
  <c r="U66" i="1" s="1"/>
  <c r="U67" i="1" s="1"/>
  <c r="U43" i="1"/>
  <c r="U46" i="1" s="1"/>
  <c r="U24" i="1"/>
  <c r="U11" i="1"/>
  <c r="U14" i="1" s="1"/>
  <c r="T97" i="1"/>
  <c r="T92" i="1"/>
  <c r="T87" i="1"/>
  <c r="T86" i="1"/>
  <c r="T81" i="1"/>
  <c r="T79" i="1"/>
  <c r="T74" i="1"/>
  <c r="T72" i="1"/>
  <c r="T52" i="1"/>
  <c r="T62" i="1" s="1"/>
  <c r="T66" i="1" s="1"/>
  <c r="T67" i="1" s="1"/>
  <c r="T43" i="1"/>
  <c r="T46" i="1" s="1"/>
  <c r="T24" i="1"/>
  <c r="T11" i="1"/>
  <c r="T14" i="1" s="1"/>
  <c r="S97" i="1"/>
  <c r="S92" i="1"/>
  <c r="S87" i="1"/>
  <c r="S86" i="1"/>
  <c r="S81" i="1"/>
  <c r="S79" i="1"/>
  <c r="S74" i="1"/>
  <c r="S72" i="1"/>
  <c r="S52" i="1"/>
  <c r="S62" i="1" s="1"/>
  <c r="S66" i="1" s="1"/>
  <c r="S67" i="1" s="1"/>
  <c r="S43" i="1"/>
  <c r="S46" i="1" s="1"/>
  <c r="S24" i="1"/>
  <c r="S11" i="1"/>
  <c r="R97" i="1"/>
  <c r="R92" i="1"/>
  <c r="R87" i="1"/>
  <c r="R86" i="1"/>
  <c r="R81" i="1"/>
  <c r="R79" i="1"/>
  <c r="R74" i="1"/>
  <c r="R72" i="1"/>
  <c r="R52" i="1"/>
  <c r="R62" i="1" s="1"/>
  <c r="R66" i="1" s="1"/>
  <c r="R67" i="1" s="1"/>
  <c r="R43" i="1"/>
  <c r="R46" i="1" s="1"/>
  <c r="R24" i="1"/>
  <c r="R11" i="1"/>
  <c r="Q87" i="1"/>
  <c r="P87" i="1"/>
  <c r="O87" i="1"/>
  <c r="Q86" i="1"/>
  <c r="P86" i="1"/>
  <c r="O86" i="1"/>
  <c r="N86" i="1"/>
  <c r="M86" i="1"/>
  <c r="L86" i="1"/>
  <c r="K86" i="1"/>
  <c r="M82" i="1"/>
  <c r="L82" i="1"/>
  <c r="K82" i="1"/>
  <c r="Q81" i="1"/>
  <c r="P81" i="1"/>
  <c r="O81" i="1"/>
  <c r="N81" i="1"/>
  <c r="M81" i="1"/>
  <c r="L81" i="1"/>
  <c r="K81" i="1"/>
  <c r="Q79" i="1"/>
  <c r="P79" i="1"/>
  <c r="O79" i="1"/>
  <c r="N79" i="1"/>
  <c r="M79" i="1"/>
  <c r="L79" i="1"/>
  <c r="M30" i="1"/>
  <c r="M80" i="1" s="1"/>
  <c r="L30" i="1"/>
  <c r="L80" i="1" s="1"/>
  <c r="M29" i="1"/>
  <c r="M73" i="1" s="1"/>
  <c r="L29" i="1"/>
  <c r="L73" i="1" s="1"/>
  <c r="K30" i="1"/>
  <c r="K80" i="1" s="1"/>
  <c r="K29" i="1"/>
  <c r="K73" i="1" s="1"/>
  <c r="K79" i="1"/>
  <c r="M75" i="1"/>
  <c r="Q74" i="1"/>
  <c r="P74" i="1"/>
  <c r="O74" i="1"/>
  <c r="N74" i="1"/>
  <c r="M74" i="1"/>
  <c r="L74" i="1"/>
  <c r="Q72" i="1"/>
  <c r="P72" i="1"/>
  <c r="O72" i="1"/>
  <c r="N72" i="1"/>
  <c r="M72" i="1"/>
  <c r="L72" i="1"/>
  <c r="K75" i="1"/>
  <c r="K74" i="1"/>
  <c r="K72" i="1"/>
  <c r="J56" i="1"/>
  <c r="J57" i="1"/>
  <c r="J58" i="1"/>
  <c r="J59" i="1"/>
  <c r="J60" i="1"/>
  <c r="J61" i="1"/>
  <c r="R14" i="1" l="1"/>
  <c r="S20" i="1"/>
  <c r="S14" i="1"/>
  <c r="Y20" i="1"/>
  <c r="U28" i="1"/>
  <c r="U19" i="1"/>
  <c r="U20" i="1"/>
  <c r="Z20" i="1"/>
  <c r="T20" i="1"/>
  <c r="V20" i="1"/>
  <c r="W20" i="1"/>
  <c r="R20" i="1"/>
  <c r="AB20" i="1"/>
  <c r="AC20" i="1"/>
  <c r="AA20" i="1"/>
  <c r="AD14" i="1"/>
  <c r="AC25" i="1"/>
  <c r="AC28" i="1"/>
  <c r="AC21" i="1"/>
  <c r="AC19" i="1"/>
  <c r="AB25" i="1"/>
  <c r="AB21" i="1"/>
  <c r="AB19" i="1"/>
  <c r="AB28" i="1"/>
  <c r="AA19" i="1"/>
  <c r="AA28" i="1"/>
  <c r="AA21" i="1"/>
  <c r="Z19" i="1"/>
  <c r="Z21" i="1"/>
  <c r="Z25" i="1"/>
  <c r="Z28" i="1"/>
  <c r="Y28" i="1"/>
  <c r="Y25" i="1"/>
  <c r="Y21" i="1"/>
  <c r="Y19" i="1"/>
  <c r="X14" i="1"/>
  <c r="AA25" i="1" s="1"/>
  <c r="W19" i="1"/>
  <c r="W28" i="1"/>
  <c r="W25" i="1"/>
  <c r="W21" i="1"/>
  <c r="V28" i="1"/>
  <c r="V21" i="1"/>
  <c r="V19" i="1"/>
  <c r="U21" i="1"/>
  <c r="T28" i="1"/>
  <c r="T19" i="1"/>
  <c r="T21" i="1"/>
  <c r="V25" i="1" l="1"/>
  <c r="R28" i="1"/>
  <c r="R21" i="1"/>
  <c r="U25" i="1"/>
  <c r="U30" i="1" s="1"/>
  <c r="U80" i="1" s="1"/>
  <c r="AD19" i="1"/>
  <c r="AD21" i="1"/>
  <c r="AD28" i="1"/>
  <c r="AD25" i="1"/>
  <c r="AC30" i="1"/>
  <c r="AC80" i="1" s="1"/>
  <c r="AC29" i="1"/>
  <c r="AC73" i="1" s="1"/>
  <c r="AC82" i="1"/>
  <c r="AC75" i="1"/>
  <c r="AB75" i="1"/>
  <c r="AB30" i="1"/>
  <c r="AB80" i="1" s="1"/>
  <c r="AB29" i="1"/>
  <c r="AB73" i="1" s="1"/>
  <c r="AB82" i="1"/>
  <c r="AA30" i="1"/>
  <c r="AA80" i="1" s="1"/>
  <c r="AA29" i="1"/>
  <c r="AA73" i="1" s="1"/>
  <c r="AA82" i="1"/>
  <c r="AA75" i="1"/>
  <c r="Z82" i="1"/>
  <c r="Z30" i="1"/>
  <c r="Z80" i="1" s="1"/>
  <c r="Z29" i="1"/>
  <c r="Z73" i="1" s="1"/>
  <c r="Z75" i="1"/>
  <c r="Y75" i="1"/>
  <c r="Y82" i="1"/>
  <c r="Y30" i="1"/>
  <c r="Y80" i="1" s="1"/>
  <c r="Y29" i="1"/>
  <c r="Y73" i="1" s="1"/>
  <c r="X21" i="1"/>
  <c r="X19" i="1"/>
  <c r="X28" i="1"/>
  <c r="X25" i="1"/>
  <c r="W30" i="1"/>
  <c r="W80" i="1" s="1"/>
  <c r="W29" i="1"/>
  <c r="W73" i="1" s="1"/>
  <c r="W75" i="1"/>
  <c r="W82" i="1"/>
  <c r="V29" i="1"/>
  <c r="V73" i="1" s="1"/>
  <c r="V30" i="1"/>
  <c r="V80" i="1" s="1"/>
  <c r="V75" i="1"/>
  <c r="V82" i="1"/>
  <c r="S28" i="1"/>
  <c r="S21" i="1"/>
  <c r="U75" i="1" l="1"/>
  <c r="U82" i="1"/>
  <c r="U29" i="1"/>
  <c r="U73" i="1" s="1"/>
  <c r="AD75" i="1"/>
  <c r="AD30" i="1"/>
  <c r="AD80" i="1" s="1"/>
  <c r="AD82" i="1"/>
  <c r="AD29" i="1"/>
  <c r="AD73" i="1" s="1"/>
  <c r="X30" i="1"/>
  <c r="X80" i="1" s="1"/>
  <c r="X75" i="1"/>
  <c r="X29" i="1"/>
  <c r="X73" i="1" s="1"/>
  <c r="X82" i="1"/>
  <c r="Q97" i="1" l="1"/>
  <c r="P97" i="1"/>
  <c r="O97" i="1"/>
  <c r="N97" i="1"/>
  <c r="M97" i="1"/>
  <c r="L97" i="1"/>
  <c r="K97" i="1"/>
  <c r="Q92" i="1"/>
  <c r="P92" i="1"/>
  <c r="O92" i="1"/>
  <c r="N92" i="1"/>
  <c r="M92" i="1"/>
  <c r="L92" i="1"/>
  <c r="K92" i="1"/>
  <c r="J64" i="1"/>
  <c r="G64" i="1"/>
  <c r="G59" i="1"/>
  <c r="J54" i="1"/>
  <c r="G54" i="1"/>
  <c r="I7" i="1"/>
  <c r="H7" i="1"/>
  <c r="K1" i="1"/>
  <c r="G7" i="1"/>
  <c r="F7" i="1" s="1"/>
  <c r="E7" i="1" s="1"/>
  <c r="D7" i="1" s="1"/>
  <c r="E6" i="1"/>
  <c r="F6" i="1"/>
  <c r="D6" i="1"/>
  <c r="G6" i="1"/>
  <c r="K6" i="1"/>
  <c r="M7" i="1" l="1"/>
  <c r="N7" i="1" s="1"/>
  <c r="N6" i="1" s="1"/>
  <c r="L6" i="1"/>
  <c r="G56" i="1"/>
  <c r="G57" i="1"/>
  <c r="G58" i="1"/>
  <c r="G60" i="1"/>
  <c r="G61" i="1"/>
  <c r="M6" i="1" l="1"/>
  <c r="O7" i="1"/>
  <c r="P7" i="1" s="1"/>
  <c r="Q52" i="1"/>
  <c r="Q43" i="1"/>
  <c r="Q46" i="1" s="1"/>
  <c r="Q11" i="1"/>
  <c r="P11" i="1"/>
  <c r="O11" i="1"/>
  <c r="N11" i="1"/>
  <c r="M11" i="1"/>
  <c r="L11" i="1"/>
  <c r="K11" i="1"/>
  <c r="F11" i="1"/>
  <c r="E11" i="1"/>
  <c r="D11" i="1"/>
  <c r="J55" i="1"/>
  <c r="G55" i="1"/>
  <c r="L52" i="1"/>
  <c r="L62" i="1" s="1"/>
  <c r="L66" i="1" s="1"/>
  <c r="F52" i="1"/>
  <c r="F62" i="1" s="1"/>
  <c r="F66" i="1" s="1"/>
  <c r="E52" i="1"/>
  <c r="E62" i="1" s="1"/>
  <c r="E66" i="1" s="1"/>
  <c r="D52" i="1"/>
  <c r="D62" i="1" s="1"/>
  <c r="D66" i="1" s="1"/>
  <c r="J51" i="1"/>
  <c r="O52" i="1"/>
  <c r="G51" i="1"/>
  <c r="M52" i="1"/>
  <c r="K52" i="1"/>
  <c r="J50" i="1"/>
  <c r="G50" i="1"/>
  <c r="J48" i="1"/>
  <c r="G48" i="1"/>
  <c r="J47" i="1"/>
  <c r="G47" i="1"/>
  <c r="J45" i="1"/>
  <c r="G45" i="1"/>
  <c r="O43" i="1"/>
  <c r="O46" i="1" s="1"/>
  <c r="N43" i="1"/>
  <c r="N46" i="1" s="1"/>
  <c r="G46" i="1" s="1"/>
  <c r="M43" i="1"/>
  <c r="M46" i="1" s="1"/>
  <c r="L43" i="1"/>
  <c r="L46" i="1" s="1"/>
  <c r="K43" i="1"/>
  <c r="K46" i="1" s="1"/>
  <c r="F43" i="1"/>
  <c r="E43" i="1"/>
  <c r="D43" i="1"/>
  <c r="P43" i="1"/>
  <c r="G42" i="1"/>
  <c r="J41" i="1"/>
  <c r="G41" i="1"/>
  <c r="J40" i="1"/>
  <c r="G40" i="1"/>
  <c r="J39" i="1"/>
  <c r="G39" i="1"/>
  <c r="P24" i="1"/>
  <c r="O24" i="1"/>
  <c r="N24" i="1"/>
  <c r="F24" i="1"/>
  <c r="E24" i="1"/>
  <c r="D24" i="1"/>
  <c r="G17" i="1"/>
  <c r="G16" i="1"/>
  <c r="G15" i="1"/>
  <c r="G12" i="1"/>
  <c r="G9" i="1"/>
  <c r="G24" i="1" s="1"/>
  <c r="C3" i="1"/>
  <c r="D14" i="1" l="1"/>
  <c r="D19" i="1" s="1"/>
  <c r="E20" i="1"/>
  <c r="N14" i="1"/>
  <c r="L14" i="1"/>
  <c r="K20" i="1"/>
  <c r="G13" i="1"/>
  <c r="O20" i="1"/>
  <c r="O14" i="1"/>
  <c r="P20" i="1"/>
  <c r="P14" i="1"/>
  <c r="Q7" i="1"/>
  <c r="P6" i="1"/>
  <c r="G52" i="1"/>
  <c r="G62" i="1" s="1"/>
  <c r="P52" i="1"/>
  <c r="P62" i="1" s="1"/>
  <c r="G11" i="1"/>
  <c r="G20" i="1" s="1"/>
  <c r="O62" i="1"/>
  <c r="O66" i="1" s="1"/>
  <c r="F14" i="1"/>
  <c r="M62" i="1"/>
  <c r="M66" i="1" s="1"/>
  <c r="Q62" i="1"/>
  <c r="Q66" i="1" s="1"/>
  <c r="N20" i="1"/>
  <c r="K62" i="1"/>
  <c r="K66" i="1" s="1"/>
  <c r="N52" i="1"/>
  <c r="N62" i="1" s="1"/>
  <c r="L67" i="1"/>
  <c r="G18" i="1"/>
  <c r="D20" i="1"/>
  <c r="J42" i="1"/>
  <c r="F20" i="1"/>
  <c r="M14" i="1"/>
  <c r="L20" i="1"/>
  <c r="G43" i="1"/>
  <c r="Q20" i="1"/>
  <c r="Q14" i="1"/>
  <c r="P46" i="1"/>
  <c r="J46" i="1" s="1"/>
  <c r="J43" i="1"/>
  <c r="E14" i="1"/>
  <c r="M20" i="1"/>
  <c r="Q24" i="1"/>
  <c r="D28" i="1" l="1"/>
  <c r="D25" i="1"/>
  <c r="D21" i="1"/>
  <c r="E28" i="1"/>
  <c r="F28" i="1"/>
  <c r="L1" i="1"/>
  <c r="L28" i="1"/>
  <c r="L21" i="1"/>
  <c r="N21" i="1"/>
  <c r="N28" i="1"/>
  <c r="K14" i="1"/>
  <c r="T25" i="1"/>
  <c r="T82" i="1" s="1"/>
  <c r="R7" i="1"/>
  <c r="Q6" i="1"/>
  <c r="D29" i="1"/>
  <c r="D30" i="1"/>
  <c r="S25" i="1"/>
  <c r="R25" i="1"/>
  <c r="W7" i="1"/>
  <c r="J65" i="1"/>
  <c r="P66" i="1"/>
  <c r="Q67" i="1"/>
  <c r="O67" i="1"/>
  <c r="G65" i="1"/>
  <c r="G66" i="1" s="1"/>
  <c r="G67" i="1" s="1"/>
  <c r="N66" i="1"/>
  <c r="M67" i="1"/>
  <c r="K67" i="1"/>
  <c r="M28" i="1"/>
  <c r="M1" i="1"/>
  <c r="G14" i="1"/>
  <c r="G28" i="1" s="1"/>
  <c r="J52" i="1"/>
  <c r="J62" i="1" s="1"/>
  <c r="F25" i="1"/>
  <c r="F21" i="1"/>
  <c r="P25" i="1"/>
  <c r="O25" i="1"/>
  <c r="M21" i="1"/>
  <c r="E25" i="1"/>
  <c r="E21" i="1"/>
  <c r="Q28" i="1"/>
  <c r="Q21" i="1"/>
  <c r="P28" i="1"/>
  <c r="P21" i="1"/>
  <c r="O28" i="1"/>
  <c r="O21" i="1"/>
  <c r="Q25" i="1"/>
  <c r="T29" i="1" l="1"/>
  <c r="T73" i="1" s="1"/>
  <c r="T30" i="1"/>
  <c r="T80" i="1" s="1"/>
  <c r="T75" i="1"/>
  <c r="N25" i="1"/>
  <c r="N29" i="1" s="1"/>
  <c r="N73" i="1" s="1"/>
  <c r="K21" i="1"/>
  <c r="K28" i="1"/>
  <c r="J66" i="1"/>
  <c r="R6" i="1"/>
  <c r="S7" i="1"/>
  <c r="F29" i="1"/>
  <c r="F30" i="1"/>
  <c r="E29" i="1"/>
  <c r="E30" i="1"/>
  <c r="O82" i="1"/>
  <c r="O30" i="1"/>
  <c r="O80" i="1" s="1"/>
  <c r="O29" i="1"/>
  <c r="O73" i="1" s="1"/>
  <c r="O75" i="1"/>
  <c r="Q30" i="1"/>
  <c r="Q80" i="1" s="1"/>
  <c r="Q75" i="1"/>
  <c r="Q82" i="1"/>
  <c r="Q29" i="1"/>
  <c r="Q73" i="1" s="1"/>
  <c r="S82" i="1"/>
  <c r="S30" i="1"/>
  <c r="S80" i="1" s="1"/>
  <c r="S29" i="1"/>
  <c r="S73" i="1" s="1"/>
  <c r="S75" i="1"/>
  <c r="P75" i="1"/>
  <c r="P30" i="1"/>
  <c r="P80" i="1" s="1"/>
  <c r="P82" i="1"/>
  <c r="P29" i="1"/>
  <c r="P73" i="1" s="1"/>
  <c r="R82" i="1"/>
  <c r="R30" i="1"/>
  <c r="R80" i="1" s="1"/>
  <c r="R29" i="1"/>
  <c r="R73" i="1" s="1"/>
  <c r="R75" i="1"/>
  <c r="X7" i="1"/>
  <c r="W6" i="1"/>
  <c r="W1" i="1"/>
  <c r="N67" i="1"/>
  <c r="P67" i="1"/>
  <c r="G25" i="1"/>
  <c r="G21" i="1"/>
  <c r="N1" i="1"/>
  <c r="G19" i="1"/>
  <c r="N30" i="1" l="1"/>
  <c r="N80" i="1" s="1"/>
  <c r="N82" i="1"/>
  <c r="N75" i="1"/>
  <c r="T7" i="1"/>
  <c r="S6" i="1"/>
  <c r="S1" i="1"/>
  <c r="G29" i="1"/>
  <c r="G30" i="1"/>
  <c r="X6" i="1"/>
  <c r="Y7" i="1"/>
  <c r="X1" i="1"/>
  <c r="O1" i="1"/>
  <c r="U7" i="1" l="1"/>
  <c r="V7" i="1" s="1"/>
  <c r="T6" i="1"/>
  <c r="T1" i="1"/>
  <c r="Y6" i="1"/>
  <c r="Z7" i="1"/>
  <c r="Y1" i="1"/>
  <c r="O6" i="1"/>
  <c r="V1" i="1" l="1"/>
  <c r="V6" i="1"/>
  <c r="U6" i="1"/>
  <c r="U1" i="1"/>
  <c r="Z6" i="1"/>
  <c r="AA7" i="1"/>
  <c r="Z1" i="1"/>
  <c r="P1" i="1"/>
  <c r="AA1" i="1" l="1"/>
  <c r="AB7" i="1"/>
  <c r="AA6" i="1"/>
  <c r="Q1" i="1"/>
  <c r="AB1" i="1" l="1"/>
  <c r="AC7" i="1"/>
  <c r="AB6" i="1"/>
  <c r="R1" i="1"/>
  <c r="AC1" i="1" l="1"/>
  <c r="AD7" i="1"/>
  <c r="AC6" i="1"/>
  <c r="AD1" i="1" l="1"/>
  <c r="I10" i="1" s="1"/>
  <c r="AD6" i="1"/>
  <c r="J7" i="1" s="1"/>
  <c r="I17" i="1" l="1"/>
  <c r="I12" i="1"/>
  <c r="I18" i="1"/>
  <c r="H1" i="1"/>
  <c r="I1" i="1" s="1"/>
  <c r="H10" i="1" s="1"/>
  <c r="I16" i="1"/>
  <c r="I15" i="1"/>
  <c r="I9" i="1"/>
  <c r="I13" i="1"/>
  <c r="I11" i="1" l="1"/>
  <c r="I20" i="1" s="1"/>
  <c r="H12" i="1"/>
  <c r="H13" i="1"/>
  <c r="H17" i="1"/>
  <c r="H9" i="1"/>
  <c r="H11" i="1" s="1"/>
  <c r="H20" i="1" s="1"/>
  <c r="H16" i="1"/>
  <c r="H15" i="1"/>
  <c r="H18" i="1"/>
  <c r="I14" i="1" l="1"/>
  <c r="I19" i="1" s="1"/>
  <c r="H14" i="1"/>
  <c r="H21" i="1" s="1"/>
  <c r="I21" i="1" l="1"/>
  <c r="H19" i="1"/>
  <c r="D46" i="1"/>
  <c r="E46" i="1"/>
  <c r="F46" i="1"/>
  <c r="D67" i="1"/>
  <c r="E67" i="1"/>
  <c r="F67" i="1"/>
  <c r="J16" i="1" l="1"/>
  <c r="J18" i="1"/>
  <c r="J12" i="1"/>
  <c r="J17" i="1"/>
  <c r="J13" i="1"/>
  <c r="J10" i="1"/>
  <c r="J9" i="1"/>
  <c r="J15" i="1"/>
  <c r="J11" i="1" l="1"/>
  <c r="J14" i="1" s="1"/>
  <c r="J20" i="1" l="1"/>
  <c r="J21" i="1"/>
  <c r="J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 Mehta</author>
    <author>Decipher Financials</author>
    <author>DFin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Mention the</t>
        </r>
        <r>
          <rPr>
            <b/>
            <sz val="9"/>
            <color indexed="81"/>
            <rFont val="Tahoma"/>
            <family val="2"/>
          </rPr>
          <t xml:space="preserve"> most recent</t>
        </r>
        <r>
          <rPr>
            <sz val="9"/>
            <color indexed="81"/>
            <rFont val="Tahoma"/>
            <family val="2"/>
          </rPr>
          <t xml:space="preserve"> Fiscal Financial Year Beginning Date. </t>
        </r>
      </text>
    </comment>
    <comment ref="E5" authorId="1" shapeId="0" xr:uid="{5657D1A5-A9FC-408B-B30C-A245E04B5189}">
      <text>
        <r>
          <rPr>
            <b/>
            <sz val="9"/>
            <color indexed="81"/>
            <rFont val="Tahoma"/>
            <family val="2"/>
          </rPr>
          <t>Decipher Financials:</t>
        </r>
        <r>
          <rPr>
            <sz val="9"/>
            <color indexed="81"/>
            <rFont val="Tahoma"/>
            <family val="2"/>
          </rPr>
          <t xml:space="preserve">
Source :
AAPC 1Q24  CMR vRedacted</t>
        </r>
      </text>
    </comment>
    <comment ref="F5" authorId="1" shapeId="0" xr:uid="{EE9C58B0-B9DE-433E-9247-88C8AC45B45B}">
      <text>
        <r>
          <rPr>
            <b/>
            <sz val="9"/>
            <color indexed="81"/>
            <rFont val="Tahoma"/>
            <family val="2"/>
          </rPr>
          <t>Decipher Financials:</t>
        </r>
        <r>
          <rPr>
            <sz val="9"/>
            <color indexed="81"/>
            <rFont val="Tahoma"/>
            <family val="2"/>
          </rPr>
          <t xml:space="preserve">
Source :
AAPC 1Q24  CMR vRedacted</t>
        </r>
      </text>
    </comment>
    <comment ref="K5" authorId="1" shapeId="0" xr:uid="{104224AC-A31E-4826-8FBE-C7E47F3A7C46}">
      <text>
        <r>
          <rPr>
            <b/>
            <sz val="9"/>
            <color indexed="81"/>
            <rFont val="Tahoma"/>
            <family val="2"/>
          </rPr>
          <t>Decipher Financials:</t>
        </r>
        <r>
          <rPr>
            <sz val="9"/>
            <color indexed="81"/>
            <rFont val="Tahoma"/>
            <family val="2"/>
          </rPr>
          <t xml:space="preserve">
Restated from - AAPC CMR Q224 vRedacted</t>
        </r>
      </text>
    </comment>
    <comment ref="L5" authorId="1" shapeId="0" xr:uid="{AA83DB29-C4E7-4B31-99AB-E052B601417C}">
      <text>
        <r>
          <rPr>
            <b/>
            <sz val="9"/>
            <color indexed="81"/>
            <rFont val="Tahoma"/>
            <family val="2"/>
          </rPr>
          <t>Decipher Financials:</t>
        </r>
        <r>
          <rPr>
            <sz val="9"/>
            <color indexed="81"/>
            <rFont val="Tahoma"/>
            <family val="2"/>
          </rPr>
          <t xml:space="preserve">
Restated from - AAPC CMR Q224 vRedacted</t>
        </r>
      </text>
    </comment>
    <comment ref="M5" authorId="1" shapeId="0" xr:uid="{A4C2D584-48CD-480E-B902-E311303DB537}">
      <text>
        <r>
          <rPr>
            <b/>
            <sz val="9"/>
            <color indexed="81"/>
            <rFont val="Tahoma"/>
            <family val="2"/>
          </rPr>
          <t>Decipher Financials:</t>
        </r>
        <r>
          <rPr>
            <sz val="9"/>
            <color indexed="81"/>
            <rFont val="Tahoma"/>
            <family val="2"/>
          </rPr>
          <t xml:space="preserve">
Restated from - AAPC CMR Q224 vRedacted</t>
        </r>
      </text>
    </comment>
    <comment ref="N5" authorId="1" shapeId="0" xr:uid="{95801130-6CA3-4206-8DDE-936E145848FF}">
      <text>
        <r>
          <rPr>
            <b/>
            <sz val="9"/>
            <color indexed="81"/>
            <rFont val="Tahoma"/>
            <family val="2"/>
          </rPr>
          <t>Decipher Financials:</t>
        </r>
        <r>
          <rPr>
            <sz val="9"/>
            <color indexed="81"/>
            <rFont val="Tahoma"/>
            <family val="2"/>
          </rPr>
          <t xml:space="preserve">
Restated from - AAPC CMR Q224 vRedacted</t>
        </r>
      </text>
    </comment>
    <comment ref="O5" authorId="2" shapeId="0" xr:uid="{BE1970FB-127A-4686-B396-D386EEB6D653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- AAPC CMR Q224 vRedacted</t>
        </r>
      </text>
    </commen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the First Financial Quarter End Date</t>
        </r>
      </text>
    </comment>
    <comment ref="K15" authorId="2" shapeId="0" xr:uid="{43A5AD21-B230-426F-8F66-AD8B181B130C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L15" authorId="2" shapeId="0" xr:uid="{5D5EDABD-BD60-4748-9947-316E74794FC8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M15" authorId="2" shapeId="0" xr:uid="{2ABEBCFE-D8A3-4AED-B63B-A604AE1B2203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N15" authorId="2" shapeId="0" xr:uid="{33F6D2E3-BF0A-48BE-82BF-AA64CEB064C1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O15" authorId="2" shapeId="0" xr:uid="{82161CC6-219A-43C8-8128-9D0D144ACEF3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K16" authorId="2" shapeId="0" xr:uid="{9BCDE4A2-1ABB-4310-A423-57EE9EE7C365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L16" authorId="2" shapeId="0" xr:uid="{C95CDC1B-E43A-44FA-8D9F-936379356F8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M16" authorId="2" shapeId="0" xr:uid="{B4656DAD-0EFF-43CE-9CED-040065182137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N16" authorId="2" shapeId="0" xr:uid="{28832299-9D09-4A81-A507-7F47B108BBE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O16" authorId="2" shapeId="0" xr:uid="{D214B295-E3F4-404B-9C1A-2E82165BC771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K17" authorId="2" shapeId="0" xr:uid="{867A54FE-4E79-4725-9BDD-616F7FE31195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L17" authorId="2" shapeId="0" xr:uid="{AA313D4A-0D72-4968-B567-DF84BEE9CE78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M17" authorId="2" shapeId="0" xr:uid="{B8B5A2D3-4D75-47A0-A0AD-33BD1B82C2E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N17" authorId="2" shapeId="0" xr:uid="{80EF8952-BB10-40C4-A92F-F226BF10FFC4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O17" authorId="2" shapeId="0" xr:uid="{30F8926F-7A8C-4719-BB1C-FAA715B2FE0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K18" authorId="2" shapeId="0" xr:uid="{76EF7B79-7A3E-4D6B-AA79-22B086E21368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L18" authorId="2" shapeId="0" xr:uid="{C62E1264-BA91-48F5-B001-8566E7E3DE5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M18" authorId="2" shapeId="0" xr:uid="{5CC48FFA-2476-4D0B-B633-394064C3289F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N18" authorId="2" shapeId="0" xr:uid="{417BEB52-7EBA-4A3F-A1D7-548F5E518AEA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O18" authorId="2" shapeId="0" xr:uid="{6D91D679-BF30-436D-B0FB-E9F633971F19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Taken from free cash flow calculation</t>
        </r>
      </text>
    </comment>
    <comment ref="K19" authorId="2" shapeId="0" xr:uid="{97BA90A7-6B28-46F0-9A0C-E99FAF61E92B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Adjustments made for -
- Adjustements
- Other</t>
        </r>
      </text>
    </comment>
    <comment ref="L19" authorId="2" shapeId="0" xr:uid="{69475086-5E8D-4A15-9522-835DD18DEA89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Adjustments made for -
- Adjustements
- Other</t>
        </r>
      </text>
    </comment>
    <comment ref="M19" authorId="2" shapeId="0" xr:uid="{F31BCB5A-1082-49AB-ACEA-469BB42FDD18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Adjustments made for -
- Adjustements
- Other</t>
        </r>
      </text>
    </comment>
    <comment ref="N19" authorId="2" shapeId="0" xr:uid="{12E655BE-6875-4777-9ADE-7D7307298335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Adjustments made for -
- Adjustements
- Other</t>
        </r>
      </text>
    </comment>
    <comment ref="O19" authorId="2" shapeId="0" xr:uid="{F6593BEB-822F-44AE-8701-48CC92C6FB62}">
      <text>
        <r>
          <rPr>
            <b/>
            <sz val="9"/>
            <color indexed="81"/>
            <rFont val="Tahoma"/>
            <charset val="1"/>
          </rPr>
          <t>DFin:</t>
        </r>
        <r>
          <rPr>
            <sz val="9"/>
            <color indexed="81"/>
            <rFont val="Tahoma"/>
            <charset val="1"/>
          </rPr>
          <t xml:space="preserve">
Adjustments made for -
- Adjustements
- Other</t>
        </r>
      </text>
    </comment>
  </commentList>
</comments>
</file>

<file path=xl/sharedStrings.xml><?xml version="1.0" encoding="utf-8"?>
<sst xmlns="http://schemas.openxmlformats.org/spreadsheetml/2006/main" count="98" uniqueCount="79">
  <si>
    <t>--&gt; don’t delete</t>
  </si>
  <si>
    <t>Fiscal Start</t>
  </si>
  <si>
    <t>Fiscal End</t>
  </si>
  <si>
    <t>USD</t>
  </si>
  <si>
    <t>No.s in Millions</t>
  </si>
  <si>
    <t>Closing Date</t>
  </si>
  <si>
    <t>Quarterly</t>
  </si>
  <si>
    <t xml:space="preserve">P&amp;L </t>
  </si>
  <si>
    <t xml:space="preserve">Net Revenue </t>
  </si>
  <si>
    <t>COGS</t>
  </si>
  <si>
    <t xml:space="preserve">Gross Profit </t>
  </si>
  <si>
    <t>OpEx</t>
  </si>
  <si>
    <t>Adjustments</t>
  </si>
  <si>
    <t>Adj. EBITDA</t>
  </si>
  <si>
    <t>CapEx</t>
  </si>
  <si>
    <t>Taxes</t>
  </si>
  <si>
    <t>Cash Interest Expense</t>
  </si>
  <si>
    <t>Incr./(Decr.) in Working Capital</t>
  </si>
  <si>
    <t xml:space="preserve">Levered Free Cash Flow </t>
  </si>
  <si>
    <t xml:space="preserve">Gross Margin </t>
  </si>
  <si>
    <t xml:space="preserve">Adj. EBITDA Margin </t>
  </si>
  <si>
    <t>TTM Metrics</t>
  </si>
  <si>
    <t>Revenue</t>
  </si>
  <si>
    <t>Credit Metrics</t>
  </si>
  <si>
    <t>Interest Coverage</t>
  </si>
  <si>
    <t>1L Net Leverage</t>
  </si>
  <si>
    <t>Total Net Leverage</t>
  </si>
  <si>
    <t>Company Provided Metrics</t>
  </si>
  <si>
    <t>FCCR</t>
  </si>
  <si>
    <t xml:space="preserve">Balance Sheet </t>
  </si>
  <si>
    <t xml:space="preserve">Cash </t>
  </si>
  <si>
    <t>A/R</t>
  </si>
  <si>
    <t>Inventory</t>
  </si>
  <si>
    <t>Other Current Assets</t>
  </si>
  <si>
    <t>Total Current Assets</t>
  </si>
  <si>
    <t xml:space="preserve">PPE </t>
  </si>
  <si>
    <t>Other Assets</t>
  </si>
  <si>
    <t>Intagibles</t>
  </si>
  <si>
    <t>Total Assets</t>
  </si>
  <si>
    <t>AP</t>
  </si>
  <si>
    <t>Other Current Liabilities</t>
  </si>
  <si>
    <t>Total Current Liabilities</t>
  </si>
  <si>
    <t>Revolver</t>
  </si>
  <si>
    <r>
      <t xml:space="preserve">First Lien Debt </t>
    </r>
    <r>
      <rPr>
        <sz val="9"/>
        <color theme="1"/>
        <rFont val="Calibri"/>
        <family val="2"/>
        <scheme val="minor"/>
      </rPr>
      <t>(DDTL/TL/Pari 1L Debt)</t>
    </r>
  </si>
  <si>
    <r>
      <t xml:space="preserve">Other 1L Debt </t>
    </r>
    <r>
      <rPr>
        <sz val="9"/>
        <color theme="1"/>
        <rFont val="Calibri"/>
        <family val="2"/>
        <scheme val="minor"/>
      </rPr>
      <t>(Cap Leases, Earnout)</t>
    </r>
  </si>
  <si>
    <t xml:space="preserve">2L Debt </t>
  </si>
  <si>
    <t xml:space="preserve">Junior/Subordinated Debt </t>
  </si>
  <si>
    <t>Holdco Debt</t>
  </si>
  <si>
    <t>Other Long-term Liabilities</t>
  </si>
  <si>
    <t>Other Liabilities</t>
  </si>
  <si>
    <t>Total Liabilities</t>
  </si>
  <si>
    <t xml:space="preserve">Preferred Equity </t>
  </si>
  <si>
    <t>Equity</t>
  </si>
  <si>
    <t>Total Liabilities &amp; Equity</t>
  </si>
  <si>
    <t>Check</t>
  </si>
  <si>
    <t>Covenants</t>
  </si>
  <si>
    <t>Covenant #1</t>
  </si>
  <si>
    <t>Leverage (Senior)</t>
  </si>
  <si>
    <t>Cov-lite</t>
  </si>
  <si>
    <t>NA</t>
  </si>
  <si>
    <t>Company Reported Complaince</t>
  </si>
  <si>
    <t xml:space="preserve">Calculated Complaince </t>
  </si>
  <si>
    <t xml:space="preserve">In Compliance </t>
  </si>
  <si>
    <t>Leverage (Total)</t>
  </si>
  <si>
    <t xml:space="preserve">EBITDA Cushion </t>
  </si>
  <si>
    <t>Fixed Charge Coverage</t>
  </si>
  <si>
    <t>Covenant #2</t>
  </si>
  <si>
    <t>Capex</t>
  </si>
  <si>
    <t>Minimum Liquidity</t>
  </si>
  <si>
    <t>Other</t>
  </si>
  <si>
    <t>Covenant #3</t>
  </si>
  <si>
    <t>Covenant #4</t>
  </si>
  <si>
    <t>Covenant #5</t>
  </si>
  <si>
    <t>Additional Information</t>
  </si>
  <si>
    <t>PIK Interest ($)</t>
  </si>
  <si>
    <t>Analyst Notes</t>
  </si>
  <si>
    <t>American Academy Holdings, LLC</t>
  </si>
  <si>
    <t>American Academy (aka AAPC)</t>
  </si>
  <si>
    <t>LTM Compliance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</si>
</sst>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"/>
    <numFmt numFmtId="167" formatCode="0.00\x"/>
    <numFmt numFmtId="168" formatCode="0.0\x"/>
    <numFmt numFmtId="169" formatCode="#,##0.0_);\(#,##0.0\)"/>
    <numFmt numFmtId="170" formatCode="m/d/yy;@"/>
    <numFmt numFmtId="171" formatCode="mm/dd/yy;@"/>
    <numFmt numFmtId="172" formatCode="_(* #,##0.0000_);_(* \(#,##0.0000\);_(* &quot;-&quot;??_);_(@_)"/>
    <numFmt numFmtId="173" formatCode="&quot;Today's Date -&quot;\ mm/dd/yy"/>
    <numFmt numFmtId="174" formatCode="&quot;Legal Name -&quot;\ @"/>
    <numFmt numFmtId="175" formatCode="_(* #,##0.0_);_(* \(#,##0.0\);_(* &quot;-&quot;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4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7" tint="0.79998168889431442"/>
      <name val="Calibri"/>
      <family val="2"/>
      <scheme val="minor"/>
    </font>
    <font>
      <i/>
      <sz val="10"/>
      <color theme="4" tint="0.79998168889431442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0.79998168889431442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511703848384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0.59996337778862885"/>
      </top>
      <bottom style="double">
        <color theme="8" tint="0.599963377788628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2" xfId="0" applyFill="1" applyBorder="1" applyAlignment="1">
      <alignment horizontal="left" vertical="center"/>
    </xf>
    <xf numFmtId="169" fontId="0" fillId="4" borderId="4" xfId="0" applyNumberForma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169" fontId="3" fillId="4" borderId="0" xfId="0" applyNumberFormat="1" applyFont="1" applyFill="1" applyAlignment="1">
      <alignment horizontal="right" vertical="center"/>
    </xf>
    <xf numFmtId="169" fontId="3" fillId="4" borderId="3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169" fontId="3" fillId="4" borderId="4" xfId="0" applyNumberFormat="1" applyFont="1" applyFill="1" applyBorder="1" applyAlignment="1">
      <alignment horizontal="right" vertical="center"/>
    </xf>
    <xf numFmtId="164" fontId="3" fillId="4" borderId="3" xfId="0" applyNumberFormat="1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165" fontId="6" fillId="4" borderId="0" xfId="0" applyNumberFormat="1" applyFont="1" applyFill="1" applyAlignment="1">
      <alignment horizontal="right" vertical="center"/>
    </xf>
    <xf numFmtId="165" fontId="6" fillId="4" borderId="4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horizontal="right" vertical="center"/>
    </xf>
    <xf numFmtId="165" fontId="6" fillId="4" borderId="3" xfId="0" applyNumberFormat="1" applyFont="1" applyFill="1" applyBorder="1" applyAlignment="1">
      <alignment vertical="center"/>
    </xf>
    <xf numFmtId="165" fontId="6" fillId="4" borderId="0" xfId="0" applyNumberFormat="1" applyFont="1" applyFill="1" applyAlignment="1">
      <alignment vertical="center"/>
    </xf>
    <xf numFmtId="165" fontId="6" fillId="4" borderId="8" xfId="0" applyNumberFormat="1" applyFont="1" applyFill="1" applyBorder="1" applyAlignment="1">
      <alignment horizontal="right" vertical="center"/>
    </xf>
    <xf numFmtId="165" fontId="6" fillId="4" borderId="9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horizontal="right"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8" xfId="0" applyNumberFormat="1" applyFont="1" applyFill="1" applyBorder="1" applyAlignment="1">
      <alignment vertical="center"/>
    </xf>
    <xf numFmtId="169" fontId="3" fillId="4" borderId="0" xfId="0" applyNumberFormat="1" applyFont="1" applyFill="1" applyAlignment="1">
      <alignment vertical="center"/>
    </xf>
    <xf numFmtId="169" fontId="3" fillId="4" borderId="8" xfId="0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169" fontId="3" fillId="4" borderId="8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3" xfId="0" applyFill="1" applyBorder="1" applyAlignment="1">
      <alignment vertical="center"/>
    </xf>
    <xf numFmtId="0" fontId="3" fillId="4" borderId="3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7" fontId="0" fillId="4" borderId="3" xfId="0" applyNumberFormat="1" applyFill="1" applyBorder="1" applyAlignment="1">
      <alignment horizontal="right" vertical="center"/>
    </xf>
    <xf numFmtId="167" fontId="0" fillId="4" borderId="0" xfId="0" applyNumberFormat="1" applyFill="1" applyAlignment="1">
      <alignment horizontal="right" vertical="center"/>
    </xf>
    <xf numFmtId="167" fontId="0" fillId="4" borderId="4" xfId="0" applyNumberFormat="1" applyFill="1" applyBorder="1" applyAlignment="1">
      <alignment horizontal="right" vertical="center"/>
    </xf>
    <xf numFmtId="167" fontId="0" fillId="4" borderId="6" xfId="0" applyNumberFormat="1" applyFill="1" applyBorder="1" applyAlignment="1">
      <alignment horizontal="right" vertical="center"/>
    </xf>
    <xf numFmtId="167" fontId="0" fillId="4" borderId="8" xfId="0" applyNumberFormat="1" applyFill="1" applyBorder="1" applyAlignment="1">
      <alignment horizontal="right" vertical="center"/>
    </xf>
    <xf numFmtId="167" fontId="0" fillId="4" borderId="9" xfId="0" applyNumberFormat="1" applyFill="1" applyBorder="1" applyAlignment="1">
      <alignment horizontal="right" vertical="center"/>
    </xf>
    <xf numFmtId="167" fontId="0" fillId="4" borderId="3" xfId="0" applyNumberForma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4" borderId="3" xfId="0" applyNumberFormat="1" applyFill="1" applyBorder="1" applyAlignment="1">
      <alignment horizontal="right" vertical="center"/>
    </xf>
    <xf numFmtId="168" fontId="0" fillId="4" borderId="0" xfId="0" applyNumberFormat="1" applyFill="1" applyAlignment="1">
      <alignment horizontal="right" vertical="center"/>
    </xf>
    <xf numFmtId="168" fontId="0" fillId="4" borderId="4" xfId="0" applyNumberFormat="1" applyFill="1" applyBorder="1" applyAlignment="1">
      <alignment horizontal="right" vertical="center"/>
    </xf>
    <xf numFmtId="167" fontId="5" fillId="4" borderId="0" xfId="0" applyNumberFormat="1" applyFon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169" fontId="0" fillId="4" borderId="4" xfId="1" applyNumberFormat="1" applyFont="1" applyFill="1" applyBorder="1" applyAlignment="1">
      <alignment horizontal="right" vertical="center"/>
    </xf>
    <xf numFmtId="169" fontId="0" fillId="4" borderId="4" xfId="0" applyNumberFormat="1" applyFill="1" applyBorder="1" applyAlignment="1">
      <alignment vertical="center"/>
    </xf>
    <xf numFmtId="169" fontId="3" fillId="4" borderId="3" xfId="1" applyNumberFormat="1" applyFont="1" applyFill="1" applyBorder="1" applyAlignment="1">
      <alignment horizontal="right" vertical="center"/>
    </xf>
    <xf numFmtId="169" fontId="3" fillId="4" borderId="0" xfId="1" applyNumberFormat="1" applyFont="1" applyFill="1" applyBorder="1" applyAlignment="1">
      <alignment horizontal="right" vertical="center"/>
    </xf>
    <xf numFmtId="169" fontId="3" fillId="4" borderId="4" xfId="1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169" fontId="3" fillId="4" borderId="4" xfId="0" applyNumberFormat="1" applyFont="1" applyFill="1" applyBorder="1" applyAlignment="1">
      <alignment vertical="center"/>
    </xf>
    <xf numFmtId="169" fontId="0" fillId="4" borderId="3" xfId="0" applyNumberFormat="1" applyFill="1" applyBorder="1" applyAlignment="1">
      <alignment horizontal="right" vertical="center"/>
    </xf>
    <xf numFmtId="169" fontId="0" fillId="4" borderId="0" xfId="0" applyNumberFormat="1" applyFill="1" applyAlignment="1">
      <alignment horizontal="right" vertical="center"/>
    </xf>
    <xf numFmtId="0" fontId="3" fillId="4" borderId="3" xfId="0" applyFont="1" applyFill="1" applyBorder="1" applyAlignment="1">
      <alignment horizontal="left" vertical="center"/>
    </xf>
    <xf numFmtId="169" fontId="3" fillId="4" borderId="4" xfId="1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4" borderId="4" xfId="0" applyFont="1" applyFill="1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168" fontId="0" fillId="4" borderId="4" xfId="0" applyNumberFormat="1" applyFill="1" applyBorder="1" applyAlignment="1">
      <alignment horizontal="center" vertical="center"/>
    </xf>
    <xf numFmtId="168" fontId="0" fillId="4" borderId="3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right" vertical="center"/>
    </xf>
    <xf numFmtId="166" fontId="0" fillId="4" borderId="8" xfId="0" applyNumberForma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left" vertical="center"/>
    </xf>
    <xf numFmtId="169" fontId="3" fillId="4" borderId="8" xfId="1" applyNumberFormat="1" applyFont="1" applyFill="1" applyBorder="1" applyAlignment="1">
      <alignment horizontal="right" vertical="center"/>
    </xf>
    <xf numFmtId="169" fontId="3" fillId="4" borderId="9" xfId="1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9" fontId="3" fillId="4" borderId="9" xfId="0" applyNumberFormat="1" applyFont="1" applyFill="1" applyBorder="1" applyAlignment="1">
      <alignment vertical="center"/>
    </xf>
    <xf numFmtId="169" fontId="3" fillId="4" borderId="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9" fontId="7" fillId="6" borderId="0" xfId="1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1" fontId="12" fillId="3" borderId="0" xfId="0" applyNumberFormat="1" applyFont="1" applyFill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70" fontId="3" fillId="3" borderId="0" xfId="0" applyNumberFormat="1" applyFont="1" applyFill="1" applyAlignment="1">
      <alignment vertical="center"/>
    </xf>
    <xf numFmtId="172" fontId="3" fillId="3" borderId="0" xfId="1" applyNumberFormat="1" applyFont="1" applyFill="1" applyAlignment="1">
      <alignment vertical="center"/>
    </xf>
    <xf numFmtId="172" fontId="3" fillId="3" borderId="0" xfId="0" applyNumberFormat="1" applyFont="1" applyFill="1" applyAlignment="1">
      <alignment vertical="center"/>
    </xf>
    <xf numFmtId="173" fontId="14" fillId="2" borderId="10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171" fontId="16" fillId="2" borderId="1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71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14" fontId="18" fillId="2" borderId="0" xfId="0" applyNumberFormat="1" applyFont="1" applyFill="1" applyAlignment="1">
      <alignment horizontal="center" vertical="center"/>
    </xf>
    <xf numFmtId="169" fontId="5" fillId="7" borderId="0" xfId="0" applyNumberFormat="1" applyFont="1" applyFill="1" applyAlignment="1">
      <alignment horizontal="right" vertical="center"/>
    </xf>
    <xf numFmtId="169" fontId="5" fillId="7" borderId="3" xfId="0" applyNumberFormat="1" applyFont="1" applyFill="1" applyBorder="1" applyAlignment="1">
      <alignment horizontal="right" vertical="center"/>
    </xf>
    <xf numFmtId="169" fontId="5" fillId="7" borderId="3" xfId="0" applyNumberFormat="1" applyFont="1" applyFill="1" applyBorder="1" applyAlignment="1">
      <alignment vertical="center"/>
    </xf>
    <xf numFmtId="169" fontId="5" fillId="7" borderId="0" xfId="0" applyNumberFormat="1" applyFont="1" applyFill="1" applyAlignment="1">
      <alignment vertical="center"/>
    </xf>
    <xf numFmtId="169" fontId="5" fillId="7" borderId="6" xfId="0" applyNumberFormat="1" applyFont="1" applyFill="1" applyBorder="1" applyAlignment="1">
      <alignment vertical="center"/>
    </xf>
    <xf numFmtId="169" fontId="5" fillId="7" borderId="8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top" wrapText="1"/>
    </xf>
    <xf numFmtId="14" fontId="18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top"/>
    </xf>
    <xf numFmtId="0" fontId="20" fillId="2" borderId="1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167" fontId="5" fillId="3" borderId="0" xfId="0" applyNumberFormat="1" applyFont="1" applyFill="1" applyAlignment="1">
      <alignment horizontal="right" vertical="center"/>
    </xf>
    <xf numFmtId="167" fontId="5" fillId="3" borderId="3" xfId="0" applyNumberFormat="1" applyFont="1" applyFill="1" applyBorder="1" applyAlignment="1">
      <alignment horizontal="right" vertical="center"/>
    </xf>
    <xf numFmtId="169" fontId="5" fillId="3" borderId="3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Border="1" applyAlignment="1">
      <alignment horizontal="right" vertical="center"/>
    </xf>
    <xf numFmtId="169" fontId="5" fillId="3" borderId="0" xfId="1" applyNumberFormat="1" applyFont="1" applyFill="1" applyAlignment="1">
      <alignment horizontal="right" vertical="center"/>
    </xf>
    <xf numFmtId="0" fontId="0" fillId="4" borderId="2" xfId="0" applyFill="1" applyBorder="1" applyAlignment="1">
      <alignment horizontal="left" vertical="center" indent="2"/>
    </xf>
    <xf numFmtId="169" fontId="3" fillId="3" borderId="8" xfId="1" applyNumberFormat="1" applyFont="1" applyFill="1" applyBorder="1" applyAlignment="1">
      <alignment horizontal="right" vertical="center"/>
    </xf>
    <xf numFmtId="169" fontId="7" fillId="3" borderId="0" xfId="1" applyNumberFormat="1" applyFont="1" applyFill="1" applyAlignment="1">
      <alignment horizontal="right" vertical="center"/>
    </xf>
    <xf numFmtId="169" fontId="13" fillId="3" borderId="8" xfId="1" applyNumberFormat="1" applyFont="1" applyFill="1" applyBorder="1" applyAlignment="1">
      <alignment horizontal="right" vertical="center"/>
    </xf>
    <xf numFmtId="169" fontId="3" fillId="4" borderId="6" xfId="0" applyNumberFormat="1" applyFont="1" applyFill="1" applyBorder="1" applyAlignment="1">
      <alignment horizontal="right" vertical="center"/>
    </xf>
    <xf numFmtId="169" fontId="3" fillId="4" borderId="9" xfId="0" applyNumberFormat="1" applyFont="1" applyFill="1" applyBorder="1" applyAlignment="1">
      <alignment horizontal="right" vertical="center"/>
    </xf>
    <xf numFmtId="43" fontId="3" fillId="4" borderId="6" xfId="0" applyNumberFormat="1" applyFont="1" applyFill="1" applyBorder="1" applyAlignment="1">
      <alignment horizontal="center" vertical="center"/>
    </xf>
    <xf numFmtId="43" fontId="3" fillId="4" borderId="8" xfId="0" applyNumberFormat="1" applyFont="1" applyFill="1" applyBorder="1" applyAlignment="1">
      <alignment horizontal="center" vertical="center"/>
    </xf>
    <xf numFmtId="167" fontId="0" fillId="6" borderId="3" xfId="0" applyNumberFormat="1" applyFill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168" fontId="0" fillId="6" borderId="4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168" fontId="0" fillId="6" borderId="8" xfId="0" applyNumberFormat="1" applyFill="1" applyBorder="1" applyAlignment="1">
      <alignment horizontal="center" vertical="center"/>
    </xf>
    <xf numFmtId="168" fontId="0" fillId="6" borderId="9" xfId="0" applyNumberFormat="1" applyFill="1" applyBorder="1" applyAlignment="1">
      <alignment horizontal="center" vertical="center"/>
    </xf>
    <xf numFmtId="168" fontId="0" fillId="6" borderId="6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7" fillId="8" borderId="6" xfId="0" applyFont="1" applyFill="1" applyBorder="1" applyAlignment="1">
      <alignment vertical="center"/>
    </xf>
    <xf numFmtId="167" fontId="5" fillId="6" borderId="0" xfId="0" applyNumberFormat="1" applyFont="1" applyFill="1" applyAlignment="1">
      <alignment horizontal="right" vertical="center"/>
    </xf>
    <xf numFmtId="168" fontId="0" fillId="6" borderId="0" xfId="0" applyNumberFormat="1" applyFill="1" applyAlignment="1">
      <alignment horizontal="right" vertical="center"/>
    </xf>
    <xf numFmtId="0" fontId="21" fillId="9" borderId="2" xfId="0" applyFont="1" applyFill="1" applyBorder="1" applyAlignment="1">
      <alignment horizontal="left" vertical="center" indent="1"/>
    </xf>
    <xf numFmtId="167" fontId="0" fillId="9" borderId="3" xfId="0" applyNumberFormat="1" applyFill="1" applyBorder="1" applyAlignment="1">
      <alignment horizontal="center" vertical="center"/>
    </xf>
    <xf numFmtId="167" fontId="0" fillId="9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9" borderId="4" xfId="0" applyNumberFormat="1" applyFill="1" applyBorder="1" applyAlignment="1">
      <alignment horizontal="center" vertical="center"/>
    </xf>
    <xf numFmtId="168" fontId="0" fillId="9" borderId="3" xfId="0" applyNumberFormat="1" applyFill="1" applyBorder="1" applyAlignment="1">
      <alignment horizontal="center" vertical="center"/>
    </xf>
    <xf numFmtId="167" fontId="5" fillId="9" borderId="0" xfId="0" applyNumberFormat="1" applyFont="1" applyFill="1" applyAlignment="1">
      <alignment horizontal="right" vertical="center"/>
    </xf>
    <xf numFmtId="168" fontId="5" fillId="3" borderId="0" xfId="0" applyNumberFormat="1" applyFont="1" applyFill="1" applyAlignment="1">
      <alignment horizontal="righ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9" fontId="7" fillId="6" borderId="3" xfId="1" applyNumberFormat="1" applyFont="1" applyFill="1" applyBorder="1" applyAlignment="1">
      <alignment horizontal="right" vertical="center"/>
    </xf>
    <xf numFmtId="169" fontId="7" fillId="6" borderId="0" xfId="1" applyNumberFormat="1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8" fontId="0" fillId="5" borderId="4" xfId="0" applyNumberForma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5" borderId="17" xfId="0" applyNumberFormat="1" applyFill="1" applyBorder="1" applyAlignment="1">
      <alignment horizontal="center" vertical="center"/>
    </xf>
    <xf numFmtId="168" fontId="0" fillId="5" borderId="16" xfId="0" applyNumberFormat="1" applyFill="1" applyBorder="1" applyAlignment="1">
      <alignment horizontal="center" vertical="center"/>
    </xf>
    <xf numFmtId="14" fontId="16" fillId="10" borderId="0" xfId="0" applyNumberFormat="1" applyFont="1" applyFill="1" applyAlignment="1">
      <alignment horizontal="center" vertical="center"/>
    </xf>
    <xf numFmtId="171" fontId="16" fillId="10" borderId="13" xfId="0" applyNumberFormat="1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174" fontId="23" fillId="2" borderId="18" xfId="0" applyNumberFormat="1" applyFont="1" applyFill="1" applyBorder="1" applyAlignment="1">
      <alignment horizontal="center" vertical="center"/>
    </xf>
    <xf numFmtId="175" fontId="5" fillId="3" borderId="0" xfId="0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A1:AG117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6" sqref="A6"/>
      <selection pane="bottomRight" activeCell="C4" sqref="C4"/>
    </sheetView>
  </sheetViews>
  <sheetFormatPr defaultColWidth="8.88671875" defaultRowHeight="14.4" x14ac:dyDescent="0.3"/>
  <cols>
    <col min="1" max="1" width="1.6640625" style="3" customWidth="1"/>
    <col min="2" max="2" width="1.6640625" style="3" hidden="1" customWidth="1"/>
    <col min="3" max="3" width="45" style="3" bestFit="1" customWidth="1"/>
    <col min="4" max="4" width="10.5546875" style="3" bestFit="1" customWidth="1"/>
    <col min="5" max="7" width="11.109375" style="3" customWidth="1"/>
    <col min="8" max="20" width="12.6640625" style="3" customWidth="1"/>
    <col min="21" max="30" width="12.6640625" style="3" hidden="1" customWidth="1"/>
    <col min="31" max="31" width="8.88671875" style="3"/>
    <col min="32" max="32" width="21.33203125" style="3" customWidth="1"/>
    <col min="33" max="16384" width="8.88671875" style="3"/>
  </cols>
  <sheetData>
    <row r="1" spans="1:33" hidden="1" x14ac:dyDescent="0.3">
      <c r="A1" s="77"/>
      <c r="B1" s="77"/>
      <c r="C1" s="78"/>
      <c r="D1" s="78"/>
      <c r="E1" s="78"/>
      <c r="F1" s="78"/>
      <c r="G1" s="77"/>
      <c r="H1" s="84">
        <f ca="1">OFFSET($K$1,6,MATCH(YEAR($E$3),$K$1:$AD$1,0)-1)</f>
        <v>45016</v>
      </c>
      <c r="I1" s="81" t="str">
        <f ca="1">+IF(ISNA(HLOOKUP(DATE(YEAR(H1)-1,MONTH(H1),DAY(H1)),$K$7:$AD$7,1,0)),"No","Yes")</f>
        <v>No</v>
      </c>
      <c r="J1" s="81" t="s">
        <v>0</v>
      </c>
      <c r="K1" s="81">
        <f t="shared" ref="K1:P1" si="0">IF(K7="","",YEAR(K7))</f>
        <v>2023</v>
      </c>
      <c r="L1" s="81">
        <f t="shared" si="0"/>
        <v>2023</v>
      </c>
      <c r="M1" s="81">
        <f t="shared" si="0"/>
        <v>2023</v>
      </c>
      <c r="N1" s="81">
        <f t="shared" si="0"/>
        <v>2023</v>
      </c>
      <c r="O1" s="81">
        <f t="shared" si="0"/>
        <v>2024</v>
      </c>
      <c r="P1" s="81" t="str">
        <f t="shared" si="0"/>
        <v/>
      </c>
      <c r="Q1" s="81" t="str">
        <f>IF(Q7="","",YEAR(Q7))</f>
        <v/>
      </c>
      <c r="R1" s="81" t="str">
        <f t="shared" ref="R1:Z1" si="1">IF(R7="","",YEAR(R7))</f>
        <v/>
      </c>
      <c r="S1" s="81" t="str">
        <f t="shared" si="1"/>
        <v/>
      </c>
      <c r="T1" s="81" t="str">
        <f t="shared" si="1"/>
        <v/>
      </c>
      <c r="U1" s="81" t="e">
        <f t="shared" si="1"/>
        <v>#VALUE!</v>
      </c>
      <c r="V1" s="81" t="e">
        <f t="shared" si="1"/>
        <v>#VALUE!</v>
      </c>
      <c r="W1" s="81" t="str">
        <f t="shared" si="1"/>
        <v/>
      </c>
      <c r="X1" s="81" t="str">
        <f t="shared" si="1"/>
        <v/>
      </c>
      <c r="Y1" s="81" t="str">
        <f t="shared" si="1"/>
        <v/>
      </c>
      <c r="Z1" s="81" t="str">
        <f t="shared" si="1"/>
        <v/>
      </c>
      <c r="AA1" s="81" t="str">
        <f t="shared" ref="AA1:AD1" si="2">IF(AA7="","",YEAR(AA7))</f>
        <v/>
      </c>
      <c r="AB1" s="81" t="str">
        <f t="shared" si="2"/>
        <v/>
      </c>
      <c r="AC1" s="81" t="str">
        <f t="shared" si="2"/>
        <v/>
      </c>
      <c r="AD1" s="81" t="str">
        <f t="shared" si="2"/>
        <v/>
      </c>
      <c r="AE1" s="77"/>
    </row>
    <row r="2" spans="1:33" ht="4.95" customHeight="1" x14ac:dyDescent="0.3">
      <c r="A2" s="77"/>
      <c r="B2" s="77"/>
      <c r="C2" s="78"/>
      <c r="D2" s="78"/>
      <c r="E2" s="78"/>
      <c r="F2" s="78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3" s="9" customFormat="1" ht="16.2" customHeight="1" x14ac:dyDescent="0.3">
      <c r="A3" s="79"/>
      <c r="B3" s="79"/>
      <c r="C3" s="89">
        <f ca="1">+TODAY()</f>
        <v>45499</v>
      </c>
      <c r="D3" s="85" t="s">
        <v>1</v>
      </c>
      <c r="E3" s="173">
        <v>44927</v>
      </c>
      <c r="F3" s="92" t="s">
        <v>2</v>
      </c>
      <c r="G3" s="93">
        <f>IF(E3="","",EOMONTH(E3, 11))</f>
        <v>45291</v>
      </c>
      <c r="H3" s="174" t="s">
        <v>3</v>
      </c>
      <c r="I3" s="112" t="s">
        <v>4</v>
      </c>
      <c r="J3" s="86"/>
      <c r="K3" s="87"/>
      <c r="L3" s="88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3" ht="16.2" thickBot="1" x14ac:dyDescent="0.35">
      <c r="A4" s="77"/>
      <c r="B4" s="77"/>
      <c r="C4" s="175" t="s">
        <v>76</v>
      </c>
      <c r="D4" s="78"/>
      <c r="E4" s="78"/>
      <c r="F4" s="78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3" ht="15" customHeight="1" thickTop="1" x14ac:dyDescent="0.3">
      <c r="A5" s="77"/>
      <c r="B5" s="77"/>
      <c r="C5" s="97" t="s">
        <v>77</v>
      </c>
      <c r="D5" s="94"/>
      <c r="E5" s="94"/>
      <c r="F5" s="94"/>
      <c r="G5" s="107"/>
      <c r="H5" s="94"/>
      <c r="I5" s="95"/>
      <c r="J5" s="110"/>
      <c r="K5" s="94"/>
      <c r="L5" s="94"/>
      <c r="M5" s="94"/>
      <c r="N5" s="96"/>
      <c r="O5" s="96"/>
      <c r="P5" s="96"/>
      <c r="Q5" s="96"/>
      <c r="R5" s="96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77"/>
    </row>
    <row r="6" spans="1:33" ht="15" customHeight="1" x14ac:dyDescent="0.3">
      <c r="A6" s="77"/>
      <c r="B6" s="77"/>
      <c r="C6" s="98" t="s">
        <v>5</v>
      </c>
      <c r="D6" s="99">
        <f t="shared" ref="D6" si="3">+YEAR($K$7)-3</f>
        <v>2020</v>
      </c>
      <c r="E6" s="99">
        <f>+YEAR($K$7)-2</f>
        <v>2021</v>
      </c>
      <c r="F6" s="99">
        <f>+YEAR($K$7)-1</f>
        <v>2022</v>
      </c>
      <c r="G6" s="108">
        <f>+YEAR($K$7)</f>
        <v>2023</v>
      </c>
      <c r="H6" s="83"/>
      <c r="I6" s="83"/>
      <c r="J6" s="108"/>
      <c r="K6" s="99" t="str">
        <f>IF(K7="","","1Q"&amp;RIGHT(YEAR(K7),2))</f>
        <v>1Q23</v>
      </c>
      <c r="L6" s="99" t="str">
        <f>IF(L7="","","2Q"&amp;RIGHT(YEAR(K7),2))</f>
        <v>2Q23</v>
      </c>
      <c r="M6" s="99" t="str">
        <f>IF(M7="","","3Q"&amp;RIGHT(YEAR(K7),2))</f>
        <v>3Q23</v>
      </c>
      <c r="N6" s="99" t="str">
        <f>IF(N7="","","4Q"&amp;RIGHT(YEAR(K7),2))</f>
        <v>4Q23</v>
      </c>
      <c r="O6" s="99" t="str">
        <f>IF(O7="","","1Q"&amp;RIGHT(YEAR(O7),2))</f>
        <v>1Q24</v>
      </c>
      <c r="P6" s="99" t="str">
        <f>IF(P7="","","2Q"&amp;RIGHT(YEAR(O7),2))</f>
        <v/>
      </c>
      <c r="Q6" s="99" t="str">
        <f>IF(Q7="","","3Q"&amp;RIGHT(YEAR(O7),2))</f>
        <v/>
      </c>
      <c r="R6" s="99" t="str">
        <f>IF(R7="","","4Q"&amp;RIGHT(YEAR(O7),2))</f>
        <v/>
      </c>
      <c r="S6" s="99" t="str">
        <f>IF(S7="","","1Q"&amp;RIGHT(YEAR(S7),2))</f>
        <v/>
      </c>
      <c r="T6" s="99" t="str">
        <f>IF(T7="","","2Q"&amp;RIGHT(YEAR(S7),2))</f>
        <v/>
      </c>
      <c r="U6" s="99" t="e">
        <f>IF(U7="","","3Q"&amp;RIGHT(YEAR(S7),2))</f>
        <v>#VALUE!</v>
      </c>
      <c r="V6" s="99" t="e">
        <f>IF(V7="","","4Q"&amp;RIGHT(YEAR(S7),2))</f>
        <v>#VALUE!</v>
      </c>
      <c r="W6" s="99" t="str">
        <f>IF(W7="","","1Q"&amp;RIGHT(YEAR(W7),2))</f>
        <v/>
      </c>
      <c r="X6" s="99" t="str">
        <f>IF(X7="","","2Q"&amp;RIGHT(YEAR(W7),2))</f>
        <v/>
      </c>
      <c r="Y6" s="99" t="str">
        <f>IF(Y7="","","3Q"&amp;RIGHT(YEAR(W7),2))</f>
        <v/>
      </c>
      <c r="Z6" s="99" t="str">
        <f>IF(Z7="","","4Q"&amp;RIGHT(YEAR(W7),2))</f>
        <v/>
      </c>
      <c r="AA6" s="99" t="str">
        <f>IF(AA7="","","1Q"&amp;RIGHT(YEAR(AA7),2))</f>
        <v/>
      </c>
      <c r="AB6" s="99" t="str">
        <f>IF(AB7="","","2Q"&amp;RIGHT(YEAR(AA7),2))</f>
        <v/>
      </c>
      <c r="AC6" s="99" t="str">
        <f>IF(AC7="","","3Q"&amp;RIGHT(YEAR(AA7),2))</f>
        <v/>
      </c>
      <c r="AD6" s="99" t="str">
        <f>IF(AD7="","","4Q"&amp;RIGHT(YEAR(AA7),2))</f>
        <v/>
      </c>
      <c r="AE6" s="77"/>
    </row>
    <row r="7" spans="1:33" s="91" customFormat="1" ht="16.95" customHeight="1" x14ac:dyDescent="0.3">
      <c r="A7" s="90"/>
      <c r="B7" s="90"/>
      <c r="C7" s="100" t="s">
        <v>6</v>
      </c>
      <c r="D7" s="100">
        <f t="shared" ref="D7:E7" si="4">+DATE(YEAR(E7)-1,MONTH(E7),DAY(E7))</f>
        <v>44196</v>
      </c>
      <c r="E7" s="100">
        <f t="shared" si="4"/>
        <v>44561</v>
      </c>
      <c r="F7" s="100">
        <f>+DATE(YEAR(G7)-1,MONTH(G7),DAY(G7))</f>
        <v>44926</v>
      </c>
      <c r="G7" s="109">
        <f>+DATE(YEAR($K$7),MONTH($G$3),DAY(G3))</f>
        <v>45291</v>
      </c>
      <c r="H7" s="99" t="str">
        <f>"YTD "&amp;YEAR($E$3)-1</f>
        <v>YTD 2022</v>
      </c>
      <c r="I7" s="99" t="str">
        <f>"YTD "&amp;YEAR($E$3)</f>
        <v>YTD 2023</v>
      </c>
      <c r="J7" s="111" t="str">
        <f ca="1">IF(K7="","","LTM "&amp;OFFSET($K$7,-1,MATCH("",$K$6:$AD$6,0)-2))</f>
        <v>LTM 1Q24</v>
      </c>
      <c r="K7" s="172">
        <v>45016</v>
      </c>
      <c r="L7" s="100">
        <f>IF(L9="","",EOMONTH(K7, 3))</f>
        <v>45107</v>
      </c>
      <c r="M7" s="100">
        <f t="shared" ref="M7:Z7" si="5">IF(M9="","",EOMONTH(L7, 3))</f>
        <v>45199</v>
      </c>
      <c r="N7" s="100">
        <f t="shared" si="5"/>
        <v>45291</v>
      </c>
      <c r="O7" s="100">
        <f t="shared" si="5"/>
        <v>45382</v>
      </c>
      <c r="P7" s="100" t="str">
        <f t="shared" si="5"/>
        <v/>
      </c>
      <c r="Q7" s="100" t="str">
        <f t="shared" si="5"/>
        <v/>
      </c>
      <c r="R7" s="100" t="str">
        <f t="shared" si="5"/>
        <v/>
      </c>
      <c r="S7" s="100" t="str">
        <f t="shared" si="5"/>
        <v/>
      </c>
      <c r="T7" s="100" t="str">
        <f t="shared" si="5"/>
        <v/>
      </c>
      <c r="U7" s="100" t="e">
        <f t="shared" si="5"/>
        <v>#VALUE!</v>
      </c>
      <c r="V7" s="100" t="e">
        <f t="shared" si="5"/>
        <v>#VALUE!</v>
      </c>
      <c r="W7" s="100" t="str">
        <f t="shared" si="5"/>
        <v/>
      </c>
      <c r="X7" s="100" t="str">
        <f t="shared" si="5"/>
        <v/>
      </c>
      <c r="Y7" s="100" t="str">
        <f t="shared" si="5"/>
        <v/>
      </c>
      <c r="Z7" s="100" t="str">
        <f t="shared" si="5"/>
        <v/>
      </c>
      <c r="AA7" s="100" t="str">
        <f t="shared" ref="AA7" si="6">IF(AA9="","",EOMONTH(Z7, 3))</f>
        <v/>
      </c>
      <c r="AB7" s="100" t="str">
        <f t="shared" ref="AB7" si="7">IF(AB9="","",EOMONTH(AA7, 3))</f>
        <v/>
      </c>
      <c r="AC7" s="100" t="str">
        <f t="shared" ref="AC7" si="8">IF(AC9="","",EOMONTH(AB7, 3))</f>
        <v/>
      </c>
      <c r="AD7" s="100" t="str">
        <f t="shared" ref="AD7" si="9">IF(AD9="","",EOMONTH(AC7, 3))</f>
        <v/>
      </c>
      <c r="AE7" s="90"/>
    </row>
    <row r="8" spans="1:33" ht="16.95" customHeight="1" x14ac:dyDescent="0.3">
      <c r="A8" s="77"/>
      <c r="B8" s="77"/>
      <c r="C8" s="144" t="s">
        <v>7</v>
      </c>
      <c r="D8" s="145"/>
      <c r="E8" s="145"/>
      <c r="F8" s="145"/>
      <c r="G8" s="146"/>
      <c r="H8" s="147"/>
      <c r="I8" s="145"/>
      <c r="J8" s="146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77"/>
    </row>
    <row r="9" spans="1:33" ht="15" customHeight="1" x14ac:dyDescent="0.3">
      <c r="A9" s="77"/>
      <c r="B9" s="77"/>
      <c r="C9" s="113" t="s">
        <v>8</v>
      </c>
      <c r="D9" s="101"/>
      <c r="E9" s="101">
        <v>150.30000000000001</v>
      </c>
      <c r="F9" s="101">
        <v>172.6</v>
      </c>
      <c r="G9" s="5">
        <f>SUM(K9:N9)</f>
        <v>190.1</v>
      </c>
      <c r="H9" s="58">
        <f ca="1">IF(OR((YEAR($E$3)=YEAR($K$7)),$I$1="No"),0,SUM(OFFSET($K8,1,MATCH(YEAR($E$3)-1,$K$1:$AD$1,0)-1,1,COUNTIF($K$1:$AD$1,YEAR($E$3)))))</f>
        <v>0</v>
      </c>
      <c r="I9" s="58">
        <f ca="1">IF($K$7="",0,SUM(OFFSET($K8,1,MATCH(YEAR($E$3),$K$1:$AD$1,0)-1,1,4)))</f>
        <v>190.1</v>
      </c>
      <c r="J9" s="5">
        <f ca="1">IF((COUNTA($K$7:$AD$7)-COUNTBLANK($K$7:$AD$7))&lt;4,0,IF($K$7="",0,SUM(OFFSET($K8,1,MATCH("",$K$7:$AD$7,0)-5,1,4))))</f>
        <v>192.1</v>
      </c>
      <c r="K9" s="101">
        <v>51.5</v>
      </c>
      <c r="L9" s="101">
        <v>46.8</v>
      </c>
      <c r="M9" s="101">
        <v>45.7</v>
      </c>
      <c r="N9" s="101">
        <v>46.1</v>
      </c>
      <c r="O9" s="101">
        <v>53.5</v>
      </c>
      <c r="P9" s="101"/>
      <c r="Q9" s="101"/>
      <c r="R9" s="101"/>
      <c r="S9" s="101"/>
      <c r="T9" s="101"/>
      <c r="U9" s="101">
        <v>0</v>
      </c>
      <c r="V9" s="101">
        <v>0</v>
      </c>
      <c r="W9" s="101"/>
      <c r="X9" s="101"/>
      <c r="Y9" s="101"/>
      <c r="Z9" s="101"/>
      <c r="AA9" s="101"/>
      <c r="AB9" s="101"/>
      <c r="AC9" s="101"/>
      <c r="AD9" s="101"/>
      <c r="AE9" s="77"/>
    </row>
    <row r="10" spans="1:33" ht="15" customHeight="1" x14ac:dyDescent="0.3">
      <c r="A10" s="77"/>
      <c r="B10" s="77"/>
      <c r="C10" s="113" t="s">
        <v>9</v>
      </c>
      <c r="D10" s="101"/>
      <c r="E10" s="101">
        <v>0</v>
      </c>
      <c r="F10" s="101">
        <v>0</v>
      </c>
      <c r="G10" s="5">
        <f>SUM(K10:N10)</f>
        <v>40.6</v>
      </c>
      <c r="H10" s="58">
        <f ca="1">IF(OR((YEAR($E$3)=YEAR($K$7)),$I$1="No"),0,SUM(OFFSET($K9,1,MATCH(YEAR($E$3)-1,$K$1:$AD$1,0)-1,1,COUNTIF($K$1:$AD$1,YEAR($E$3)))))</f>
        <v>0</v>
      </c>
      <c r="I10" s="58">
        <f ca="1">IF($K$7="",0,SUM(OFFSET($K9,1,MATCH(YEAR($E$3),$K$1:$AD$1,0)-1,1,4)))</f>
        <v>40.6</v>
      </c>
      <c r="J10" s="5">
        <f ca="1">IF((COUNTA($K$7:$AD$7)-COUNTBLANK($K$7:$AD$7))&lt;4,0,IF($K$7="",0,SUM(OFFSET($K9,1,MATCH("",$K$7:$AD$7,0)-5,1,4))))</f>
        <v>43.5</v>
      </c>
      <c r="K10" s="101">
        <v>9.4</v>
      </c>
      <c r="L10" s="101">
        <v>10.4</v>
      </c>
      <c r="M10" s="101">
        <v>10</v>
      </c>
      <c r="N10" s="101">
        <v>10.8</v>
      </c>
      <c r="O10" s="101">
        <v>12.3</v>
      </c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77"/>
    </row>
    <row r="11" spans="1:33" s="9" customFormat="1" ht="15" customHeight="1" x14ac:dyDescent="0.3">
      <c r="A11" s="79"/>
      <c r="B11" s="79"/>
      <c r="C11" s="6" t="s">
        <v>10</v>
      </c>
      <c r="D11" s="7">
        <f>IF(OR(D10=0,D10=""),D9, D9-D10)</f>
        <v>0</v>
      </c>
      <c r="E11" s="7">
        <f t="shared" ref="E11:Q11" si="10">IF(OR(E10=0,E10=""),E9, E9-E10)</f>
        <v>150.30000000000001</v>
      </c>
      <c r="F11" s="7">
        <f t="shared" si="10"/>
        <v>172.6</v>
      </c>
      <c r="G11" s="7">
        <f t="shared" si="10"/>
        <v>149.5</v>
      </c>
      <c r="H11" s="8">
        <f t="shared" ca="1" si="10"/>
        <v>0</v>
      </c>
      <c r="I11" s="7">
        <f t="shared" ca="1" si="10"/>
        <v>149.5</v>
      </c>
      <c r="J11" s="10">
        <f t="shared" ca="1" si="10"/>
        <v>148.6</v>
      </c>
      <c r="K11" s="8">
        <f t="shared" si="10"/>
        <v>42.1</v>
      </c>
      <c r="L11" s="7">
        <f t="shared" si="10"/>
        <v>36.4</v>
      </c>
      <c r="M11" s="7">
        <f t="shared" si="10"/>
        <v>35.700000000000003</v>
      </c>
      <c r="N11" s="7">
        <f t="shared" si="10"/>
        <v>35.299999999999997</v>
      </c>
      <c r="O11" s="7">
        <f t="shared" si="10"/>
        <v>41.2</v>
      </c>
      <c r="P11" s="7">
        <f t="shared" si="10"/>
        <v>0</v>
      </c>
      <c r="Q11" s="7">
        <f t="shared" si="10"/>
        <v>0</v>
      </c>
      <c r="R11" s="7">
        <f t="shared" ref="R11:AD11" si="11">IF(OR(R10=0,R10=""),R9, R9-R10)</f>
        <v>0</v>
      </c>
      <c r="S11" s="7">
        <f t="shared" si="11"/>
        <v>0</v>
      </c>
      <c r="T11" s="7">
        <f t="shared" si="11"/>
        <v>0</v>
      </c>
      <c r="U11" s="7">
        <f t="shared" si="11"/>
        <v>0</v>
      </c>
      <c r="V11" s="7">
        <f t="shared" si="11"/>
        <v>0</v>
      </c>
      <c r="W11" s="7">
        <f t="shared" si="11"/>
        <v>0</v>
      </c>
      <c r="X11" s="7">
        <f t="shared" si="11"/>
        <v>0</v>
      </c>
      <c r="Y11" s="7">
        <f t="shared" si="11"/>
        <v>0</v>
      </c>
      <c r="Z11" s="7">
        <f t="shared" si="11"/>
        <v>0</v>
      </c>
      <c r="AA11" s="7">
        <f t="shared" si="11"/>
        <v>0</v>
      </c>
      <c r="AB11" s="7">
        <f t="shared" si="11"/>
        <v>0</v>
      </c>
      <c r="AC11" s="7">
        <f t="shared" si="11"/>
        <v>0</v>
      </c>
      <c r="AD11" s="7">
        <f t="shared" si="11"/>
        <v>0</v>
      </c>
      <c r="AE11" s="79"/>
      <c r="AG11" s="3"/>
    </row>
    <row r="12" spans="1:33" ht="15" customHeight="1" x14ac:dyDescent="0.3">
      <c r="A12" s="77"/>
      <c r="B12" s="77"/>
      <c r="C12" s="113" t="s">
        <v>11</v>
      </c>
      <c r="D12" s="101"/>
      <c r="E12" s="101">
        <f>+E9-93.2</f>
        <v>57.100000000000009</v>
      </c>
      <c r="F12" s="101">
        <f>+F9-102.5</f>
        <v>70.099999999999994</v>
      </c>
      <c r="G12" s="5">
        <f>SUM(K12:N12)</f>
        <v>44</v>
      </c>
      <c r="H12" s="58">
        <f ca="1">IF(OR((YEAR($E$3)=YEAR($K$7)),$I$1="No"),0,SUM(OFFSET($K11,1,MATCH(YEAR($E$3)-1,$K$1:$AD$1,0)-1,1,COUNTIF($K$1:$AD$1,YEAR($E$3)))))</f>
        <v>0</v>
      </c>
      <c r="I12" s="58">
        <f ca="1">IF($K$7="",0,SUM(OFFSET($K11,1,MATCH(YEAR($E$3),$K$1:$AD$1,0)-1,1,4)))</f>
        <v>44</v>
      </c>
      <c r="J12" s="5">
        <f t="shared" ref="J12:J13" ca="1" si="12">IF((COUNTA($K$7:$AD$7)-COUNTBLANK($K$7:$AD$7))&lt;4,0,IF($K$7="",0,SUM(OFFSET($K11,1,MATCH("",$K$7:$AD$7,0)-5,1,4))))</f>
        <v>43.8</v>
      </c>
      <c r="K12" s="101">
        <v>10.5</v>
      </c>
      <c r="L12" s="101">
        <v>10.7</v>
      </c>
      <c r="M12" s="101">
        <v>10.5</v>
      </c>
      <c r="N12" s="101">
        <v>12.3</v>
      </c>
      <c r="O12" s="101">
        <v>10.3</v>
      </c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77"/>
    </row>
    <row r="13" spans="1:33" ht="15" customHeight="1" x14ac:dyDescent="0.3">
      <c r="A13" s="77"/>
      <c r="B13" s="77"/>
      <c r="C13" s="113" t="s">
        <v>12</v>
      </c>
      <c r="D13" s="101"/>
      <c r="E13" s="101">
        <v>0</v>
      </c>
      <c r="F13" s="101">
        <v>0</v>
      </c>
      <c r="G13" s="5">
        <f>SUM(K13:N13)</f>
        <v>5.4999999999999929</v>
      </c>
      <c r="H13" s="58">
        <f ca="1">IF(OR((YEAR($E$3)=YEAR($K$7)),$I$1="No"),0,SUM(OFFSET($K12,1,MATCH(YEAR($E$3)-1,$K$1:$AD$1,0)-1,1,COUNTIF($K$1:$AD$1,YEAR($E$3)))))</f>
        <v>0</v>
      </c>
      <c r="I13" s="58">
        <f ca="1">IF($K$7="",0,SUM(OFFSET($K12,1,MATCH(YEAR($E$3),$K$1:$AD$1,0)-1,1,4)))</f>
        <v>5.4999999999999929</v>
      </c>
      <c r="J13" s="5">
        <f t="shared" ca="1" si="12"/>
        <v>5.8999999999999915</v>
      </c>
      <c r="K13" s="101">
        <f>32.3+K12-K11</f>
        <v>0.69999999999999574</v>
      </c>
      <c r="L13" s="101">
        <f>27.2+L12-L11</f>
        <v>1.5</v>
      </c>
      <c r="M13" s="101">
        <f>26.3+M12-M11</f>
        <v>1.0999999999999943</v>
      </c>
      <c r="N13" s="101">
        <f>25.2+N12-N11</f>
        <v>2.2000000000000028</v>
      </c>
      <c r="O13" s="101">
        <f>32+O12-O11</f>
        <v>1.0999999999999943</v>
      </c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77"/>
    </row>
    <row r="14" spans="1:33" s="9" customFormat="1" ht="15" customHeight="1" x14ac:dyDescent="0.3">
      <c r="A14" s="79"/>
      <c r="B14" s="79"/>
      <c r="C14" s="6" t="s">
        <v>13</v>
      </c>
      <c r="D14" s="7">
        <f>D11-D12+D13</f>
        <v>0</v>
      </c>
      <c r="E14" s="7">
        <f t="shared" ref="E14:Q14" si="13">E11-E12+E13</f>
        <v>93.2</v>
      </c>
      <c r="F14" s="7">
        <f t="shared" si="13"/>
        <v>102.5</v>
      </c>
      <c r="G14" s="10">
        <f t="shared" si="13"/>
        <v>111</v>
      </c>
      <c r="H14" s="8">
        <f t="shared" ca="1" si="13"/>
        <v>0</v>
      </c>
      <c r="I14" s="7">
        <f t="shared" ca="1" si="13"/>
        <v>111</v>
      </c>
      <c r="J14" s="10">
        <f t="shared" ca="1" si="13"/>
        <v>110.69999999999999</v>
      </c>
      <c r="K14" s="8">
        <f t="shared" si="13"/>
        <v>32.299999999999997</v>
      </c>
      <c r="L14" s="7">
        <f t="shared" si="13"/>
        <v>27.2</v>
      </c>
      <c r="M14" s="7">
        <f t="shared" si="13"/>
        <v>26.299999999999997</v>
      </c>
      <c r="N14" s="7">
        <f t="shared" si="13"/>
        <v>25.2</v>
      </c>
      <c r="O14" s="7">
        <f>O11-O12+O13</f>
        <v>31.999999999999996</v>
      </c>
      <c r="P14" s="7">
        <f t="shared" si="13"/>
        <v>0</v>
      </c>
      <c r="Q14" s="7">
        <f t="shared" si="13"/>
        <v>0</v>
      </c>
      <c r="R14" s="7">
        <f t="shared" ref="R14:AD14" si="14">R11-R12+R13</f>
        <v>0</v>
      </c>
      <c r="S14" s="7">
        <f t="shared" si="14"/>
        <v>0</v>
      </c>
      <c r="T14" s="7">
        <f t="shared" si="14"/>
        <v>0</v>
      </c>
      <c r="U14" s="7">
        <f t="shared" si="14"/>
        <v>0</v>
      </c>
      <c r="V14" s="7">
        <f t="shared" si="14"/>
        <v>0</v>
      </c>
      <c r="W14" s="7">
        <f t="shared" si="14"/>
        <v>0</v>
      </c>
      <c r="X14" s="7">
        <f t="shared" si="14"/>
        <v>0</v>
      </c>
      <c r="Y14" s="7">
        <f t="shared" si="14"/>
        <v>0</v>
      </c>
      <c r="Z14" s="7">
        <f t="shared" si="14"/>
        <v>0</v>
      </c>
      <c r="AA14" s="7">
        <f t="shared" si="14"/>
        <v>0</v>
      </c>
      <c r="AB14" s="7">
        <f t="shared" si="14"/>
        <v>0</v>
      </c>
      <c r="AC14" s="7">
        <f t="shared" si="14"/>
        <v>0</v>
      </c>
      <c r="AD14" s="7">
        <f t="shared" si="14"/>
        <v>0</v>
      </c>
      <c r="AE14" s="79"/>
      <c r="AG14" s="3"/>
    </row>
    <row r="15" spans="1:33" ht="15" customHeight="1" x14ac:dyDescent="0.3">
      <c r="A15" s="77"/>
      <c r="B15" s="77"/>
      <c r="C15" s="4" t="s">
        <v>14</v>
      </c>
      <c r="D15" s="101"/>
      <c r="E15" s="101">
        <v>0.6</v>
      </c>
      <c r="F15" s="101">
        <v>0.9</v>
      </c>
      <c r="G15" s="5">
        <f>SUM(K15:N15)</f>
        <v>0.8</v>
      </c>
      <c r="H15" s="58">
        <f ca="1">IF(OR((YEAR($E$3)=YEAR($K$7)),$I$1="No"),0,SUM(OFFSET($K14,1,MATCH(YEAR($E$3)-1,$K$1:$AD$1,0)-1,1,COUNTIF($K$1:$AD$1,YEAR($E$3)))))</f>
        <v>0</v>
      </c>
      <c r="I15" s="58">
        <f ca="1">IF($K$7="",0,SUM(OFFSET($K14,1,MATCH(YEAR($E$3),$K$1:$AD$1,0)-1,1,4)))</f>
        <v>0.8</v>
      </c>
      <c r="J15" s="5">
        <f t="shared" ref="J15:J18" ca="1" si="15">IF((COUNTA($K$7:$AD$7)-COUNTBLANK($K$7:$AD$7))&lt;4,0,IF($K$7="",0,SUM(OFFSET($K14,1,MATCH("",$K$7:$AD$7,0)-5,1,4))))</f>
        <v>0.4</v>
      </c>
      <c r="K15" s="102">
        <v>0.4</v>
      </c>
      <c r="L15" s="101">
        <v>0.2</v>
      </c>
      <c r="M15" s="101">
        <v>0.1</v>
      </c>
      <c r="N15" s="101">
        <v>0.1</v>
      </c>
      <c r="O15" s="101">
        <v>0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77"/>
    </row>
    <row r="16" spans="1:33" ht="15" customHeight="1" x14ac:dyDescent="0.3">
      <c r="A16" s="77"/>
      <c r="B16" s="77"/>
      <c r="C16" s="113" t="s">
        <v>15</v>
      </c>
      <c r="D16" s="101"/>
      <c r="E16" s="101">
        <v>0</v>
      </c>
      <c r="F16" s="101">
        <v>0</v>
      </c>
      <c r="G16" s="5">
        <f>SUM(K16:N16)</f>
        <v>0</v>
      </c>
      <c r="H16" s="58">
        <f ca="1">IF(OR((YEAR($E$3)=YEAR($K$7)),$I$1="No"),0,SUM(OFFSET($K15,1,MATCH(YEAR($E$3)-1,$K$1:$AD$1,0)-1,1,COUNTIF($K$1:$AD$1,YEAR($E$3)))))</f>
        <v>0</v>
      </c>
      <c r="I16" s="58">
        <f ca="1">IF($K$7="",0,SUM(OFFSET($K15,1,MATCH(YEAR($E$3),$K$1:$AD$1,0)-1,1,4)))</f>
        <v>0</v>
      </c>
      <c r="J16" s="5">
        <f t="shared" ca="1" si="15"/>
        <v>0</v>
      </c>
      <c r="K16" s="102">
        <v>0</v>
      </c>
      <c r="L16" s="101">
        <v>0</v>
      </c>
      <c r="M16" s="101">
        <v>0</v>
      </c>
      <c r="N16" s="101">
        <v>0</v>
      </c>
      <c r="O16" s="101">
        <v>0</v>
      </c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77"/>
    </row>
    <row r="17" spans="1:31" ht="15" customHeight="1" x14ac:dyDescent="0.3">
      <c r="A17" s="77"/>
      <c r="B17" s="77"/>
      <c r="C17" s="113" t="s">
        <v>16</v>
      </c>
      <c r="D17" s="101"/>
      <c r="E17" s="101">
        <v>34.700000000000003</v>
      </c>
      <c r="F17" s="101">
        <v>54.2</v>
      </c>
      <c r="G17" s="5">
        <f>SUM(K17:N17)</f>
        <v>94.3</v>
      </c>
      <c r="H17" s="58">
        <f ca="1">IF(OR((YEAR($E$3)=YEAR($K$7)),$I$1="No"),0,SUM(OFFSET($K16,1,MATCH(YEAR($E$3)-1,$K$1:$AD$1,0)-1,1,COUNTIF($K$1:$AD$1,YEAR($E$3)))))</f>
        <v>0</v>
      </c>
      <c r="I17" s="58">
        <f ca="1">IF($K$7="",0,SUM(OFFSET($K16,1,MATCH(YEAR($E$3),$K$1:$AD$1,0)-1,1,4)))</f>
        <v>94.3</v>
      </c>
      <c r="J17" s="5">
        <f t="shared" ca="1" si="15"/>
        <v>97.600000000000009</v>
      </c>
      <c r="K17" s="102">
        <v>21.9</v>
      </c>
      <c r="L17" s="101">
        <v>23.2</v>
      </c>
      <c r="M17" s="101">
        <v>24.2</v>
      </c>
      <c r="N17" s="101">
        <v>25</v>
      </c>
      <c r="O17" s="101">
        <v>25.2</v>
      </c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77"/>
    </row>
    <row r="18" spans="1:31" ht="15" customHeight="1" x14ac:dyDescent="0.3">
      <c r="A18" s="77"/>
      <c r="B18" s="77"/>
      <c r="C18" s="113" t="s">
        <v>17</v>
      </c>
      <c r="D18" s="101"/>
      <c r="E18" s="101">
        <v>12.5</v>
      </c>
      <c r="F18" s="101">
        <v>6.5</v>
      </c>
      <c r="G18" s="5">
        <f>SUM(K18:N18)</f>
        <v>-3.1</v>
      </c>
      <c r="H18" s="58">
        <f ca="1">IF(OR((YEAR($E$3)=YEAR($K$7)),$I$1="No"),0,SUM(OFFSET($K17,1,MATCH(YEAR($E$3)-1,$K$1:$AD$1,0)-1,1,COUNTIF($K$1:$AD$1,YEAR($E$3)))))</f>
        <v>0</v>
      </c>
      <c r="I18" s="58">
        <f ca="1">IF($K$7="",0,SUM(OFFSET($K17,1,MATCH(YEAR($E$3),$K$1:$AD$1,0)-1,1,4)))</f>
        <v>-3.1</v>
      </c>
      <c r="J18" s="5">
        <f t="shared" ca="1" si="15"/>
        <v>-1</v>
      </c>
      <c r="K18" s="102">
        <v>0.1</v>
      </c>
      <c r="L18" s="101">
        <v>-2.2000000000000002</v>
      </c>
      <c r="M18" s="101">
        <v>2.4</v>
      </c>
      <c r="N18" s="101">
        <v>-3.4</v>
      </c>
      <c r="O18" s="101">
        <v>2.2000000000000002</v>
      </c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77"/>
    </row>
    <row r="19" spans="1:31" s="9" customFormat="1" ht="15" customHeight="1" x14ac:dyDescent="0.3">
      <c r="A19" s="79"/>
      <c r="B19" s="79"/>
      <c r="C19" s="6" t="s">
        <v>18</v>
      </c>
      <c r="D19" s="7">
        <f>IF(D14="-","-",D14-D15-D16-D17-D18)</f>
        <v>0</v>
      </c>
      <c r="E19" s="7">
        <f t="shared" ref="E19:F19" si="16">IF(E14="-","-",E14-E15-E16-E17-E18)</f>
        <v>45.400000000000006</v>
      </c>
      <c r="F19" s="7">
        <f t="shared" si="16"/>
        <v>40.899999999999991</v>
      </c>
      <c r="G19" s="7">
        <f t="shared" ref="G19:J19" si="17">IF(G14="-","-",G14-G15-G16-G17-G18)</f>
        <v>19.000000000000007</v>
      </c>
      <c r="H19" s="8">
        <f t="shared" ca="1" si="17"/>
        <v>0</v>
      </c>
      <c r="I19" s="7">
        <f t="shared" ca="1" si="17"/>
        <v>19.000000000000007</v>
      </c>
      <c r="J19" s="10">
        <f t="shared" ca="1" si="17"/>
        <v>13.699999999999974</v>
      </c>
      <c r="K19" s="11">
        <f>IF(K14="-","-",K14-K15-K16-K17-K18)-0.6-0.1</f>
        <v>9.2000000000000011</v>
      </c>
      <c r="L19" s="12">
        <f>IF(L14="-","-",L14-L15-L16-L17-L18)-1.7-0.2</f>
        <v>4.1000000000000005</v>
      </c>
      <c r="M19" s="12">
        <f>IF(M14="-","-",M14-M15-M16-M17-M18)-1.2-0.2</f>
        <v>-1.8000000000000034</v>
      </c>
      <c r="N19" s="12">
        <f>IF(N14="-","-",N14-N15-N16-N17-N18)-2.2-0</f>
        <v>1.2999999999999976</v>
      </c>
      <c r="O19" s="12">
        <f>IF(O14="-","-",O14-O15-O16-O17-O18)-1.1-0.3</f>
        <v>3.1999999999999971</v>
      </c>
      <c r="P19" s="12">
        <f t="shared" ref="P19:S19" si="18">IF(P14="-","-",P14-P15-P16-P17-P18)</f>
        <v>0</v>
      </c>
      <c r="Q19" s="12">
        <f t="shared" si="18"/>
        <v>0</v>
      </c>
      <c r="R19" s="12">
        <f t="shared" si="18"/>
        <v>0</v>
      </c>
      <c r="S19" s="12">
        <f t="shared" si="18"/>
        <v>0</v>
      </c>
      <c r="T19" s="12">
        <f t="shared" ref="T19:AD19" si="19">IF(T14="-","-",T14-T15-T16-T17-T18)</f>
        <v>0</v>
      </c>
      <c r="U19" s="12">
        <f t="shared" si="19"/>
        <v>0</v>
      </c>
      <c r="V19" s="12">
        <f t="shared" si="19"/>
        <v>0</v>
      </c>
      <c r="W19" s="12">
        <f t="shared" si="19"/>
        <v>0</v>
      </c>
      <c r="X19" s="12">
        <f t="shared" si="19"/>
        <v>0</v>
      </c>
      <c r="Y19" s="12">
        <f t="shared" si="19"/>
        <v>0</v>
      </c>
      <c r="Z19" s="12">
        <f t="shared" si="19"/>
        <v>0</v>
      </c>
      <c r="AA19" s="12">
        <f t="shared" si="19"/>
        <v>0</v>
      </c>
      <c r="AB19" s="12">
        <f t="shared" si="19"/>
        <v>0</v>
      </c>
      <c r="AC19" s="12">
        <f t="shared" si="19"/>
        <v>0</v>
      </c>
      <c r="AD19" s="12">
        <f t="shared" si="19"/>
        <v>0</v>
      </c>
      <c r="AE19" s="79"/>
    </row>
    <row r="20" spans="1:31" ht="15" customHeight="1" x14ac:dyDescent="0.3">
      <c r="A20" s="77"/>
      <c r="B20" s="77"/>
      <c r="C20" s="114" t="s">
        <v>19</v>
      </c>
      <c r="D20" s="14">
        <f t="shared" ref="D20:Q20" si="20">+IF(D11=0,0,D11/D9)</f>
        <v>0</v>
      </c>
      <c r="E20" s="14">
        <f t="shared" si="20"/>
        <v>1</v>
      </c>
      <c r="F20" s="14">
        <f t="shared" si="20"/>
        <v>1</v>
      </c>
      <c r="G20" s="15">
        <f t="shared" si="20"/>
        <v>0.78642819568648081</v>
      </c>
      <c r="H20" s="16">
        <f t="shared" ca="1" si="20"/>
        <v>0</v>
      </c>
      <c r="I20" s="14">
        <f t="shared" ca="1" si="20"/>
        <v>0.78642819568648081</v>
      </c>
      <c r="J20" s="15">
        <f t="shared" ca="1" si="20"/>
        <v>0.77355543987506503</v>
      </c>
      <c r="K20" s="17">
        <f t="shared" si="20"/>
        <v>0.81747572815533986</v>
      </c>
      <c r="L20" s="18">
        <f t="shared" si="20"/>
        <v>0.77777777777777779</v>
      </c>
      <c r="M20" s="18">
        <f t="shared" si="20"/>
        <v>0.78118161925601748</v>
      </c>
      <c r="N20" s="18">
        <f t="shared" si="20"/>
        <v>0.76572668112798259</v>
      </c>
      <c r="O20" s="18">
        <f t="shared" si="20"/>
        <v>0.77009345794392525</v>
      </c>
      <c r="P20" s="18">
        <f t="shared" si="20"/>
        <v>0</v>
      </c>
      <c r="Q20" s="18">
        <f t="shared" si="20"/>
        <v>0</v>
      </c>
      <c r="R20" s="18">
        <f t="shared" ref="R20:AD20" si="21">+IF(R11=0,0,R11/R9)</f>
        <v>0</v>
      </c>
      <c r="S20" s="18">
        <f t="shared" si="21"/>
        <v>0</v>
      </c>
      <c r="T20" s="18">
        <f t="shared" si="21"/>
        <v>0</v>
      </c>
      <c r="U20" s="18">
        <f t="shared" si="21"/>
        <v>0</v>
      </c>
      <c r="V20" s="18">
        <f t="shared" si="21"/>
        <v>0</v>
      </c>
      <c r="W20" s="18">
        <f t="shared" si="21"/>
        <v>0</v>
      </c>
      <c r="X20" s="18">
        <f t="shared" si="21"/>
        <v>0</v>
      </c>
      <c r="Y20" s="18">
        <f t="shared" si="21"/>
        <v>0</v>
      </c>
      <c r="Z20" s="18">
        <f t="shared" si="21"/>
        <v>0</v>
      </c>
      <c r="AA20" s="18">
        <f t="shared" si="21"/>
        <v>0</v>
      </c>
      <c r="AB20" s="18">
        <f t="shared" si="21"/>
        <v>0</v>
      </c>
      <c r="AC20" s="18">
        <f t="shared" si="21"/>
        <v>0</v>
      </c>
      <c r="AD20" s="18">
        <f t="shared" si="21"/>
        <v>0</v>
      </c>
      <c r="AE20" s="77"/>
    </row>
    <row r="21" spans="1:31" ht="15" customHeight="1" x14ac:dyDescent="0.3">
      <c r="A21" s="77"/>
      <c r="B21" s="77"/>
      <c r="C21" s="115" t="s">
        <v>20</v>
      </c>
      <c r="D21" s="19">
        <f t="shared" ref="D21:Q21" si="22">+IF(D14=0,0,D14/D9)</f>
        <v>0</v>
      </c>
      <c r="E21" s="19">
        <f t="shared" si="22"/>
        <v>0.62009314703925478</v>
      </c>
      <c r="F21" s="19">
        <f t="shared" si="22"/>
        <v>0.59385863267670913</v>
      </c>
      <c r="G21" s="20">
        <f t="shared" si="22"/>
        <v>0.58390320883745395</v>
      </c>
      <c r="H21" s="21">
        <f t="shared" ca="1" si="22"/>
        <v>0</v>
      </c>
      <c r="I21" s="19">
        <f t="shared" ca="1" si="22"/>
        <v>0.58390320883745395</v>
      </c>
      <c r="J21" s="20">
        <f t="shared" ca="1" si="22"/>
        <v>0.57626236335242054</v>
      </c>
      <c r="K21" s="22">
        <f t="shared" si="22"/>
        <v>0.62718446601941746</v>
      </c>
      <c r="L21" s="23">
        <f t="shared" si="22"/>
        <v>0.58119658119658124</v>
      </c>
      <c r="M21" s="23">
        <f t="shared" si="22"/>
        <v>0.57549234135667382</v>
      </c>
      <c r="N21" s="23">
        <f t="shared" si="22"/>
        <v>0.54663774403470711</v>
      </c>
      <c r="O21" s="23">
        <f t="shared" si="22"/>
        <v>0.59813084112149528</v>
      </c>
      <c r="P21" s="23">
        <f t="shared" si="22"/>
        <v>0</v>
      </c>
      <c r="Q21" s="23">
        <f t="shared" si="22"/>
        <v>0</v>
      </c>
      <c r="R21" s="23">
        <f t="shared" ref="R21:AD21" si="23">+IF(R14=0,0,R14/R9)</f>
        <v>0</v>
      </c>
      <c r="S21" s="23">
        <f t="shared" si="23"/>
        <v>0</v>
      </c>
      <c r="T21" s="23">
        <f t="shared" si="23"/>
        <v>0</v>
      </c>
      <c r="U21" s="23">
        <f t="shared" si="23"/>
        <v>0</v>
      </c>
      <c r="V21" s="23">
        <f t="shared" si="23"/>
        <v>0</v>
      </c>
      <c r="W21" s="23">
        <f t="shared" si="23"/>
        <v>0</v>
      </c>
      <c r="X21" s="23">
        <f t="shared" si="23"/>
        <v>0</v>
      </c>
      <c r="Y21" s="23">
        <f t="shared" si="23"/>
        <v>0</v>
      </c>
      <c r="Z21" s="23">
        <f t="shared" si="23"/>
        <v>0</v>
      </c>
      <c r="AA21" s="23">
        <f t="shared" si="23"/>
        <v>0</v>
      </c>
      <c r="AB21" s="23">
        <f t="shared" si="23"/>
        <v>0</v>
      </c>
      <c r="AC21" s="23">
        <f t="shared" si="23"/>
        <v>0</v>
      </c>
      <c r="AD21" s="23">
        <f t="shared" si="23"/>
        <v>0</v>
      </c>
      <c r="AE21" s="77"/>
    </row>
    <row r="22" spans="1:31" ht="15" customHeight="1" x14ac:dyDescent="0.3">
      <c r="A22" s="77"/>
      <c r="B22" s="77"/>
      <c r="C22" s="13"/>
      <c r="D22" s="14"/>
      <c r="E22" s="14"/>
      <c r="F22" s="14"/>
      <c r="G22" s="15"/>
      <c r="H22" s="16"/>
      <c r="I22" s="14"/>
      <c r="J22" s="15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77"/>
    </row>
    <row r="23" spans="1:31" ht="15" customHeight="1" x14ac:dyDescent="0.3">
      <c r="A23" s="77"/>
      <c r="B23" s="77"/>
      <c r="C23" s="6" t="s">
        <v>21</v>
      </c>
      <c r="D23" s="14"/>
      <c r="E23" s="14"/>
      <c r="F23" s="14"/>
      <c r="G23" s="15"/>
      <c r="H23" s="16"/>
      <c r="I23" s="14"/>
      <c r="J23" s="15"/>
      <c r="K23" s="17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77"/>
    </row>
    <row r="24" spans="1:31" ht="15" customHeight="1" x14ac:dyDescent="0.3">
      <c r="A24" s="77"/>
      <c r="B24" s="77"/>
      <c r="C24" s="113" t="s">
        <v>22</v>
      </c>
      <c r="D24" s="7">
        <f>+D9</f>
        <v>0</v>
      </c>
      <c r="E24" s="7">
        <f>+E9</f>
        <v>150.30000000000001</v>
      </c>
      <c r="F24" s="7">
        <f>+F9</f>
        <v>172.6</v>
      </c>
      <c r="G24" s="7">
        <f>+G9</f>
        <v>190.1</v>
      </c>
      <c r="H24" s="16"/>
      <c r="I24" s="14"/>
      <c r="J24" s="15"/>
      <c r="K24" s="103"/>
      <c r="L24" s="104"/>
      <c r="M24" s="104"/>
      <c r="N24" s="24">
        <f t="shared" ref="N24:AD24" si="24">+SUM(K9:N9)</f>
        <v>190.1</v>
      </c>
      <c r="O24" s="24">
        <f t="shared" si="24"/>
        <v>192.1</v>
      </c>
      <c r="P24" s="24">
        <f t="shared" si="24"/>
        <v>145.30000000000001</v>
      </c>
      <c r="Q24" s="24">
        <f t="shared" si="24"/>
        <v>99.6</v>
      </c>
      <c r="R24" s="24">
        <f t="shared" si="24"/>
        <v>53.5</v>
      </c>
      <c r="S24" s="24">
        <f t="shared" si="24"/>
        <v>0</v>
      </c>
      <c r="T24" s="24">
        <f t="shared" si="24"/>
        <v>0</v>
      </c>
      <c r="U24" s="24">
        <f t="shared" si="24"/>
        <v>0</v>
      </c>
      <c r="V24" s="24">
        <f t="shared" si="24"/>
        <v>0</v>
      </c>
      <c r="W24" s="24">
        <f t="shared" si="24"/>
        <v>0</v>
      </c>
      <c r="X24" s="24">
        <f t="shared" si="24"/>
        <v>0</v>
      </c>
      <c r="Y24" s="24">
        <f t="shared" si="24"/>
        <v>0</v>
      </c>
      <c r="Z24" s="24">
        <f t="shared" si="24"/>
        <v>0</v>
      </c>
      <c r="AA24" s="24">
        <f t="shared" si="24"/>
        <v>0</v>
      </c>
      <c r="AB24" s="24">
        <f t="shared" si="24"/>
        <v>0</v>
      </c>
      <c r="AC24" s="24">
        <f t="shared" si="24"/>
        <v>0</v>
      </c>
      <c r="AD24" s="24">
        <f t="shared" si="24"/>
        <v>0</v>
      </c>
      <c r="AE24" s="77"/>
    </row>
    <row r="25" spans="1:31" ht="15" customHeight="1" x14ac:dyDescent="0.3">
      <c r="A25" s="77"/>
      <c r="B25" s="77"/>
      <c r="C25" s="116" t="s">
        <v>13</v>
      </c>
      <c r="D25" s="25">
        <f>+D14</f>
        <v>0</v>
      </c>
      <c r="E25" s="25">
        <f>+E14</f>
        <v>93.2</v>
      </c>
      <c r="F25" s="25">
        <f>+F14</f>
        <v>102.5</v>
      </c>
      <c r="G25" s="25">
        <f>+G14</f>
        <v>111</v>
      </c>
      <c r="H25" s="26"/>
      <c r="I25" s="27"/>
      <c r="J25" s="28"/>
      <c r="K25" s="105"/>
      <c r="L25" s="106"/>
      <c r="M25" s="106"/>
      <c r="N25" s="29">
        <f t="shared" ref="N25:AD25" si="25">+SUM(K14:N14)</f>
        <v>111</v>
      </c>
      <c r="O25" s="29">
        <f t="shared" si="25"/>
        <v>110.7</v>
      </c>
      <c r="P25" s="29">
        <f t="shared" si="25"/>
        <v>83.5</v>
      </c>
      <c r="Q25" s="29">
        <f t="shared" si="25"/>
        <v>57.199999999999996</v>
      </c>
      <c r="R25" s="29">
        <f t="shared" si="25"/>
        <v>31.999999999999996</v>
      </c>
      <c r="S25" s="29">
        <f t="shared" si="25"/>
        <v>0</v>
      </c>
      <c r="T25" s="29">
        <f t="shared" si="25"/>
        <v>0</v>
      </c>
      <c r="U25" s="29">
        <f t="shared" si="25"/>
        <v>0</v>
      </c>
      <c r="V25" s="29">
        <f t="shared" si="25"/>
        <v>0</v>
      </c>
      <c r="W25" s="29">
        <f t="shared" si="25"/>
        <v>0</v>
      </c>
      <c r="X25" s="29">
        <f t="shared" si="25"/>
        <v>0</v>
      </c>
      <c r="Y25" s="29">
        <f t="shared" si="25"/>
        <v>0</v>
      </c>
      <c r="Z25" s="29">
        <f t="shared" si="25"/>
        <v>0</v>
      </c>
      <c r="AA25" s="29">
        <f t="shared" si="25"/>
        <v>0</v>
      </c>
      <c r="AB25" s="29">
        <f t="shared" si="25"/>
        <v>0</v>
      </c>
      <c r="AC25" s="29">
        <f t="shared" si="25"/>
        <v>0</v>
      </c>
      <c r="AD25" s="29">
        <f t="shared" si="25"/>
        <v>0</v>
      </c>
      <c r="AE25" s="77"/>
    </row>
    <row r="26" spans="1:31" ht="15" customHeight="1" x14ac:dyDescent="0.3">
      <c r="A26" s="77"/>
      <c r="B26" s="77"/>
      <c r="C26" s="30"/>
      <c r="D26" s="31"/>
      <c r="E26" s="32"/>
      <c r="F26" s="32"/>
      <c r="G26" s="33"/>
      <c r="H26" s="31"/>
      <c r="I26" s="32"/>
      <c r="J26" s="33"/>
      <c r="K26" s="34"/>
      <c r="AE26" s="77"/>
    </row>
    <row r="27" spans="1:31" ht="15" customHeight="1" x14ac:dyDescent="0.3">
      <c r="A27" s="77"/>
      <c r="B27" s="77"/>
      <c r="C27" s="6" t="s">
        <v>23</v>
      </c>
      <c r="D27" s="35"/>
      <c r="E27" s="36"/>
      <c r="F27" s="32"/>
      <c r="G27" s="33"/>
      <c r="H27" s="31"/>
      <c r="I27" s="32"/>
      <c r="J27" s="33"/>
      <c r="K27" s="34"/>
      <c r="AE27" s="77"/>
    </row>
    <row r="28" spans="1:31" ht="15" customHeight="1" x14ac:dyDescent="0.3">
      <c r="A28" s="77"/>
      <c r="B28" s="77"/>
      <c r="C28" s="113" t="s">
        <v>24</v>
      </c>
      <c r="D28" s="37">
        <f>+IF(D17=0,0,D14/D17)</f>
        <v>0</v>
      </c>
      <c r="E28" s="38" t="e">
        <f>+IF(#REF!=0,0,E14/#REF!)</f>
        <v>#REF!</v>
      </c>
      <c r="F28" s="38" t="e">
        <f>+IF(#REF!=0,0,F14/#REF!)</f>
        <v>#REF!</v>
      </c>
      <c r="G28" s="39">
        <f>+IF(G17=0,0,G14/G17)</f>
        <v>1.1770943796394486</v>
      </c>
      <c r="H28" s="37"/>
      <c r="I28" s="38"/>
      <c r="J28" s="39"/>
      <c r="K28" s="37">
        <f>+IF(K14=0,0,K14/K17)</f>
        <v>1.4748858447488584</v>
      </c>
      <c r="L28" s="38">
        <f t="shared" ref="L28:M28" si="26">+IF(L14=0,0,L14/L17)</f>
        <v>1.1724137931034482</v>
      </c>
      <c r="M28" s="38">
        <f t="shared" si="26"/>
        <v>1.0867768595041321</v>
      </c>
      <c r="N28" s="38">
        <f>+IF(N14=0,0,N14/N17)</f>
        <v>1.008</v>
      </c>
      <c r="O28" s="38">
        <f>+IF(O14=0,0,O14/O17)</f>
        <v>1.2698412698412698</v>
      </c>
      <c r="P28" s="38">
        <f>+IF(P14=0,0,P14/P17)</f>
        <v>0</v>
      </c>
      <c r="Q28" s="38">
        <f t="shared" ref="Q28" si="27">+IF(Q14=0,0,Q14/Q17)</f>
        <v>0</v>
      </c>
      <c r="R28" s="38">
        <f t="shared" ref="R28:AD28" si="28">+IF(R14=0,0,R14/R17)</f>
        <v>0</v>
      </c>
      <c r="S28" s="38">
        <f t="shared" si="28"/>
        <v>0</v>
      </c>
      <c r="T28" s="38">
        <f t="shared" si="28"/>
        <v>0</v>
      </c>
      <c r="U28" s="38">
        <f t="shared" si="28"/>
        <v>0</v>
      </c>
      <c r="V28" s="38">
        <f t="shared" si="28"/>
        <v>0</v>
      </c>
      <c r="W28" s="38">
        <f t="shared" si="28"/>
        <v>0</v>
      </c>
      <c r="X28" s="38">
        <f t="shared" si="28"/>
        <v>0</v>
      </c>
      <c r="Y28" s="38">
        <f t="shared" si="28"/>
        <v>0</v>
      </c>
      <c r="Z28" s="38">
        <f t="shared" si="28"/>
        <v>0</v>
      </c>
      <c r="AA28" s="38">
        <f t="shared" si="28"/>
        <v>0</v>
      </c>
      <c r="AB28" s="38">
        <f t="shared" si="28"/>
        <v>0</v>
      </c>
      <c r="AC28" s="38">
        <f t="shared" si="28"/>
        <v>0</v>
      </c>
      <c r="AD28" s="38">
        <f t="shared" si="28"/>
        <v>0</v>
      </c>
      <c r="AE28" s="77"/>
    </row>
    <row r="29" spans="1:31" ht="15" customHeight="1" x14ac:dyDescent="0.3">
      <c r="A29" s="77"/>
      <c r="B29" s="77"/>
      <c r="C29" s="113" t="s">
        <v>25</v>
      </c>
      <c r="D29" s="37">
        <f t="shared" ref="D29:G29" si="29">+IF(D25=0,0,((SUM(D54:D56)-D39)/D$25))</f>
        <v>0</v>
      </c>
      <c r="E29" s="38">
        <f t="shared" si="29"/>
        <v>5.592274678111588</v>
      </c>
      <c r="F29" s="38">
        <f t="shared" si="29"/>
        <v>7.9834146341463423</v>
      </c>
      <c r="G29" s="39">
        <f t="shared" si="29"/>
        <v>9.4855855855855857</v>
      </c>
      <c r="H29" s="37"/>
      <c r="I29" s="38"/>
      <c r="J29" s="39"/>
      <c r="K29" s="37">
        <f>+IF(K25=0,0,((SUM(K54:K56)-K39)/K$25))</f>
        <v>0</v>
      </c>
      <c r="L29" s="38">
        <f t="shared" ref="L29:Q29" si="30">+IF(L25=0,0,((SUM(L54:L56)-L39)/L$25))</f>
        <v>0</v>
      </c>
      <c r="M29" s="38">
        <f t="shared" si="30"/>
        <v>0</v>
      </c>
      <c r="N29" s="38">
        <f t="shared" si="30"/>
        <v>9.4855855855855857</v>
      </c>
      <c r="O29" s="38">
        <f t="shared" si="30"/>
        <v>9.6657633242999097</v>
      </c>
      <c r="P29" s="38">
        <f t="shared" si="30"/>
        <v>0</v>
      </c>
      <c r="Q29" s="38">
        <f t="shared" si="30"/>
        <v>0</v>
      </c>
      <c r="R29" s="38">
        <f t="shared" ref="R29:AD29" si="31">+IF(R25=0,0,((SUM(R54:R56)-R39)/R$25))</f>
        <v>0</v>
      </c>
      <c r="S29" s="38">
        <f t="shared" si="31"/>
        <v>0</v>
      </c>
      <c r="T29" s="38">
        <f t="shared" si="31"/>
        <v>0</v>
      </c>
      <c r="U29" s="38">
        <f t="shared" si="31"/>
        <v>0</v>
      </c>
      <c r="V29" s="38">
        <f t="shared" si="31"/>
        <v>0</v>
      </c>
      <c r="W29" s="38">
        <f t="shared" si="31"/>
        <v>0</v>
      </c>
      <c r="X29" s="38">
        <f t="shared" si="31"/>
        <v>0</v>
      </c>
      <c r="Y29" s="38">
        <f t="shared" si="31"/>
        <v>0</v>
      </c>
      <c r="Z29" s="38">
        <f t="shared" si="31"/>
        <v>0</v>
      </c>
      <c r="AA29" s="38">
        <f t="shared" si="31"/>
        <v>0</v>
      </c>
      <c r="AB29" s="38">
        <f t="shared" si="31"/>
        <v>0</v>
      </c>
      <c r="AC29" s="38">
        <f t="shared" si="31"/>
        <v>0</v>
      </c>
      <c r="AD29" s="38">
        <f t="shared" si="31"/>
        <v>0</v>
      </c>
      <c r="AE29" s="77"/>
    </row>
    <row r="30" spans="1:31" ht="15" customHeight="1" x14ac:dyDescent="0.3">
      <c r="A30" s="77"/>
      <c r="B30" s="77"/>
      <c r="C30" s="116" t="s">
        <v>26</v>
      </c>
      <c r="D30" s="40">
        <f t="shared" ref="D30:G30" si="32">+IF(D25=0,0,(SUM(D54:D60)-D39)/D$25)</f>
        <v>0</v>
      </c>
      <c r="E30" s="41">
        <f t="shared" si="32"/>
        <v>5.592274678111588</v>
      </c>
      <c r="F30" s="41">
        <f t="shared" si="32"/>
        <v>7.9834146341463423</v>
      </c>
      <c r="G30" s="42">
        <f t="shared" si="32"/>
        <v>9.4855855855855857</v>
      </c>
      <c r="H30" s="40"/>
      <c r="I30" s="41"/>
      <c r="J30" s="42"/>
      <c r="K30" s="40">
        <f>+IF(K25=0,0,(SUM(K54:K60)-K39)/K$25)</f>
        <v>0</v>
      </c>
      <c r="L30" s="41">
        <f t="shared" ref="L30:Q30" si="33">+IF(L25=0,0,(SUM(L54:L60)-L39)/L$25)</f>
        <v>0</v>
      </c>
      <c r="M30" s="41">
        <f t="shared" si="33"/>
        <v>0</v>
      </c>
      <c r="N30" s="41">
        <f t="shared" si="33"/>
        <v>9.4855855855855857</v>
      </c>
      <c r="O30" s="41">
        <f t="shared" si="33"/>
        <v>9.6657633242999097</v>
      </c>
      <c r="P30" s="41">
        <f t="shared" si="33"/>
        <v>0</v>
      </c>
      <c r="Q30" s="41">
        <f t="shared" si="33"/>
        <v>0</v>
      </c>
      <c r="R30" s="41">
        <f t="shared" ref="R30:AD30" si="34">+IF(R25=0,0,(SUM(R54:R60)-R39)/R$25)</f>
        <v>0</v>
      </c>
      <c r="S30" s="41">
        <f t="shared" si="34"/>
        <v>0</v>
      </c>
      <c r="T30" s="41">
        <f t="shared" si="34"/>
        <v>0</v>
      </c>
      <c r="U30" s="41">
        <f t="shared" si="34"/>
        <v>0</v>
      </c>
      <c r="V30" s="41">
        <f t="shared" si="34"/>
        <v>0</v>
      </c>
      <c r="W30" s="41">
        <f t="shared" si="34"/>
        <v>0</v>
      </c>
      <c r="X30" s="41">
        <f t="shared" si="34"/>
        <v>0</v>
      </c>
      <c r="Y30" s="41">
        <f t="shared" si="34"/>
        <v>0</v>
      </c>
      <c r="Z30" s="41">
        <f t="shared" si="34"/>
        <v>0</v>
      </c>
      <c r="AA30" s="41">
        <f t="shared" si="34"/>
        <v>0</v>
      </c>
      <c r="AB30" s="41">
        <f t="shared" si="34"/>
        <v>0</v>
      </c>
      <c r="AC30" s="41">
        <f t="shared" si="34"/>
        <v>0</v>
      </c>
      <c r="AD30" s="41">
        <f t="shared" si="34"/>
        <v>0</v>
      </c>
      <c r="AE30" s="77"/>
    </row>
    <row r="31" spans="1:31" ht="15" customHeight="1" x14ac:dyDescent="0.3">
      <c r="A31" s="77"/>
      <c r="B31" s="77"/>
      <c r="C31" s="4"/>
      <c r="D31" s="37"/>
      <c r="E31" s="38"/>
      <c r="F31" s="38"/>
      <c r="G31" s="39"/>
      <c r="H31" s="37"/>
      <c r="I31" s="38"/>
      <c r="J31" s="39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77"/>
    </row>
    <row r="32" spans="1:31" ht="15" customHeight="1" x14ac:dyDescent="0.3">
      <c r="A32" s="77"/>
      <c r="B32" s="77"/>
      <c r="C32" s="6" t="s">
        <v>27</v>
      </c>
      <c r="D32" s="37"/>
      <c r="E32" s="38"/>
      <c r="F32" s="38"/>
      <c r="G32" s="39"/>
      <c r="H32" s="37"/>
      <c r="I32" s="38"/>
      <c r="J32" s="39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77"/>
    </row>
    <row r="33" spans="1:31" ht="15" customHeight="1" x14ac:dyDescent="0.3">
      <c r="A33" s="77"/>
      <c r="B33" s="77"/>
      <c r="C33" s="113" t="s">
        <v>24</v>
      </c>
      <c r="D33" s="117"/>
      <c r="E33" s="117"/>
      <c r="F33" s="117"/>
      <c r="G33" s="117"/>
      <c r="H33" s="37"/>
      <c r="I33" s="38"/>
      <c r="J33" s="39"/>
      <c r="K33" s="118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77"/>
    </row>
    <row r="34" spans="1:31" ht="15" customHeight="1" x14ac:dyDescent="0.3">
      <c r="A34" s="77"/>
      <c r="B34" s="77"/>
      <c r="C34" s="113" t="s">
        <v>25</v>
      </c>
      <c r="D34" s="117"/>
      <c r="E34" s="117">
        <v>5.6</v>
      </c>
      <c r="F34" s="117">
        <v>8</v>
      </c>
      <c r="G34" s="117"/>
      <c r="H34" s="37"/>
      <c r="I34" s="38"/>
      <c r="J34" s="39"/>
      <c r="K34" s="118">
        <v>7.7</v>
      </c>
      <c r="L34" s="117">
        <v>7.7</v>
      </c>
      <c r="M34" s="117">
        <v>7.7</v>
      </c>
      <c r="N34" s="117">
        <v>7.8</v>
      </c>
      <c r="O34" s="117">
        <v>8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77"/>
    </row>
    <row r="35" spans="1:31" ht="15" customHeight="1" x14ac:dyDescent="0.3">
      <c r="A35" s="77"/>
      <c r="B35" s="77"/>
      <c r="C35" s="113" t="s">
        <v>26</v>
      </c>
      <c r="D35" s="117"/>
      <c r="E35" s="117">
        <v>5.6</v>
      </c>
      <c r="F35" s="117">
        <v>9.5</v>
      </c>
      <c r="G35" s="117"/>
      <c r="H35" s="37"/>
      <c r="I35" s="38"/>
      <c r="J35" s="39"/>
      <c r="K35" s="118">
        <v>9.1999999999999993</v>
      </c>
      <c r="L35" s="117">
        <v>9.3000000000000007</v>
      </c>
      <c r="M35" s="117">
        <v>9.4</v>
      </c>
      <c r="N35" s="117">
        <v>9.5</v>
      </c>
      <c r="O35" s="117">
        <v>9.6999999999999993</v>
      </c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77"/>
    </row>
    <row r="36" spans="1:31" ht="15" customHeight="1" x14ac:dyDescent="0.3">
      <c r="A36" s="77"/>
      <c r="B36" s="77"/>
      <c r="C36" s="113" t="s">
        <v>28</v>
      </c>
      <c r="D36" s="117"/>
      <c r="E36" s="117"/>
      <c r="F36" s="117"/>
      <c r="G36" s="117"/>
      <c r="H36" s="45"/>
      <c r="I36" s="46"/>
      <c r="J36" s="47"/>
      <c r="K36" s="118">
        <v>1.44</v>
      </c>
      <c r="L36" s="117">
        <v>1.26</v>
      </c>
      <c r="M36" s="117">
        <v>1.17</v>
      </c>
      <c r="N36" s="117">
        <v>1.1100000000000001</v>
      </c>
      <c r="O36" s="117">
        <v>1.07</v>
      </c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77"/>
    </row>
    <row r="37" spans="1:31" ht="15" customHeight="1" x14ac:dyDescent="0.3">
      <c r="A37" s="77"/>
      <c r="B37" s="77"/>
      <c r="C37" s="4"/>
      <c r="D37" s="31"/>
      <c r="E37" s="32"/>
      <c r="F37" s="46"/>
      <c r="G37" s="47"/>
      <c r="H37" s="45"/>
      <c r="I37" s="46"/>
      <c r="J37" s="47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77"/>
    </row>
    <row r="38" spans="1:31" ht="16.95" customHeight="1" x14ac:dyDescent="0.3">
      <c r="A38" s="77"/>
      <c r="B38" s="77"/>
      <c r="C38" s="144" t="s">
        <v>29</v>
      </c>
      <c r="D38" s="145"/>
      <c r="E38" s="145"/>
      <c r="F38" s="145"/>
      <c r="G38" s="146"/>
      <c r="H38" s="147"/>
      <c r="I38" s="145"/>
      <c r="J38" s="14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77"/>
    </row>
    <row r="39" spans="1:31" ht="15" customHeight="1" x14ac:dyDescent="0.3">
      <c r="A39" s="77"/>
      <c r="B39" s="77"/>
      <c r="C39" s="113" t="s">
        <v>30</v>
      </c>
      <c r="D39" s="119"/>
      <c r="E39" s="120">
        <v>24.4</v>
      </c>
      <c r="F39" s="120">
        <v>24.3</v>
      </c>
      <c r="G39" s="50">
        <f>+N39</f>
        <v>25.6</v>
      </c>
      <c r="H39" s="34"/>
      <c r="J39" s="51">
        <f>+P39</f>
        <v>0</v>
      </c>
      <c r="K39" s="121">
        <v>31.9</v>
      </c>
      <c r="L39" s="121">
        <v>30.5</v>
      </c>
      <c r="M39" s="121">
        <v>25.6</v>
      </c>
      <c r="N39" s="121">
        <v>25.6</v>
      </c>
      <c r="O39" s="120">
        <v>26.3</v>
      </c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77"/>
    </row>
    <row r="40" spans="1:31" ht="15" customHeight="1" x14ac:dyDescent="0.3">
      <c r="A40" s="77"/>
      <c r="B40" s="77"/>
      <c r="C40" s="113" t="s">
        <v>31</v>
      </c>
      <c r="D40" s="119"/>
      <c r="E40" s="120"/>
      <c r="F40" s="120"/>
      <c r="G40" s="50">
        <f>+N40</f>
        <v>0</v>
      </c>
      <c r="H40" s="34"/>
      <c r="J40" s="51">
        <f t="shared" ref="J40:J43" si="35">+P40</f>
        <v>0</v>
      </c>
      <c r="K40" s="121"/>
      <c r="L40" s="121"/>
      <c r="M40" s="121"/>
      <c r="N40" s="121"/>
      <c r="O40" s="120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77"/>
    </row>
    <row r="41" spans="1:31" ht="15" customHeight="1" x14ac:dyDescent="0.3">
      <c r="A41" s="77"/>
      <c r="B41" s="77"/>
      <c r="C41" s="113" t="s">
        <v>32</v>
      </c>
      <c r="D41" s="119"/>
      <c r="E41" s="120"/>
      <c r="F41" s="120"/>
      <c r="G41" s="50">
        <f>+N41</f>
        <v>0</v>
      </c>
      <c r="H41" s="34"/>
      <c r="J41" s="51">
        <f t="shared" si="35"/>
        <v>0</v>
      </c>
      <c r="K41" s="121"/>
      <c r="L41" s="121"/>
      <c r="M41" s="121"/>
      <c r="N41" s="121"/>
      <c r="O41" s="120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77"/>
    </row>
    <row r="42" spans="1:31" ht="15" customHeight="1" x14ac:dyDescent="0.3">
      <c r="A42" s="77"/>
      <c r="B42" s="77"/>
      <c r="C42" s="113" t="s">
        <v>33</v>
      </c>
      <c r="D42" s="119"/>
      <c r="E42" s="120">
        <v>0.3</v>
      </c>
      <c r="F42" s="120">
        <v>0.3</v>
      </c>
      <c r="G42" s="50">
        <f>+N42</f>
        <v>0.3</v>
      </c>
      <c r="H42" s="34"/>
      <c r="J42" s="51">
        <f t="shared" si="35"/>
        <v>0</v>
      </c>
      <c r="K42" s="121">
        <v>0.6</v>
      </c>
      <c r="L42" s="121">
        <v>0.3</v>
      </c>
      <c r="M42" s="121">
        <v>0.3</v>
      </c>
      <c r="N42" s="121">
        <v>0.3</v>
      </c>
      <c r="O42" s="120">
        <v>0.4</v>
      </c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77"/>
    </row>
    <row r="43" spans="1:31" s="9" customFormat="1" ht="15" customHeight="1" x14ac:dyDescent="0.3">
      <c r="A43" s="79"/>
      <c r="B43" s="79"/>
      <c r="C43" s="6" t="s">
        <v>34</v>
      </c>
      <c r="D43" s="52">
        <f>SUM(D39:D42)</f>
        <v>0</v>
      </c>
      <c r="E43" s="53">
        <f t="shared" ref="E43:G43" si="36">SUM(E39:E42)</f>
        <v>24.7</v>
      </c>
      <c r="F43" s="53">
        <f t="shared" si="36"/>
        <v>24.6</v>
      </c>
      <c r="G43" s="54">
        <f t="shared" si="36"/>
        <v>25.900000000000002</v>
      </c>
      <c r="H43" s="55"/>
      <c r="J43" s="56">
        <f t="shared" si="35"/>
        <v>0</v>
      </c>
      <c r="K43" s="53">
        <f>SUM(K39:K42)</f>
        <v>32.5</v>
      </c>
      <c r="L43" s="53">
        <f t="shared" ref="L43" si="37">SUM(L39:L42)</f>
        <v>30.8</v>
      </c>
      <c r="M43" s="53">
        <f>SUM(M39:M42)</f>
        <v>25.900000000000002</v>
      </c>
      <c r="N43" s="53">
        <f>SUM(N39:N42)</f>
        <v>25.900000000000002</v>
      </c>
      <c r="O43" s="53">
        <f t="shared" ref="O43:Q43" si="38">SUM(O39:O42)</f>
        <v>26.7</v>
      </c>
      <c r="P43" s="53">
        <f t="shared" si="38"/>
        <v>0</v>
      </c>
      <c r="Q43" s="53">
        <f t="shared" si="38"/>
        <v>0</v>
      </c>
      <c r="R43" s="53">
        <f t="shared" ref="R43:AD43" si="39">SUM(R39:R42)</f>
        <v>0</v>
      </c>
      <c r="S43" s="53">
        <f t="shared" si="39"/>
        <v>0</v>
      </c>
      <c r="T43" s="53">
        <f t="shared" si="39"/>
        <v>0</v>
      </c>
      <c r="U43" s="53">
        <f t="shared" si="39"/>
        <v>0</v>
      </c>
      <c r="V43" s="53">
        <f t="shared" si="39"/>
        <v>0</v>
      </c>
      <c r="W43" s="53">
        <f t="shared" si="39"/>
        <v>0</v>
      </c>
      <c r="X43" s="53">
        <f t="shared" si="39"/>
        <v>0</v>
      </c>
      <c r="Y43" s="53">
        <f t="shared" si="39"/>
        <v>0</v>
      </c>
      <c r="Z43" s="53">
        <f t="shared" si="39"/>
        <v>0</v>
      </c>
      <c r="AA43" s="53">
        <f t="shared" si="39"/>
        <v>0</v>
      </c>
      <c r="AB43" s="53">
        <f t="shared" si="39"/>
        <v>0</v>
      </c>
      <c r="AC43" s="53">
        <f t="shared" si="39"/>
        <v>0</v>
      </c>
      <c r="AD43" s="53">
        <f t="shared" si="39"/>
        <v>0</v>
      </c>
      <c r="AE43" s="79"/>
    </row>
    <row r="44" spans="1:31" ht="15" customHeight="1" x14ac:dyDescent="0.3">
      <c r="A44" s="77"/>
      <c r="B44" s="77"/>
      <c r="C44" s="4"/>
      <c r="D44" s="57"/>
      <c r="E44" s="58"/>
      <c r="F44" s="58"/>
      <c r="G44" s="5"/>
      <c r="H44" s="34"/>
      <c r="J44" s="51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77"/>
    </row>
    <row r="45" spans="1:31" ht="15" customHeight="1" x14ac:dyDescent="0.3">
      <c r="A45" s="77"/>
      <c r="B45" s="77"/>
      <c r="C45" s="113" t="s">
        <v>35</v>
      </c>
      <c r="D45" s="119"/>
      <c r="E45" s="120"/>
      <c r="F45" s="120"/>
      <c r="G45" s="50">
        <f>+N45</f>
        <v>0</v>
      </c>
      <c r="H45" s="34"/>
      <c r="J45" s="51">
        <f>+P45</f>
        <v>0</v>
      </c>
      <c r="K45" s="121"/>
      <c r="L45" s="121"/>
      <c r="M45" s="121"/>
      <c r="N45" s="121"/>
      <c r="O45" s="120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77"/>
    </row>
    <row r="46" spans="1:31" ht="15" customHeight="1" x14ac:dyDescent="0.3">
      <c r="A46" s="77"/>
      <c r="B46" s="77"/>
      <c r="C46" s="113" t="s">
        <v>36</v>
      </c>
      <c r="D46" s="160">
        <f t="shared" ref="D46:F46" si="40">D48-D43-D45-D47</f>
        <v>0</v>
      </c>
      <c r="E46" s="161">
        <f t="shared" si="40"/>
        <v>-24.7</v>
      </c>
      <c r="F46" s="161">
        <f t="shared" si="40"/>
        <v>-24.6</v>
      </c>
      <c r="G46" s="50">
        <f>+N46</f>
        <v>-25.900000000000002</v>
      </c>
      <c r="H46" s="34"/>
      <c r="J46" s="51">
        <f t="shared" ref="J46:J48" si="41">+P46</f>
        <v>0</v>
      </c>
      <c r="K46" s="82">
        <f>K48-K43-K45-K47</f>
        <v>-32.5</v>
      </c>
      <c r="L46" s="82">
        <f>L48-L43-L45-L47</f>
        <v>-30.8</v>
      </c>
      <c r="M46" s="82">
        <f>M48-M43-M45-M47</f>
        <v>-25.900000000000002</v>
      </c>
      <c r="N46" s="82">
        <f>N48-N43-N45-N47</f>
        <v>-25.900000000000002</v>
      </c>
      <c r="O46" s="82">
        <f t="shared" ref="O46:Q46" si="42">O48-O43-O45-O47</f>
        <v>-26.7</v>
      </c>
      <c r="P46" s="82">
        <f t="shared" si="42"/>
        <v>0</v>
      </c>
      <c r="Q46" s="82">
        <f t="shared" si="42"/>
        <v>0</v>
      </c>
      <c r="R46" s="82">
        <f t="shared" ref="R46:AD46" si="43">R48-R43-R45-R47</f>
        <v>0</v>
      </c>
      <c r="S46" s="82">
        <f t="shared" si="43"/>
        <v>0</v>
      </c>
      <c r="T46" s="82">
        <f t="shared" si="43"/>
        <v>0</v>
      </c>
      <c r="U46" s="82">
        <f t="shared" si="43"/>
        <v>0</v>
      </c>
      <c r="V46" s="82">
        <f t="shared" si="43"/>
        <v>0</v>
      </c>
      <c r="W46" s="82">
        <f t="shared" si="43"/>
        <v>0</v>
      </c>
      <c r="X46" s="82">
        <f t="shared" si="43"/>
        <v>0</v>
      </c>
      <c r="Y46" s="82">
        <f t="shared" si="43"/>
        <v>0</v>
      </c>
      <c r="Z46" s="82">
        <f t="shared" si="43"/>
        <v>0</v>
      </c>
      <c r="AA46" s="82">
        <f t="shared" si="43"/>
        <v>0</v>
      </c>
      <c r="AB46" s="82">
        <f t="shared" si="43"/>
        <v>0</v>
      </c>
      <c r="AC46" s="82">
        <f t="shared" si="43"/>
        <v>0</v>
      </c>
      <c r="AD46" s="82">
        <f t="shared" si="43"/>
        <v>0</v>
      </c>
      <c r="AE46" s="77"/>
    </row>
    <row r="47" spans="1:31" ht="15" customHeight="1" x14ac:dyDescent="0.3">
      <c r="A47" s="77"/>
      <c r="B47" s="77"/>
      <c r="C47" s="113" t="s">
        <v>37</v>
      </c>
      <c r="D47" s="119"/>
      <c r="E47" s="120"/>
      <c r="F47" s="120"/>
      <c r="G47" s="50">
        <f>+N47</f>
        <v>0</v>
      </c>
      <c r="H47" s="34"/>
      <c r="J47" s="51">
        <f t="shared" si="41"/>
        <v>0</v>
      </c>
      <c r="K47" s="121"/>
      <c r="L47" s="121"/>
      <c r="M47" s="121"/>
      <c r="N47" s="121"/>
      <c r="O47" s="120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77"/>
    </row>
    <row r="48" spans="1:31" s="9" customFormat="1" ht="15" customHeight="1" x14ac:dyDescent="0.3">
      <c r="A48" s="79"/>
      <c r="B48" s="79"/>
      <c r="C48" s="70" t="s">
        <v>38</v>
      </c>
      <c r="D48" s="123"/>
      <c r="E48" s="123"/>
      <c r="F48" s="123"/>
      <c r="G48" s="72">
        <f>+N48</f>
        <v>0</v>
      </c>
      <c r="H48" s="73"/>
      <c r="I48" s="74"/>
      <c r="J48" s="75">
        <f t="shared" si="41"/>
        <v>0</v>
      </c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79"/>
    </row>
    <row r="49" spans="1:31" ht="15" customHeight="1" x14ac:dyDescent="0.3">
      <c r="A49" s="77"/>
      <c r="B49" s="77"/>
      <c r="C49" s="4"/>
      <c r="D49" s="57"/>
      <c r="E49" s="58"/>
      <c r="F49" s="58"/>
      <c r="G49" s="5"/>
      <c r="H49" s="34"/>
      <c r="J49" s="51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77"/>
    </row>
    <row r="50" spans="1:31" ht="15" customHeight="1" x14ac:dyDescent="0.3">
      <c r="A50" s="77"/>
      <c r="B50" s="77"/>
      <c r="C50" s="113" t="s">
        <v>39</v>
      </c>
      <c r="D50" s="119"/>
      <c r="E50" s="120"/>
      <c r="F50" s="120"/>
      <c r="G50" s="50">
        <f>+N50</f>
        <v>0</v>
      </c>
      <c r="H50" s="34"/>
      <c r="J50" s="51">
        <f t="shared" ref="J50:J52" si="44">+P50</f>
        <v>0</v>
      </c>
      <c r="K50" s="121"/>
      <c r="L50" s="121"/>
      <c r="M50" s="121"/>
      <c r="N50" s="121"/>
      <c r="O50" s="120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77"/>
    </row>
    <row r="51" spans="1:31" ht="15" customHeight="1" x14ac:dyDescent="0.3">
      <c r="A51" s="77"/>
      <c r="B51" s="77"/>
      <c r="C51" s="113" t="s">
        <v>40</v>
      </c>
      <c r="D51" s="119"/>
      <c r="E51" s="120"/>
      <c r="F51" s="120"/>
      <c r="G51" s="50">
        <f>+N51</f>
        <v>0</v>
      </c>
      <c r="H51" s="34"/>
      <c r="J51" s="51">
        <f t="shared" si="44"/>
        <v>0</v>
      </c>
      <c r="K51" s="121"/>
      <c r="L51" s="121"/>
      <c r="M51" s="121"/>
      <c r="N51" s="121"/>
      <c r="O51" s="120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77"/>
    </row>
    <row r="52" spans="1:31" s="9" customFormat="1" ht="15" customHeight="1" x14ac:dyDescent="0.3">
      <c r="A52" s="79"/>
      <c r="B52" s="79"/>
      <c r="C52" s="59" t="s">
        <v>41</v>
      </c>
      <c r="D52" s="52">
        <f>SUM(D50:D51)</f>
        <v>0</v>
      </c>
      <c r="E52" s="53">
        <f>SUM(E50:E51)</f>
        <v>0</v>
      </c>
      <c r="F52" s="53">
        <f>SUM(F50:F51)</f>
        <v>0</v>
      </c>
      <c r="G52" s="54">
        <f>SUM(G50:G51)</f>
        <v>0</v>
      </c>
      <c r="H52" s="55"/>
      <c r="J52" s="56">
        <f t="shared" si="44"/>
        <v>0</v>
      </c>
      <c r="K52" s="53">
        <f t="shared" ref="K52:Q52" si="45">SUM(K50:K51)</f>
        <v>0</v>
      </c>
      <c r="L52" s="53">
        <f t="shared" si="45"/>
        <v>0</v>
      </c>
      <c r="M52" s="53">
        <f t="shared" si="45"/>
        <v>0</v>
      </c>
      <c r="N52" s="53">
        <f t="shared" si="45"/>
        <v>0</v>
      </c>
      <c r="O52" s="53">
        <f t="shared" si="45"/>
        <v>0</v>
      </c>
      <c r="P52" s="53">
        <f t="shared" si="45"/>
        <v>0</v>
      </c>
      <c r="Q52" s="53">
        <f t="shared" si="45"/>
        <v>0</v>
      </c>
      <c r="R52" s="53">
        <f t="shared" ref="R52:AD52" si="46">SUM(R50:R51)</f>
        <v>0</v>
      </c>
      <c r="S52" s="53">
        <f t="shared" si="46"/>
        <v>0</v>
      </c>
      <c r="T52" s="53">
        <f t="shared" si="46"/>
        <v>0</v>
      </c>
      <c r="U52" s="53">
        <f t="shared" si="46"/>
        <v>0</v>
      </c>
      <c r="V52" s="53">
        <f t="shared" si="46"/>
        <v>0</v>
      </c>
      <c r="W52" s="53">
        <f t="shared" si="46"/>
        <v>0</v>
      </c>
      <c r="X52" s="53">
        <f t="shared" si="46"/>
        <v>0</v>
      </c>
      <c r="Y52" s="53">
        <f t="shared" si="46"/>
        <v>0</v>
      </c>
      <c r="Z52" s="53">
        <f t="shared" si="46"/>
        <v>0</v>
      </c>
      <c r="AA52" s="53">
        <f t="shared" si="46"/>
        <v>0</v>
      </c>
      <c r="AB52" s="53">
        <f t="shared" si="46"/>
        <v>0</v>
      </c>
      <c r="AC52" s="53">
        <f t="shared" si="46"/>
        <v>0</v>
      </c>
      <c r="AD52" s="53">
        <f t="shared" si="46"/>
        <v>0</v>
      </c>
      <c r="AE52" s="79"/>
    </row>
    <row r="53" spans="1:31" ht="15" customHeight="1" x14ac:dyDescent="0.3">
      <c r="A53" s="77"/>
      <c r="B53" s="77"/>
      <c r="C53" s="4"/>
      <c r="D53" s="57"/>
      <c r="E53" s="58"/>
      <c r="F53" s="58"/>
      <c r="G53" s="5"/>
      <c r="H53" s="34"/>
      <c r="J53" s="51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77"/>
    </row>
    <row r="54" spans="1:31" ht="15" customHeight="1" x14ac:dyDescent="0.3">
      <c r="A54" s="77"/>
      <c r="B54" s="77"/>
      <c r="C54" s="113" t="s">
        <v>42</v>
      </c>
      <c r="D54" s="119"/>
      <c r="E54" s="120"/>
      <c r="F54" s="120"/>
      <c r="G54" s="50">
        <f>+N54</f>
        <v>0</v>
      </c>
      <c r="H54" s="34"/>
      <c r="J54" s="51">
        <f>+P54</f>
        <v>0</v>
      </c>
      <c r="K54" s="121">
        <v>0</v>
      </c>
      <c r="L54" s="121">
        <v>0</v>
      </c>
      <c r="M54" s="121">
        <v>0</v>
      </c>
      <c r="N54" s="121">
        <v>0</v>
      </c>
      <c r="O54" s="120">
        <v>0</v>
      </c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77"/>
    </row>
    <row r="55" spans="1:31" ht="15" customHeight="1" x14ac:dyDescent="0.3">
      <c r="A55" s="77"/>
      <c r="B55" s="77"/>
      <c r="C55" s="113" t="s">
        <v>43</v>
      </c>
      <c r="D55" s="119"/>
      <c r="E55" s="120">
        <v>545.6</v>
      </c>
      <c r="F55" s="120">
        <v>842.6</v>
      </c>
      <c r="G55" s="50">
        <f>+N55</f>
        <v>896.6</v>
      </c>
      <c r="H55" s="34"/>
      <c r="J55" s="51">
        <f>+P55</f>
        <v>0</v>
      </c>
      <c r="K55" s="121">
        <v>852.5</v>
      </c>
      <c r="L55" s="121">
        <v>859.2</v>
      </c>
      <c r="M55" s="121">
        <v>868.7</v>
      </c>
      <c r="N55" s="121">
        <v>896.6</v>
      </c>
      <c r="O55" s="120">
        <v>907.9</v>
      </c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77"/>
    </row>
    <row r="56" spans="1:31" ht="15" customHeight="1" x14ac:dyDescent="0.3">
      <c r="A56" s="77"/>
      <c r="B56" s="77"/>
      <c r="C56" s="113" t="s">
        <v>44</v>
      </c>
      <c r="D56" s="119"/>
      <c r="E56" s="120"/>
      <c r="F56" s="120"/>
      <c r="G56" s="50">
        <f t="shared" ref="G56:G61" si="47">+N56</f>
        <v>181.9</v>
      </c>
      <c r="H56" s="34"/>
      <c r="J56" s="51">
        <f t="shared" ref="J56:J61" si="48">+P56</f>
        <v>0</v>
      </c>
      <c r="K56" s="121">
        <v>163.4</v>
      </c>
      <c r="L56" s="121">
        <v>169.3</v>
      </c>
      <c r="M56" s="121">
        <v>175.4</v>
      </c>
      <c r="N56" s="121">
        <v>181.9</v>
      </c>
      <c r="O56" s="120">
        <v>188.4</v>
      </c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77"/>
    </row>
    <row r="57" spans="1:31" ht="15" customHeight="1" x14ac:dyDescent="0.3">
      <c r="A57" s="77"/>
      <c r="B57" s="77"/>
      <c r="C57" s="113" t="s">
        <v>45</v>
      </c>
      <c r="D57" s="119"/>
      <c r="E57" s="120"/>
      <c r="F57" s="120"/>
      <c r="G57" s="50">
        <f t="shared" si="47"/>
        <v>0</v>
      </c>
      <c r="H57" s="34"/>
      <c r="J57" s="51">
        <f t="shared" si="48"/>
        <v>0</v>
      </c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77"/>
    </row>
    <row r="58" spans="1:31" ht="15" customHeight="1" x14ac:dyDescent="0.3">
      <c r="A58" s="77"/>
      <c r="B58" s="77"/>
      <c r="C58" s="113" t="s">
        <v>46</v>
      </c>
      <c r="D58" s="119"/>
      <c r="E58" s="120"/>
      <c r="F58" s="120"/>
      <c r="G58" s="50">
        <f t="shared" si="47"/>
        <v>0</v>
      </c>
      <c r="H58" s="34"/>
      <c r="J58" s="51">
        <f t="shared" si="48"/>
        <v>0</v>
      </c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77"/>
    </row>
    <row r="59" spans="1:31" ht="15" customHeight="1" x14ac:dyDescent="0.3">
      <c r="A59" s="77"/>
      <c r="B59" s="77"/>
      <c r="C59" s="113" t="s">
        <v>47</v>
      </c>
      <c r="D59" s="119"/>
      <c r="E59" s="120"/>
      <c r="F59" s="120"/>
      <c r="G59" s="50">
        <f t="shared" ref="G59" si="49">+N59</f>
        <v>0</v>
      </c>
      <c r="H59" s="34"/>
      <c r="J59" s="51">
        <f t="shared" si="48"/>
        <v>0</v>
      </c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77"/>
    </row>
    <row r="60" spans="1:31" ht="15" customHeight="1" x14ac:dyDescent="0.3">
      <c r="A60" s="77"/>
      <c r="B60" s="77"/>
      <c r="C60" s="113" t="s">
        <v>48</v>
      </c>
      <c r="D60" s="119"/>
      <c r="E60" s="120"/>
      <c r="F60" s="120"/>
      <c r="G60" s="50">
        <f t="shared" si="47"/>
        <v>0</v>
      </c>
      <c r="H60" s="34"/>
      <c r="J60" s="51">
        <f t="shared" si="48"/>
        <v>0</v>
      </c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77"/>
    </row>
    <row r="61" spans="1:31" ht="15" customHeight="1" x14ac:dyDescent="0.3">
      <c r="A61" s="77"/>
      <c r="B61" s="77"/>
      <c r="C61" s="122" t="s">
        <v>49</v>
      </c>
      <c r="D61" s="119"/>
      <c r="E61" s="120"/>
      <c r="F61" s="120"/>
      <c r="G61" s="50">
        <f t="shared" si="47"/>
        <v>0</v>
      </c>
      <c r="H61" s="34"/>
      <c r="J61" s="51">
        <f t="shared" si="48"/>
        <v>0</v>
      </c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77"/>
    </row>
    <row r="62" spans="1:31" s="9" customFormat="1" ht="15" customHeight="1" x14ac:dyDescent="0.3">
      <c r="A62" s="79"/>
      <c r="B62" s="79"/>
      <c r="C62" s="6" t="s">
        <v>50</v>
      </c>
      <c r="D62" s="52">
        <f>SUM(D52:D61)</f>
        <v>0</v>
      </c>
      <c r="E62" s="53">
        <f>SUM(E52:E61)</f>
        <v>545.6</v>
      </c>
      <c r="F62" s="53">
        <f>SUM(F52:F61)</f>
        <v>842.6</v>
      </c>
      <c r="G62" s="54">
        <f>SUM(G52:G61)</f>
        <v>1078.5</v>
      </c>
      <c r="J62" s="60">
        <f t="shared" ref="J62:AD62" si="50">SUM(J52:J61)</f>
        <v>0</v>
      </c>
      <c r="K62" s="53">
        <f t="shared" si="50"/>
        <v>1015.9</v>
      </c>
      <c r="L62" s="53">
        <f t="shared" si="50"/>
        <v>1028.5</v>
      </c>
      <c r="M62" s="53">
        <f t="shared" si="50"/>
        <v>1044.1000000000001</v>
      </c>
      <c r="N62" s="53">
        <f t="shared" si="50"/>
        <v>1078.5</v>
      </c>
      <c r="O62" s="53">
        <f t="shared" si="50"/>
        <v>1096.3</v>
      </c>
      <c r="P62" s="53">
        <f t="shared" si="50"/>
        <v>0</v>
      </c>
      <c r="Q62" s="53">
        <f t="shared" si="50"/>
        <v>0</v>
      </c>
      <c r="R62" s="53">
        <f t="shared" si="50"/>
        <v>0</v>
      </c>
      <c r="S62" s="53">
        <f t="shared" si="50"/>
        <v>0</v>
      </c>
      <c r="T62" s="53">
        <f t="shared" si="50"/>
        <v>0</v>
      </c>
      <c r="U62" s="53">
        <f t="shared" si="50"/>
        <v>0</v>
      </c>
      <c r="V62" s="53">
        <f t="shared" si="50"/>
        <v>0</v>
      </c>
      <c r="W62" s="53">
        <f t="shared" si="50"/>
        <v>0</v>
      </c>
      <c r="X62" s="53">
        <f t="shared" si="50"/>
        <v>0</v>
      </c>
      <c r="Y62" s="53">
        <f t="shared" si="50"/>
        <v>0</v>
      </c>
      <c r="Z62" s="53">
        <f t="shared" si="50"/>
        <v>0</v>
      </c>
      <c r="AA62" s="53">
        <f t="shared" si="50"/>
        <v>0</v>
      </c>
      <c r="AB62" s="53">
        <f t="shared" si="50"/>
        <v>0</v>
      </c>
      <c r="AC62" s="53">
        <f t="shared" si="50"/>
        <v>0</v>
      </c>
      <c r="AD62" s="53">
        <f t="shared" si="50"/>
        <v>0</v>
      </c>
      <c r="AE62" s="79"/>
    </row>
    <row r="63" spans="1:31" ht="15" customHeight="1" x14ac:dyDescent="0.3">
      <c r="A63" s="77"/>
      <c r="B63" s="77"/>
      <c r="C63" s="4"/>
      <c r="D63" s="57"/>
      <c r="E63" s="58"/>
      <c r="F63" s="58"/>
      <c r="G63" s="5"/>
      <c r="H63" s="34"/>
      <c r="J63" s="51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77"/>
    </row>
    <row r="64" spans="1:31" ht="15" customHeight="1" x14ac:dyDescent="0.3">
      <c r="A64" s="77"/>
      <c r="B64" s="77"/>
      <c r="C64" s="113" t="s">
        <v>51</v>
      </c>
      <c r="D64" s="119"/>
      <c r="E64" s="120"/>
      <c r="F64" s="120"/>
      <c r="G64" s="50">
        <f>+N64</f>
        <v>0</v>
      </c>
      <c r="H64" s="34"/>
      <c r="J64" s="51">
        <f t="shared" ref="J64" si="51">+P64</f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77"/>
    </row>
    <row r="65" spans="1:33" ht="15" customHeight="1" x14ac:dyDescent="0.3">
      <c r="A65" s="77"/>
      <c r="B65" s="77"/>
      <c r="C65" s="113" t="s">
        <v>52</v>
      </c>
      <c r="D65" s="119"/>
      <c r="E65" s="120"/>
      <c r="F65" s="120"/>
      <c r="G65" s="50">
        <f>+N65</f>
        <v>0</v>
      </c>
      <c r="H65" s="34"/>
      <c r="J65" s="51">
        <f t="shared" ref="J65" si="52">+P65</f>
        <v>0</v>
      </c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77"/>
    </row>
    <row r="66" spans="1:33" s="9" customFormat="1" ht="15" customHeight="1" x14ac:dyDescent="0.3">
      <c r="A66" s="79"/>
      <c r="B66" s="79"/>
      <c r="C66" s="70" t="s">
        <v>53</v>
      </c>
      <c r="D66" s="126">
        <f t="shared" ref="D66:G66" si="53">SUM(D62:D65)</f>
        <v>0</v>
      </c>
      <c r="E66" s="25">
        <f t="shared" si="53"/>
        <v>545.6</v>
      </c>
      <c r="F66" s="25">
        <f t="shared" si="53"/>
        <v>842.6</v>
      </c>
      <c r="G66" s="127">
        <f t="shared" si="53"/>
        <v>1078.5</v>
      </c>
      <c r="H66" s="128"/>
      <c r="I66" s="129"/>
      <c r="J66" s="76">
        <f>SUM(J62:J65)</f>
        <v>0</v>
      </c>
      <c r="K66" s="71">
        <f>SUM(K62:K65)</f>
        <v>1015.9</v>
      </c>
      <c r="L66" s="71">
        <f t="shared" ref="L66:AD66" si="54">SUM(L62:L65)</f>
        <v>1028.5</v>
      </c>
      <c r="M66" s="71">
        <f t="shared" si="54"/>
        <v>1044.1000000000001</v>
      </c>
      <c r="N66" s="71">
        <f t="shared" si="54"/>
        <v>1078.5</v>
      </c>
      <c r="O66" s="71">
        <f t="shared" si="54"/>
        <v>1096.3</v>
      </c>
      <c r="P66" s="71">
        <f t="shared" si="54"/>
        <v>0</v>
      </c>
      <c r="Q66" s="71">
        <f t="shared" si="54"/>
        <v>0</v>
      </c>
      <c r="R66" s="71">
        <f t="shared" si="54"/>
        <v>0</v>
      </c>
      <c r="S66" s="71">
        <f t="shared" si="54"/>
        <v>0</v>
      </c>
      <c r="T66" s="71">
        <f t="shared" si="54"/>
        <v>0</v>
      </c>
      <c r="U66" s="71">
        <f t="shared" si="54"/>
        <v>0</v>
      </c>
      <c r="V66" s="71">
        <f t="shared" si="54"/>
        <v>0</v>
      </c>
      <c r="W66" s="71">
        <f t="shared" si="54"/>
        <v>0</v>
      </c>
      <c r="X66" s="71">
        <f t="shared" si="54"/>
        <v>0</v>
      </c>
      <c r="Y66" s="71">
        <f t="shared" si="54"/>
        <v>0</v>
      </c>
      <c r="Z66" s="71">
        <f t="shared" si="54"/>
        <v>0</v>
      </c>
      <c r="AA66" s="71">
        <f t="shared" si="54"/>
        <v>0</v>
      </c>
      <c r="AB66" s="71">
        <f t="shared" si="54"/>
        <v>0</v>
      </c>
      <c r="AC66" s="71">
        <f t="shared" si="54"/>
        <v>0</v>
      </c>
      <c r="AD66" s="71">
        <f t="shared" si="54"/>
        <v>0</v>
      </c>
      <c r="AE66" s="79"/>
    </row>
    <row r="67" spans="1:33" s="63" customFormat="1" ht="15" customHeight="1" x14ac:dyDescent="0.3">
      <c r="A67" s="80"/>
      <c r="B67" s="80"/>
      <c r="C67" s="61" t="s">
        <v>54</v>
      </c>
      <c r="D67" s="62" t="b">
        <f>+D66=D48</f>
        <v>1</v>
      </c>
      <c r="E67" s="63" t="b">
        <f>+E66=E48</f>
        <v>0</v>
      </c>
      <c r="F67" s="63" t="b">
        <f>+F66=F48</f>
        <v>0</v>
      </c>
      <c r="G67" s="64" t="b">
        <f>+G66=G48</f>
        <v>0</v>
      </c>
      <c r="H67" s="62"/>
      <c r="J67" s="64"/>
      <c r="K67" s="63" t="b">
        <f t="shared" ref="K67:AD67" si="55">+K66=K48</f>
        <v>0</v>
      </c>
      <c r="L67" s="63" t="b">
        <f t="shared" si="55"/>
        <v>0</v>
      </c>
      <c r="M67" s="63" t="b">
        <f t="shared" si="55"/>
        <v>0</v>
      </c>
      <c r="N67" s="63" t="b">
        <f t="shared" si="55"/>
        <v>0</v>
      </c>
      <c r="O67" s="63" t="b">
        <f t="shared" si="55"/>
        <v>0</v>
      </c>
      <c r="P67" s="63" t="b">
        <f t="shared" si="55"/>
        <v>1</v>
      </c>
      <c r="Q67" s="63" t="b">
        <f t="shared" si="55"/>
        <v>1</v>
      </c>
      <c r="R67" s="63" t="b">
        <f t="shared" si="55"/>
        <v>1</v>
      </c>
      <c r="S67" s="63" t="b">
        <f t="shared" si="55"/>
        <v>1</v>
      </c>
      <c r="T67" s="63" t="b">
        <f t="shared" si="55"/>
        <v>1</v>
      </c>
      <c r="U67" s="63" t="b">
        <f t="shared" si="55"/>
        <v>1</v>
      </c>
      <c r="V67" s="63" t="b">
        <f t="shared" si="55"/>
        <v>1</v>
      </c>
      <c r="W67" s="63" t="b">
        <f t="shared" si="55"/>
        <v>1</v>
      </c>
      <c r="X67" s="63" t="b">
        <f t="shared" si="55"/>
        <v>1</v>
      </c>
      <c r="Y67" s="63" t="b">
        <f t="shared" si="55"/>
        <v>1</v>
      </c>
      <c r="Z67" s="63" t="b">
        <f t="shared" si="55"/>
        <v>1</v>
      </c>
      <c r="AA67" s="63" t="b">
        <f t="shared" si="55"/>
        <v>1</v>
      </c>
      <c r="AB67" s="63" t="b">
        <f t="shared" si="55"/>
        <v>1</v>
      </c>
      <c r="AC67" s="63" t="b">
        <f t="shared" si="55"/>
        <v>1</v>
      </c>
      <c r="AD67" s="63" t="b">
        <f t="shared" si="55"/>
        <v>1</v>
      </c>
      <c r="AE67" s="80"/>
    </row>
    <row r="68" spans="1:33" ht="15" customHeight="1" x14ac:dyDescent="0.3">
      <c r="A68" s="77"/>
      <c r="B68" s="77"/>
      <c r="C68" s="4"/>
      <c r="D68" s="34"/>
      <c r="G68" s="65"/>
      <c r="H68" s="34"/>
      <c r="J68" s="65"/>
      <c r="AE68" s="77"/>
    </row>
    <row r="69" spans="1:33" ht="16.95" customHeight="1" x14ac:dyDescent="0.3">
      <c r="A69" s="77"/>
      <c r="B69" s="77"/>
      <c r="C69" s="144" t="s">
        <v>55</v>
      </c>
      <c r="D69" s="145"/>
      <c r="E69" s="145"/>
      <c r="F69" s="145"/>
      <c r="G69" s="146"/>
      <c r="H69" s="147"/>
      <c r="I69" s="145"/>
      <c r="J69" s="146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77"/>
    </row>
    <row r="70" spans="1:33" ht="15" customHeight="1" x14ac:dyDescent="0.3">
      <c r="A70" s="77"/>
      <c r="B70" s="77"/>
      <c r="C70" s="6" t="s">
        <v>56</v>
      </c>
      <c r="D70" s="1"/>
      <c r="E70" s="2"/>
      <c r="F70" s="49"/>
      <c r="G70" s="66"/>
      <c r="H70" s="67"/>
      <c r="I70" s="49"/>
      <c r="J70" s="66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77"/>
    </row>
    <row r="71" spans="1:33" ht="15" customHeight="1" x14ac:dyDescent="0.3">
      <c r="A71" s="77"/>
      <c r="B71" s="77"/>
      <c r="C71" s="150" t="s">
        <v>57</v>
      </c>
      <c r="D71" s="151"/>
      <c r="E71" s="152"/>
      <c r="F71" s="153"/>
      <c r="G71" s="154"/>
      <c r="H71" s="155"/>
      <c r="I71" s="153"/>
      <c r="J71" s="154"/>
      <c r="K71" s="156">
        <v>9.5</v>
      </c>
      <c r="L71" s="156">
        <v>9.25</v>
      </c>
      <c r="M71" s="156">
        <v>9.25</v>
      </c>
      <c r="N71" s="156">
        <v>9.25</v>
      </c>
      <c r="O71" s="156">
        <v>8.5</v>
      </c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77"/>
      <c r="AF71" s="3" t="s">
        <v>58</v>
      </c>
      <c r="AG71" s="3" t="s">
        <v>59</v>
      </c>
    </row>
    <row r="72" spans="1:33" ht="15" customHeight="1" x14ac:dyDescent="0.3">
      <c r="A72" s="77"/>
      <c r="B72" s="77"/>
      <c r="C72" s="113" t="s">
        <v>60</v>
      </c>
      <c r="D72" s="135"/>
      <c r="E72" s="136"/>
      <c r="F72" s="132"/>
      <c r="G72" s="133"/>
      <c r="H72" s="134"/>
      <c r="I72" s="132"/>
      <c r="J72" s="133"/>
      <c r="K72" s="149">
        <f>+K34</f>
        <v>7.7</v>
      </c>
      <c r="L72" s="149">
        <f t="shared" ref="L72:Q72" si="56">+L34</f>
        <v>7.7</v>
      </c>
      <c r="M72" s="149">
        <f t="shared" si="56"/>
        <v>7.7</v>
      </c>
      <c r="N72" s="149">
        <f t="shared" si="56"/>
        <v>7.8</v>
      </c>
      <c r="O72" s="149">
        <f t="shared" si="56"/>
        <v>8</v>
      </c>
      <c r="P72" s="149">
        <f t="shared" si="56"/>
        <v>0</v>
      </c>
      <c r="Q72" s="149">
        <f t="shared" si="56"/>
        <v>0</v>
      </c>
      <c r="R72" s="149">
        <f t="shared" ref="R72:AD72" si="57">+R34</f>
        <v>0</v>
      </c>
      <c r="S72" s="149">
        <f t="shared" si="57"/>
        <v>0</v>
      </c>
      <c r="T72" s="149">
        <f t="shared" si="57"/>
        <v>0</v>
      </c>
      <c r="U72" s="149">
        <f t="shared" si="57"/>
        <v>0</v>
      </c>
      <c r="V72" s="149">
        <f t="shared" si="57"/>
        <v>0</v>
      </c>
      <c r="W72" s="149">
        <f t="shared" si="57"/>
        <v>0</v>
      </c>
      <c r="X72" s="149">
        <f t="shared" si="57"/>
        <v>0</v>
      </c>
      <c r="Y72" s="149">
        <f t="shared" si="57"/>
        <v>0</v>
      </c>
      <c r="Z72" s="149">
        <f t="shared" si="57"/>
        <v>0</v>
      </c>
      <c r="AA72" s="149">
        <f t="shared" si="57"/>
        <v>0</v>
      </c>
      <c r="AB72" s="149">
        <f t="shared" si="57"/>
        <v>0</v>
      </c>
      <c r="AC72" s="149">
        <f t="shared" si="57"/>
        <v>0</v>
      </c>
      <c r="AD72" s="149">
        <f t="shared" si="57"/>
        <v>0</v>
      </c>
      <c r="AE72" s="77"/>
    </row>
    <row r="73" spans="1:33" ht="15" customHeight="1" x14ac:dyDescent="0.3">
      <c r="A73" s="77"/>
      <c r="B73" s="77"/>
      <c r="C73" s="113" t="s">
        <v>61</v>
      </c>
      <c r="D73" s="135"/>
      <c r="E73" s="136"/>
      <c r="F73" s="132"/>
      <c r="G73" s="133"/>
      <c r="H73" s="134"/>
      <c r="I73" s="132"/>
      <c r="J73" s="133"/>
      <c r="K73" s="149">
        <f>+K29</f>
        <v>0</v>
      </c>
      <c r="L73" s="149">
        <f t="shared" ref="L73:Q73" si="58">+L29</f>
        <v>0</v>
      </c>
      <c r="M73" s="149">
        <f t="shared" si="58"/>
        <v>0</v>
      </c>
      <c r="N73" s="149">
        <f t="shared" si="58"/>
        <v>9.4855855855855857</v>
      </c>
      <c r="O73" s="149">
        <f t="shared" si="58"/>
        <v>9.6657633242999097</v>
      </c>
      <c r="P73" s="149">
        <f t="shared" si="58"/>
        <v>0</v>
      </c>
      <c r="Q73" s="149">
        <f t="shared" si="58"/>
        <v>0</v>
      </c>
      <c r="R73" s="149">
        <f t="shared" ref="R73:AD73" si="59">+R29</f>
        <v>0</v>
      </c>
      <c r="S73" s="149">
        <f t="shared" si="59"/>
        <v>0</v>
      </c>
      <c r="T73" s="149">
        <f t="shared" si="59"/>
        <v>0</v>
      </c>
      <c r="U73" s="149">
        <f t="shared" si="59"/>
        <v>0</v>
      </c>
      <c r="V73" s="149">
        <f t="shared" si="59"/>
        <v>0</v>
      </c>
      <c r="W73" s="149">
        <f t="shared" si="59"/>
        <v>0</v>
      </c>
      <c r="X73" s="149">
        <f t="shared" si="59"/>
        <v>0</v>
      </c>
      <c r="Y73" s="149">
        <f t="shared" si="59"/>
        <v>0</v>
      </c>
      <c r="Z73" s="149">
        <f t="shared" si="59"/>
        <v>0</v>
      </c>
      <c r="AA73" s="149">
        <f t="shared" si="59"/>
        <v>0</v>
      </c>
      <c r="AB73" s="149">
        <f t="shared" si="59"/>
        <v>0</v>
      </c>
      <c r="AC73" s="149">
        <f t="shared" si="59"/>
        <v>0</v>
      </c>
      <c r="AD73" s="149">
        <f t="shared" si="59"/>
        <v>0</v>
      </c>
      <c r="AE73" s="77"/>
    </row>
    <row r="74" spans="1:33" ht="15" customHeight="1" x14ac:dyDescent="0.3">
      <c r="A74" s="77"/>
      <c r="B74" s="77"/>
      <c r="C74" s="113" t="s">
        <v>62</v>
      </c>
      <c r="D74" s="135"/>
      <c r="E74" s="136"/>
      <c r="F74" s="132"/>
      <c r="G74" s="133"/>
      <c r="H74" s="134"/>
      <c r="I74" s="132"/>
      <c r="J74" s="133"/>
      <c r="K74" s="149" t="str">
        <f>IF(K71="","",IF(K72&lt;K71,"Yes","No"))</f>
        <v>Yes</v>
      </c>
      <c r="L74" s="149" t="str">
        <f t="shared" ref="L74:Q74" si="60">IF(L71="","",IF(L72&lt;L71,"Yes","No"))</f>
        <v>Yes</v>
      </c>
      <c r="M74" s="149" t="str">
        <f t="shared" si="60"/>
        <v>Yes</v>
      </c>
      <c r="N74" s="149" t="str">
        <f t="shared" si="60"/>
        <v>Yes</v>
      </c>
      <c r="O74" s="149" t="str">
        <f t="shared" si="60"/>
        <v>Yes</v>
      </c>
      <c r="P74" s="149" t="str">
        <f t="shared" si="60"/>
        <v/>
      </c>
      <c r="Q74" s="149" t="str">
        <f t="shared" si="60"/>
        <v/>
      </c>
      <c r="R74" s="149" t="str">
        <f t="shared" ref="R74:AD74" si="61">IF(R71="","",IF(R72&lt;R71,"Yes","No"))</f>
        <v/>
      </c>
      <c r="S74" s="149" t="str">
        <f t="shared" si="61"/>
        <v/>
      </c>
      <c r="T74" s="149" t="str">
        <f t="shared" si="61"/>
        <v/>
      </c>
      <c r="U74" s="149" t="str">
        <f t="shared" si="61"/>
        <v/>
      </c>
      <c r="V74" s="149" t="str">
        <f t="shared" si="61"/>
        <v/>
      </c>
      <c r="W74" s="149" t="str">
        <f t="shared" si="61"/>
        <v/>
      </c>
      <c r="X74" s="149" t="str">
        <f t="shared" si="61"/>
        <v/>
      </c>
      <c r="Y74" s="149" t="str">
        <f t="shared" si="61"/>
        <v/>
      </c>
      <c r="Z74" s="149" t="str">
        <f t="shared" si="61"/>
        <v/>
      </c>
      <c r="AA74" s="149" t="str">
        <f t="shared" si="61"/>
        <v/>
      </c>
      <c r="AB74" s="149" t="str">
        <f t="shared" si="61"/>
        <v/>
      </c>
      <c r="AC74" s="149" t="str">
        <f t="shared" si="61"/>
        <v/>
      </c>
      <c r="AD74" s="149" t="str">
        <f t="shared" si="61"/>
        <v/>
      </c>
      <c r="AE74" s="77"/>
      <c r="AF74" s="3" t="s">
        <v>63</v>
      </c>
    </row>
    <row r="75" spans="1:33" ht="15" customHeight="1" x14ac:dyDescent="0.3">
      <c r="A75" s="77"/>
      <c r="B75" s="77"/>
      <c r="C75" s="116" t="s">
        <v>64</v>
      </c>
      <c r="D75" s="137"/>
      <c r="E75" s="138"/>
      <c r="F75" s="139"/>
      <c r="G75" s="140"/>
      <c r="H75" s="141"/>
      <c r="I75" s="139"/>
      <c r="J75" s="140"/>
      <c r="K75" s="69">
        <f>IFERROR(K25-((SUM(K54:K56)-K39)/K71), "")</f>
        <v>-103.57894736842105</v>
      </c>
      <c r="L75" s="69">
        <f>IFERROR(L25-((SUM(L54:L56)-L39)/L71), "")</f>
        <v>-107.89189189189189</v>
      </c>
      <c r="M75" s="69">
        <f t="shared" ref="M75:Q75" si="62">IFERROR(M25-((SUM(M54:M56)-M39)/M71), "")</f>
        <v>-110.10810810810813</v>
      </c>
      <c r="N75" s="69">
        <f t="shared" si="62"/>
        <v>-2.827027027027043</v>
      </c>
      <c r="O75" s="69">
        <f t="shared" si="62"/>
        <v>-15.182352941176461</v>
      </c>
      <c r="P75" s="69" t="str">
        <f t="shared" si="62"/>
        <v/>
      </c>
      <c r="Q75" s="69" t="str">
        <f t="shared" si="62"/>
        <v/>
      </c>
      <c r="R75" s="69" t="str">
        <f t="shared" ref="R75:AD75" si="63">IFERROR(R25-((SUM(R54:R56)-R39)/R71), "")</f>
        <v/>
      </c>
      <c r="S75" s="69" t="str">
        <f t="shared" si="63"/>
        <v/>
      </c>
      <c r="T75" s="69" t="str">
        <f t="shared" si="63"/>
        <v/>
      </c>
      <c r="U75" s="69" t="str">
        <f t="shared" si="63"/>
        <v/>
      </c>
      <c r="V75" s="69" t="str">
        <f t="shared" si="63"/>
        <v/>
      </c>
      <c r="W75" s="69" t="str">
        <f t="shared" si="63"/>
        <v/>
      </c>
      <c r="X75" s="69" t="str">
        <f t="shared" si="63"/>
        <v/>
      </c>
      <c r="Y75" s="69" t="str">
        <f t="shared" si="63"/>
        <v/>
      </c>
      <c r="Z75" s="69" t="str">
        <f t="shared" si="63"/>
        <v/>
      </c>
      <c r="AA75" s="69" t="str">
        <f t="shared" si="63"/>
        <v/>
      </c>
      <c r="AB75" s="69" t="str">
        <f t="shared" si="63"/>
        <v/>
      </c>
      <c r="AC75" s="69" t="str">
        <f t="shared" si="63"/>
        <v/>
      </c>
      <c r="AD75" s="69" t="str">
        <f t="shared" si="63"/>
        <v/>
      </c>
      <c r="AE75" s="77"/>
      <c r="AF75" s="3" t="s">
        <v>57</v>
      </c>
    </row>
    <row r="76" spans="1:33" ht="15" customHeight="1" x14ac:dyDescent="0.3">
      <c r="A76" s="77"/>
      <c r="B76" s="77"/>
      <c r="C76" s="4"/>
      <c r="D76" s="135"/>
      <c r="E76" s="136"/>
      <c r="F76" s="132"/>
      <c r="G76" s="133"/>
      <c r="H76" s="134"/>
      <c r="I76" s="132"/>
      <c r="J76" s="133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77"/>
      <c r="AF76" s="3" t="s">
        <v>65</v>
      </c>
    </row>
    <row r="77" spans="1:33" ht="15" customHeight="1" x14ac:dyDescent="0.3">
      <c r="A77" s="77"/>
      <c r="B77" s="77"/>
      <c r="C77" s="6" t="s">
        <v>66</v>
      </c>
      <c r="D77" s="135"/>
      <c r="E77" s="136"/>
      <c r="F77" s="132"/>
      <c r="G77" s="133"/>
      <c r="H77" s="134"/>
      <c r="I77" s="132"/>
      <c r="J77" s="133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77"/>
      <c r="AF77" s="3" t="s">
        <v>67</v>
      </c>
    </row>
    <row r="78" spans="1:33" ht="15" customHeight="1" x14ac:dyDescent="0.3">
      <c r="A78" s="77"/>
      <c r="B78" s="77"/>
      <c r="C78" s="150" t="s">
        <v>63</v>
      </c>
      <c r="D78" s="151"/>
      <c r="E78" s="152"/>
      <c r="F78" s="153"/>
      <c r="G78" s="154"/>
      <c r="H78" s="155"/>
      <c r="I78" s="153"/>
      <c r="J78" s="154"/>
      <c r="K78" s="156">
        <v>13</v>
      </c>
      <c r="L78" s="156">
        <v>13</v>
      </c>
      <c r="M78" s="156">
        <v>13</v>
      </c>
      <c r="N78" s="156">
        <v>13</v>
      </c>
      <c r="O78" s="156">
        <v>13</v>
      </c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77"/>
      <c r="AF78" s="3" t="s">
        <v>68</v>
      </c>
    </row>
    <row r="79" spans="1:33" ht="15" customHeight="1" x14ac:dyDescent="0.3">
      <c r="A79" s="77"/>
      <c r="B79" s="77"/>
      <c r="C79" s="113" t="s">
        <v>60</v>
      </c>
      <c r="D79" s="135"/>
      <c r="E79" s="136"/>
      <c r="F79" s="132"/>
      <c r="G79" s="133"/>
      <c r="H79" s="134"/>
      <c r="I79" s="132"/>
      <c r="J79" s="133"/>
      <c r="K79" s="149">
        <f>+K35</f>
        <v>9.1999999999999993</v>
      </c>
      <c r="L79" s="149">
        <f t="shared" ref="L79:Q79" si="64">+L35</f>
        <v>9.3000000000000007</v>
      </c>
      <c r="M79" s="149">
        <f t="shared" si="64"/>
        <v>9.4</v>
      </c>
      <c r="N79" s="149">
        <f t="shared" si="64"/>
        <v>9.5</v>
      </c>
      <c r="O79" s="149">
        <f t="shared" si="64"/>
        <v>9.6999999999999993</v>
      </c>
      <c r="P79" s="149">
        <f t="shared" si="64"/>
        <v>0</v>
      </c>
      <c r="Q79" s="149">
        <f t="shared" si="64"/>
        <v>0</v>
      </c>
      <c r="R79" s="149">
        <f t="shared" ref="R79:AD79" si="65">+R35</f>
        <v>0</v>
      </c>
      <c r="S79" s="149">
        <f t="shared" si="65"/>
        <v>0</v>
      </c>
      <c r="T79" s="149">
        <f t="shared" si="65"/>
        <v>0</v>
      </c>
      <c r="U79" s="149">
        <f t="shared" si="65"/>
        <v>0</v>
      </c>
      <c r="V79" s="149">
        <f t="shared" si="65"/>
        <v>0</v>
      </c>
      <c r="W79" s="149">
        <f t="shared" si="65"/>
        <v>0</v>
      </c>
      <c r="X79" s="149">
        <f t="shared" si="65"/>
        <v>0</v>
      </c>
      <c r="Y79" s="149">
        <f t="shared" si="65"/>
        <v>0</v>
      </c>
      <c r="Z79" s="149">
        <f t="shared" si="65"/>
        <v>0</v>
      </c>
      <c r="AA79" s="149">
        <f t="shared" si="65"/>
        <v>0</v>
      </c>
      <c r="AB79" s="149">
        <f t="shared" si="65"/>
        <v>0</v>
      </c>
      <c r="AC79" s="149">
        <f t="shared" si="65"/>
        <v>0</v>
      </c>
      <c r="AD79" s="149">
        <f t="shared" si="65"/>
        <v>0</v>
      </c>
      <c r="AE79" s="77"/>
    </row>
    <row r="80" spans="1:33" ht="15" customHeight="1" x14ac:dyDescent="0.3">
      <c r="A80" s="77"/>
      <c r="B80" s="77"/>
      <c r="C80" s="113" t="s">
        <v>61</v>
      </c>
      <c r="D80" s="135"/>
      <c r="E80" s="136"/>
      <c r="F80" s="132"/>
      <c r="G80" s="133"/>
      <c r="H80" s="134"/>
      <c r="I80" s="132"/>
      <c r="J80" s="133"/>
      <c r="K80" s="149">
        <f>+K30</f>
        <v>0</v>
      </c>
      <c r="L80" s="149">
        <f t="shared" ref="L80:Q80" si="66">+L30</f>
        <v>0</v>
      </c>
      <c r="M80" s="149">
        <f t="shared" si="66"/>
        <v>0</v>
      </c>
      <c r="N80" s="149">
        <f t="shared" si="66"/>
        <v>9.4855855855855857</v>
      </c>
      <c r="O80" s="149">
        <f t="shared" si="66"/>
        <v>9.6657633242999097</v>
      </c>
      <c r="P80" s="149">
        <f t="shared" si="66"/>
        <v>0</v>
      </c>
      <c r="Q80" s="149">
        <f t="shared" si="66"/>
        <v>0</v>
      </c>
      <c r="R80" s="149">
        <f t="shared" ref="R80:AD80" si="67">+R30</f>
        <v>0</v>
      </c>
      <c r="S80" s="149">
        <f t="shared" si="67"/>
        <v>0</v>
      </c>
      <c r="T80" s="149">
        <f t="shared" si="67"/>
        <v>0</v>
      </c>
      <c r="U80" s="149">
        <f t="shared" si="67"/>
        <v>0</v>
      </c>
      <c r="V80" s="149">
        <f t="shared" si="67"/>
        <v>0</v>
      </c>
      <c r="W80" s="149">
        <f t="shared" si="67"/>
        <v>0</v>
      </c>
      <c r="X80" s="149">
        <f t="shared" si="67"/>
        <v>0</v>
      </c>
      <c r="Y80" s="149">
        <f t="shared" si="67"/>
        <v>0</v>
      </c>
      <c r="Z80" s="149">
        <f t="shared" si="67"/>
        <v>0</v>
      </c>
      <c r="AA80" s="149">
        <f t="shared" si="67"/>
        <v>0</v>
      </c>
      <c r="AB80" s="149">
        <f t="shared" si="67"/>
        <v>0</v>
      </c>
      <c r="AC80" s="149">
        <f t="shared" si="67"/>
        <v>0</v>
      </c>
      <c r="AD80" s="149">
        <f t="shared" si="67"/>
        <v>0</v>
      </c>
      <c r="AE80" s="77"/>
    </row>
    <row r="81" spans="1:32" ht="15" customHeight="1" x14ac:dyDescent="0.3">
      <c r="A81" s="77"/>
      <c r="B81" s="77"/>
      <c r="C81" s="113" t="s">
        <v>62</v>
      </c>
      <c r="D81" s="135"/>
      <c r="E81" s="136"/>
      <c r="F81" s="132"/>
      <c r="G81" s="133"/>
      <c r="H81" s="134"/>
      <c r="I81" s="132"/>
      <c r="J81" s="133"/>
      <c r="K81" s="149" t="str">
        <f>IF(K78="","",IF(K79&lt;K78,"Yes","No"))</f>
        <v>Yes</v>
      </c>
      <c r="L81" s="149" t="str">
        <f t="shared" ref="L81:Q81" si="68">IF(L78="","",IF(L79&lt;L78,"Yes","No"))</f>
        <v>Yes</v>
      </c>
      <c r="M81" s="149" t="str">
        <f t="shared" si="68"/>
        <v>Yes</v>
      </c>
      <c r="N81" s="149" t="str">
        <f t="shared" si="68"/>
        <v>Yes</v>
      </c>
      <c r="O81" s="149" t="str">
        <f t="shared" si="68"/>
        <v>Yes</v>
      </c>
      <c r="P81" s="149" t="str">
        <f t="shared" si="68"/>
        <v/>
      </c>
      <c r="Q81" s="149" t="str">
        <f t="shared" si="68"/>
        <v/>
      </c>
      <c r="R81" s="149" t="str">
        <f t="shared" ref="R81:AD81" si="69">IF(R78="","",IF(R79&lt;R78,"Yes","No"))</f>
        <v/>
      </c>
      <c r="S81" s="149" t="str">
        <f t="shared" si="69"/>
        <v/>
      </c>
      <c r="T81" s="149" t="str">
        <f t="shared" si="69"/>
        <v/>
      </c>
      <c r="U81" s="149" t="str">
        <f t="shared" si="69"/>
        <v/>
      </c>
      <c r="V81" s="149" t="str">
        <f t="shared" si="69"/>
        <v/>
      </c>
      <c r="W81" s="149" t="str">
        <f t="shared" si="69"/>
        <v/>
      </c>
      <c r="X81" s="149" t="str">
        <f t="shared" si="69"/>
        <v/>
      </c>
      <c r="Y81" s="149" t="str">
        <f t="shared" si="69"/>
        <v/>
      </c>
      <c r="Z81" s="149" t="str">
        <f t="shared" si="69"/>
        <v/>
      </c>
      <c r="AA81" s="149" t="str">
        <f t="shared" si="69"/>
        <v/>
      </c>
      <c r="AB81" s="149" t="str">
        <f t="shared" si="69"/>
        <v/>
      </c>
      <c r="AC81" s="149" t="str">
        <f t="shared" si="69"/>
        <v/>
      </c>
      <c r="AD81" s="149" t="str">
        <f t="shared" si="69"/>
        <v/>
      </c>
      <c r="AE81" s="77"/>
      <c r="AF81" s="3" t="s">
        <v>69</v>
      </c>
    </row>
    <row r="82" spans="1:32" ht="15" customHeight="1" x14ac:dyDescent="0.3">
      <c r="A82" s="77"/>
      <c r="B82" s="77"/>
      <c r="C82" s="116" t="s">
        <v>64</v>
      </c>
      <c r="D82" s="137"/>
      <c r="E82" s="138"/>
      <c r="F82" s="139"/>
      <c r="G82" s="140"/>
      <c r="H82" s="141"/>
      <c r="I82" s="139"/>
      <c r="J82" s="140"/>
      <c r="K82" s="69">
        <f>IFERROR(K25-((SUM(K54:K60)-K39)/K78),"")</f>
        <v>-75.692307692307693</v>
      </c>
      <c r="L82" s="69">
        <f t="shared" ref="L82:Q82" si="70">IFERROR(L25-((SUM(L54:L60)-L39)/L78),"")</f>
        <v>-76.769230769230774</v>
      </c>
      <c r="M82" s="69">
        <f t="shared" si="70"/>
        <v>-78.346153846153854</v>
      </c>
      <c r="N82" s="69">
        <f t="shared" si="70"/>
        <v>30.007692307692295</v>
      </c>
      <c r="O82" s="69">
        <f t="shared" si="70"/>
        <v>28.392307692307696</v>
      </c>
      <c r="P82" s="69" t="str">
        <f t="shared" si="70"/>
        <v/>
      </c>
      <c r="Q82" s="69" t="str">
        <f t="shared" si="70"/>
        <v/>
      </c>
      <c r="R82" s="69" t="str">
        <f t="shared" ref="R82:AD82" si="71">IFERROR(R25-((SUM(R54:R60)-R39)/R78),"")</f>
        <v/>
      </c>
      <c r="S82" s="69" t="str">
        <f t="shared" si="71"/>
        <v/>
      </c>
      <c r="T82" s="69" t="str">
        <f t="shared" si="71"/>
        <v/>
      </c>
      <c r="U82" s="69" t="str">
        <f t="shared" si="71"/>
        <v/>
      </c>
      <c r="V82" s="69" t="str">
        <f t="shared" si="71"/>
        <v/>
      </c>
      <c r="W82" s="69" t="str">
        <f t="shared" si="71"/>
        <v/>
      </c>
      <c r="X82" s="69" t="str">
        <f t="shared" si="71"/>
        <v/>
      </c>
      <c r="Y82" s="69" t="str">
        <f t="shared" si="71"/>
        <v/>
      </c>
      <c r="Z82" s="69" t="str">
        <f t="shared" si="71"/>
        <v/>
      </c>
      <c r="AA82" s="69" t="str">
        <f t="shared" si="71"/>
        <v/>
      </c>
      <c r="AB82" s="69" t="str">
        <f t="shared" si="71"/>
        <v/>
      </c>
      <c r="AC82" s="69" t="str">
        <f t="shared" si="71"/>
        <v/>
      </c>
      <c r="AD82" s="69" t="str">
        <f t="shared" si="71"/>
        <v/>
      </c>
      <c r="AE82" s="77"/>
    </row>
    <row r="83" spans="1:32" ht="15" customHeight="1" x14ac:dyDescent="0.3">
      <c r="A83" s="77"/>
      <c r="B83" s="77"/>
      <c r="C83" s="4"/>
      <c r="D83" s="135"/>
      <c r="E83" s="136"/>
      <c r="F83" s="132"/>
      <c r="G83" s="133"/>
      <c r="H83" s="134"/>
      <c r="I83" s="132"/>
      <c r="J83" s="133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77"/>
    </row>
    <row r="84" spans="1:32" ht="15" customHeight="1" x14ac:dyDescent="0.3">
      <c r="A84" s="77"/>
      <c r="B84" s="77"/>
      <c r="C84" s="6" t="s">
        <v>70</v>
      </c>
      <c r="D84" s="142"/>
      <c r="E84" s="143"/>
      <c r="F84" s="132"/>
      <c r="G84" s="133"/>
      <c r="H84" s="134"/>
      <c r="I84" s="132"/>
      <c r="J84" s="133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77"/>
    </row>
    <row r="85" spans="1:32" ht="15" customHeight="1" x14ac:dyDescent="0.3">
      <c r="A85" s="77"/>
      <c r="B85" s="77"/>
      <c r="C85" s="150" t="s">
        <v>28</v>
      </c>
      <c r="D85" s="151"/>
      <c r="E85" s="152"/>
      <c r="F85" s="153"/>
      <c r="G85" s="154"/>
      <c r="H85" s="155"/>
      <c r="I85" s="153"/>
      <c r="J85" s="154"/>
      <c r="K85" s="156">
        <v>1</v>
      </c>
      <c r="L85" s="156">
        <v>1</v>
      </c>
      <c r="M85" s="156">
        <v>1</v>
      </c>
      <c r="N85" s="156">
        <v>1</v>
      </c>
      <c r="O85" s="156">
        <v>1</v>
      </c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77"/>
    </row>
    <row r="86" spans="1:32" ht="15" customHeight="1" x14ac:dyDescent="0.3">
      <c r="A86" s="77"/>
      <c r="B86" s="77"/>
      <c r="C86" s="113" t="s">
        <v>60</v>
      </c>
      <c r="D86" s="130"/>
      <c r="E86" s="131"/>
      <c r="F86" s="132"/>
      <c r="G86" s="133"/>
      <c r="H86" s="134"/>
      <c r="I86" s="132"/>
      <c r="J86" s="133"/>
      <c r="K86" s="157">
        <f>+K36</f>
        <v>1.44</v>
      </c>
      <c r="L86" s="157">
        <f t="shared" ref="L86:Q86" si="72">+L36</f>
        <v>1.26</v>
      </c>
      <c r="M86" s="157">
        <f t="shared" si="72"/>
        <v>1.17</v>
      </c>
      <c r="N86" s="157">
        <f t="shared" si="72"/>
        <v>1.1100000000000001</v>
      </c>
      <c r="O86" s="157">
        <f t="shared" si="72"/>
        <v>1.07</v>
      </c>
      <c r="P86" s="157">
        <f t="shared" si="72"/>
        <v>0</v>
      </c>
      <c r="Q86" s="157">
        <f t="shared" si="72"/>
        <v>0</v>
      </c>
      <c r="R86" s="157">
        <f t="shared" ref="R86:AD86" si="73">+R36</f>
        <v>0</v>
      </c>
      <c r="S86" s="157">
        <f t="shared" si="73"/>
        <v>0</v>
      </c>
      <c r="T86" s="157">
        <f t="shared" si="73"/>
        <v>0</v>
      </c>
      <c r="U86" s="157">
        <f t="shared" si="73"/>
        <v>0</v>
      </c>
      <c r="V86" s="157">
        <f t="shared" si="73"/>
        <v>0</v>
      </c>
      <c r="W86" s="157">
        <f t="shared" si="73"/>
        <v>0</v>
      </c>
      <c r="X86" s="157">
        <f t="shared" si="73"/>
        <v>0</v>
      </c>
      <c r="Y86" s="157">
        <f t="shared" si="73"/>
        <v>0</v>
      </c>
      <c r="Z86" s="157">
        <f t="shared" si="73"/>
        <v>0</v>
      </c>
      <c r="AA86" s="157">
        <f t="shared" si="73"/>
        <v>0</v>
      </c>
      <c r="AB86" s="157">
        <f t="shared" si="73"/>
        <v>0</v>
      </c>
      <c r="AC86" s="157">
        <f t="shared" si="73"/>
        <v>0</v>
      </c>
      <c r="AD86" s="157">
        <f t="shared" si="73"/>
        <v>0</v>
      </c>
      <c r="AE86" s="77"/>
    </row>
    <row r="87" spans="1:32" ht="15" customHeight="1" x14ac:dyDescent="0.3">
      <c r="A87" s="77"/>
      <c r="B87" s="77"/>
      <c r="C87" s="116" t="s">
        <v>62</v>
      </c>
      <c r="D87" s="137"/>
      <c r="E87" s="138"/>
      <c r="F87" s="139"/>
      <c r="G87" s="140"/>
      <c r="H87" s="141"/>
      <c r="I87" s="139"/>
      <c r="J87" s="140"/>
      <c r="K87" s="69" t="str">
        <f t="shared" ref="K87:M87" si="74">IF(K85="","",IF(K86&gt;=K85,"Yes","No"))</f>
        <v>Yes</v>
      </c>
      <c r="L87" s="69" t="str">
        <f t="shared" si="74"/>
        <v>Yes</v>
      </c>
      <c r="M87" s="69" t="str">
        <f t="shared" si="74"/>
        <v>Yes</v>
      </c>
      <c r="N87" s="69" t="str">
        <f>IF(N85="","",IF(N86&gt;=N85,"Yes","No"))</f>
        <v>Yes</v>
      </c>
      <c r="O87" s="69" t="str">
        <f t="shared" ref="O87:AD87" si="75">IF(O85="","",IF(O86&lt;O85,"Yes","No"))</f>
        <v>No</v>
      </c>
      <c r="P87" s="69" t="str">
        <f t="shared" si="75"/>
        <v/>
      </c>
      <c r="Q87" s="69" t="str">
        <f t="shared" si="75"/>
        <v/>
      </c>
      <c r="R87" s="69" t="str">
        <f t="shared" si="75"/>
        <v/>
      </c>
      <c r="S87" s="69" t="str">
        <f t="shared" si="75"/>
        <v/>
      </c>
      <c r="T87" s="69" t="str">
        <f t="shared" si="75"/>
        <v/>
      </c>
      <c r="U87" s="69" t="str">
        <f t="shared" si="75"/>
        <v/>
      </c>
      <c r="V87" s="69" t="str">
        <f t="shared" si="75"/>
        <v/>
      </c>
      <c r="W87" s="69" t="str">
        <f t="shared" si="75"/>
        <v/>
      </c>
      <c r="X87" s="69" t="str">
        <f t="shared" si="75"/>
        <v/>
      </c>
      <c r="Y87" s="69" t="str">
        <f t="shared" si="75"/>
        <v/>
      </c>
      <c r="Z87" s="69" t="str">
        <f t="shared" si="75"/>
        <v/>
      </c>
      <c r="AA87" s="69" t="str">
        <f t="shared" si="75"/>
        <v/>
      </c>
      <c r="AB87" s="69" t="str">
        <f t="shared" si="75"/>
        <v/>
      </c>
      <c r="AC87" s="69" t="str">
        <f t="shared" si="75"/>
        <v/>
      </c>
      <c r="AD87" s="69" t="str">
        <f t="shared" si="75"/>
        <v/>
      </c>
      <c r="AE87" s="77"/>
    </row>
    <row r="88" spans="1:32" ht="15" customHeight="1" x14ac:dyDescent="0.3">
      <c r="A88" s="77"/>
      <c r="B88" s="77"/>
      <c r="C88" s="4"/>
      <c r="D88" s="135"/>
      <c r="E88" s="136"/>
      <c r="F88" s="132"/>
      <c r="G88" s="133"/>
      <c r="H88" s="134"/>
      <c r="I88" s="132"/>
      <c r="J88" s="133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77"/>
    </row>
    <row r="89" spans="1:32" ht="15" customHeight="1" x14ac:dyDescent="0.3">
      <c r="A89" s="77"/>
      <c r="B89" s="77"/>
      <c r="C89" s="6" t="s">
        <v>71</v>
      </c>
      <c r="D89" s="142"/>
      <c r="E89" s="143"/>
      <c r="F89" s="132"/>
      <c r="G89" s="133"/>
      <c r="H89" s="134"/>
      <c r="I89" s="132"/>
      <c r="J89" s="133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77"/>
    </row>
    <row r="90" spans="1:32" ht="15" customHeight="1" x14ac:dyDescent="0.3">
      <c r="A90" s="77"/>
      <c r="B90" s="77"/>
      <c r="C90" s="150" t="s">
        <v>67</v>
      </c>
      <c r="D90" s="151"/>
      <c r="E90" s="152"/>
      <c r="F90" s="153"/>
      <c r="G90" s="154"/>
      <c r="H90" s="155"/>
      <c r="I90" s="153"/>
      <c r="J90" s="154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77"/>
    </row>
    <row r="91" spans="1:32" ht="15" customHeight="1" x14ac:dyDescent="0.3">
      <c r="A91" s="77"/>
      <c r="B91" s="77"/>
      <c r="C91" s="113" t="s">
        <v>60</v>
      </c>
      <c r="D91" s="130"/>
      <c r="E91" s="131"/>
      <c r="F91" s="132"/>
      <c r="G91" s="133"/>
      <c r="H91" s="134"/>
      <c r="I91" s="132"/>
      <c r="J91" s="133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77"/>
    </row>
    <row r="92" spans="1:32" ht="15" customHeight="1" x14ac:dyDescent="0.3">
      <c r="A92" s="77"/>
      <c r="B92" s="77"/>
      <c r="C92" s="116" t="s">
        <v>62</v>
      </c>
      <c r="D92" s="137"/>
      <c r="E92" s="138"/>
      <c r="F92" s="139"/>
      <c r="G92" s="140"/>
      <c r="H92" s="141"/>
      <c r="I92" s="139"/>
      <c r="J92" s="140"/>
      <c r="K92" s="69" t="str">
        <f t="shared" ref="K92:AD92" si="76">IF(K90="","",IF(K49&lt;K90,"Yes","No"))</f>
        <v/>
      </c>
      <c r="L92" s="69" t="str">
        <f t="shared" si="76"/>
        <v/>
      </c>
      <c r="M92" s="69" t="str">
        <f t="shared" si="76"/>
        <v/>
      </c>
      <c r="N92" s="69" t="str">
        <f t="shared" si="76"/>
        <v/>
      </c>
      <c r="O92" s="69" t="str">
        <f t="shared" si="76"/>
        <v/>
      </c>
      <c r="P92" s="69" t="str">
        <f t="shared" si="76"/>
        <v/>
      </c>
      <c r="Q92" s="69" t="str">
        <f t="shared" si="76"/>
        <v/>
      </c>
      <c r="R92" s="69" t="str">
        <f t="shared" si="76"/>
        <v/>
      </c>
      <c r="S92" s="69" t="str">
        <f t="shared" si="76"/>
        <v/>
      </c>
      <c r="T92" s="69" t="str">
        <f t="shared" si="76"/>
        <v/>
      </c>
      <c r="U92" s="69" t="str">
        <f t="shared" si="76"/>
        <v/>
      </c>
      <c r="V92" s="69" t="str">
        <f t="shared" si="76"/>
        <v/>
      </c>
      <c r="W92" s="69" t="str">
        <f t="shared" si="76"/>
        <v/>
      </c>
      <c r="X92" s="69" t="str">
        <f t="shared" si="76"/>
        <v/>
      </c>
      <c r="Y92" s="69" t="str">
        <f t="shared" si="76"/>
        <v/>
      </c>
      <c r="Z92" s="69" t="str">
        <f t="shared" si="76"/>
        <v/>
      </c>
      <c r="AA92" s="69" t="str">
        <f t="shared" si="76"/>
        <v/>
      </c>
      <c r="AB92" s="69" t="str">
        <f t="shared" si="76"/>
        <v/>
      </c>
      <c r="AC92" s="69" t="str">
        <f t="shared" si="76"/>
        <v/>
      </c>
      <c r="AD92" s="69" t="str">
        <f t="shared" si="76"/>
        <v/>
      </c>
      <c r="AE92" s="77"/>
    </row>
    <row r="93" spans="1:32" ht="15" customHeight="1" x14ac:dyDescent="0.3">
      <c r="A93" s="77"/>
      <c r="B93" s="77"/>
      <c r="C93" s="4"/>
      <c r="D93" s="135"/>
      <c r="E93" s="136"/>
      <c r="F93" s="132"/>
      <c r="G93" s="133"/>
      <c r="H93" s="134"/>
      <c r="I93" s="132"/>
      <c r="J93" s="133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77"/>
    </row>
    <row r="94" spans="1:32" ht="15" customHeight="1" x14ac:dyDescent="0.3">
      <c r="A94" s="77"/>
      <c r="B94" s="77"/>
      <c r="C94" s="6" t="s">
        <v>72</v>
      </c>
      <c r="D94" s="142"/>
      <c r="E94" s="143"/>
      <c r="F94" s="132"/>
      <c r="G94" s="133"/>
      <c r="H94" s="134"/>
      <c r="I94" s="132"/>
      <c r="J94" s="133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77"/>
    </row>
    <row r="95" spans="1:32" ht="15" customHeight="1" x14ac:dyDescent="0.3">
      <c r="A95" s="77"/>
      <c r="B95" s="77"/>
      <c r="C95" s="150" t="s">
        <v>68</v>
      </c>
      <c r="D95" s="151"/>
      <c r="E95" s="152"/>
      <c r="F95" s="153"/>
      <c r="G95" s="154"/>
      <c r="H95" s="155"/>
      <c r="I95" s="153"/>
      <c r="J95" s="154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77"/>
    </row>
    <row r="96" spans="1:32" ht="15" customHeight="1" x14ac:dyDescent="0.3">
      <c r="A96" s="77"/>
      <c r="B96" s="77"/>
      <c r="C96" s="113" t="s">
        <v>60</v>
      </c>
      <c r="D96" s="130"/>
      <c r="E96" s="131"/>
      <c r="F96" s="132"/>
      <c r="G96" s="133"/>
      <c r="H96" s="134"/>
      <c r="I96" s="132"/>
      <c r="J96" s="133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77"/>
    </row>
    <row r="97" spans="1:31" ht="15" customHeight="1" x14ac:dyDescent="0.3">
      <c r="A97" s="77"/>
      <c r="B97" s="77"/>
      <c r="C97" s="113" t="s">
        <v>62</v>
      </c>
      <c r="D97" s="135"/>
      <c r="E97" s="136"/>
      <c r="F97" s="132"/>
      <c r="G97" s="133"/>
      <c r="H97" s="134"/>
      <c r="I97" s="132"/>
      <c r="J97" s="133"/>
      <c r="K97" s="46" t="str">
        <f t="shared" ref="K97:AD97" si="77">IF(K95="","",IF(K54&lt;K95,"Yes","No"))</f>
        <v/>
      </c>
      <c r="L97" s="46" t="str">
        <f t="shared" si="77"/>
        <v/>
      </c>
      <c r="M97" s="46" t="str">
        <f t="shared" si="77"/>
        <v/>
      </c>
      <c r="N97" s="46" t="str">
        <f t="shared" si="77"/>
        <v/>
      </c>
      <c r="O97" s="46" t="str">
        <f t="shared" si="77"/>
        <v/>
      </c>
      <c r="P97" s="46" t="str">
        <f t="shared" si="77"/>
        <v/>
      </c>
      <c r="Q97" s="46" t="str">
        <f t="shared" si="77"/>
        <v/>
      </c>
      <c r="R97" s="46" t="str">
        <f t="shared" si="77"/>
        <v/>
      </c>
      <c r="S97" s="46" t="str">
        <f t="shared" si="77"/>
        <v/>
      </c>
      <c r="T97" s="46" t="str">
        <f t="shared" si="77"/>
        <v/>
      </c>
      <c r="U97" s="46" t="str">
        <f t="shared" si="77"/>
        <v/>
      </c>
      <c r="V97" s="46" t="str">
        <f t="shared" si="77"/>
        <v/>
      </c>
      <c r="W97" s="46" t="str">
        <f t="shared" si="77"/>
        <v/>
      </c>
      <c r="X97" s="46" t="str">
        <f t="shared" si="77"/>
        <v/>
      </c>
      <c r="Y97" s="46" t="str">
        <f t="shared" si="77"/>
        <v/>
      </c>
      <c r="Z97" s="46" t="str">
        <f t="shared" si="77"/>
        <v/>
      </c>
      <c r="AA97" s="46" t="str">
        <f t="shared" si="77"/>
        <v/>
      </c>
      <c r="AB97" s="46" t="str">
        <f t="shared" si="77"/>
        <v/>
      </c>
      <c r="AC97" s="46" t="str">
        <f t="shared" si="77"/>
        <v/>
      </c>
      <c r="AD97" s="46" t="str">
        <f t="shared" si="77"/>
        <v/>
      </c>
      <c r="AE97" s="77"/>
    </row>
    <row r="98" spans="1:31" ht="15" customHeight="1" x14ac:dyDescent="0.3">
      <c r="A98" s="77"/>
      <c r="B98" s="77"/>
      <c r="C98" s="4"/>
      <c r="D98" s="135"/>
      <c r="E98" s="136"/>
      <c r="F98" s="132"/>
      <c r="G98" s="133"/>
      <c r="H98" s="134"/>
      <c r="I98" s="132"/>
      <c r="J98" s="133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77"/>
    </row>
    <row r="99" spans="1:31" ht="16.95" customHeight="1" x14ac:dyDescent="0.3">
      <c r="A99" s="77"/>
      <c r="B99" s="77"/>
      <c r="C99" s="144" t="s">
        <v>73</v>
      </c>
      <c r="D99" s="145"/>
      <c r="E99" s="145"/>
      <c r="F99" s="145"/>
      <c r="G99" s="146"/>
      <c r="H99" s="147"/>
      <c r="I99" s="145"/>
      <c r="J99" s="146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77"/>
    </row>
    <row r="100" spans="1:31" ht="15" customHeight="1" x14ac:dyDescent="0.3">
      <c r="A100" s="77"/>
      <c r="B100" s="77"/>
      <c r="C100" s="6"/>
      <c r="D100" s="142"/>
      <c r="E100" s="143"/>
      <c r="F100" s="132"/>
      <c r="G100" s="133"/>
      <c r="H100" s="134"/>
      <c r="I100" s="132"/>
      <c r="J100" s="133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77"/>
    </row>
    <row r="101" spans="1:31" ht="15" customHeight="1" x14ac:dyDescent="0.3">
      <c r="A101" s="77"/>
      <c r="B101" s="77"/>
      <c r="C101" s="113" t="s">
        <v>74</v>
      </c>
      <c r="D101" s="130"/>
      <c r="E101" s="131"/>
      <c r="F101" s="132"/>
      <c r="G101" s="133"/>
      <c r="H101" s="134"/>
      <c r="I101" s="132"/>
      <c r="J101" s="133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77"/>
    </row>
    <row r="102" spans="1:31" ht="15" customHeight="1" x14ac:dyDescent="0.3">
      <c r="A102" s="77"/>
      <c r="B102" s="77"/>
      <c r="C102" s="113" t="s">
        <v>78</v>
      </c>
      <c r="D102" s="130"/>
      <c r="E102" s="131"/>
      <c r="F102" s="132"/>
      <c r="G102" s="133"/>
      <c r="H102" s="134"/>
      <c r="I102" s="132"/>
      <c r="J102" s="133"/>
      <c r="K102" s="117"/>
      <c r="L102" s="117"/>
      <c r="M102" s="117"/>
      <c r="N102" s="176">
        <v>111.1</v>
      </c>
      <c r="O102" s="176">
        <v>110.7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77"/>
    </row>
    <row r="103" spans="1:31" ht="15" customHeight="1" x14ac:dyDescent="0.3">
      <c r="A103" s="77"/>
      <c r="B103" s="77"/>
      <c r="C103" s="113"/>
      <c r="D103" s="130"/>
      <c r="E103" s="131"/>
      <c r="F103" s="132"/>
      <c r="G103" s="133"/>
      <c r="H103" s="134"/>
      <c r="I103" s="132"/>
      <c r="J103" s="133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77"/>
    </row>
    <row r="104" spans="1:31" ht="15" customHeight="1" x14ac:dyDescent="0.3">
      <c r="A104" s="77"/>
      <c r="B104" s="77"/>
      <c r="C104" s="113"/>
      <c r="D104" s="130"/>
      <c r="E104" s="131"/>
      <c r="F104" s="132"/>
      <c r="G104" s="133"/>
      <c r="H104" s="134"/>
      <c r="I104" s="132"/>
      <c r="J104" s="133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77"/>
    </row>
    <row r="105" spans="1:31" ht="15" customHeight="1" x14ac:dyDescent="0.3">
      <c r="A105" s="77"/>
      <c r="B105" s="77"/>
      <c r="C105" s="113"/>
      <c r="D105" s="130"/>
      <c r="E105" s="131"/>
      <c r="F105" s="132"/>
      <c r="G105" s="133"/>
      <c r="H105" s="134"/>
      <c r="I105" s="132"/>
      <c r="J105" s="133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77"/>
    </row>
    <row r="106" spans="1:31" ht="15" customHeight="1" x14ac:dyDescent="0.3">
      <c r="A106" s="77"/>
      <c r="B106" s="77"/>
      <c r="C106" s="113"/>
      <c r="D106" s="130"/>
      <c r="E106" s="131"/>
      <c r="F106" s="132"/>
      <c r="G106" s="133"/>
      <c r="H106" s="134"/>
      <c r="I106" s="132"/>
      <c r="J106" s="133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77"/>
    </row>
    <row r="107" spans="1:31" ht="15" customHeight="1" x14ac:dyDescent="0.3">
      <c r="A107" s="77"/>
      <c r="B107" s="77"/>
      <c r="C107" s="113"/>
      <c r="D107" s="130"/>
      <c r="E107" s="131"/>
      <c r="F107" s="132"/>
      <c r="G107" s="133"/>
      <c r="H107" s="134"/>
      <c r="I107" s="132"/>
      <c r="J107" s="133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77"/>
    </row>
    <row r="108" spans="1:31" ht="15" customHeight="1" x14ac:dyDescent="0.3">
      <c r="A108" s="77"/>
      <c r="B108" s="77"/>
      <c r="C108" s="113"/>
      <c r="D108" s="130"/>
      <c r="E108" s="131"/>
      <c r="F108" s="132"/>
      <c r="G108" s="133"/>
      <c r="H108" s="134"/>
      <c r="I108" s="132"/>
      <c r="J108" s="133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77"/>
    </row>
    <row r="109" spans="1:31" ht="15" customHeight="1" x14ac:dyDescent="0.3">
      <c r="A109" s="77"/>
      <c r="B109" s="77"/>
      <c r="C109" s="113"/>
      <c r="D109" s="130"/>
      <c r="E109" s="131"/>
      <c r="F109" s="132"/>
      <c r="G109" s="133"/>
      <c r="H109" s="134"/>
      <c r="I109" s="132"/>
      <c r="J109" s="133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77"/>
    </row>
    <row r="110" spans="1:31" ht="15" customHeight="1" x14ac:dyDescent="0.3">
      <c r="A110" s="77"/>
      <c r="B110" s="77"/>
      <c r="C110" s="113"/>
      <c r="D110" s="130"/>
      <c r="E110" s="131"/>
      <c r="F110" s="132"/>
      <c r="G110" s="133"/>
      <c r="H110" s="134"/>
      <c r="I110" s="132"/>
      <c r="J110" s="133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77"/>
    </row>
    <row r="111" spans="1:31" ht="15" customHeight="1" x14ac:dyDescent="0.3">
      <c r="A111" s="77"/>
      <c r="B111" s="77"/>
      <c r="C111" s="113"/>
      <c r="D111" s="130"/>
      <c r="E111" s="131"/>
      <c r="F111" s="132"/>
      <c r="G111" s="133"/>
      <c r="H111" s="134"/>
      <c r="I111" s="132"/>
      <c r="J111" s="133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77"/>
    </row>
    <row r="112" spans="1:31" ht="16.95" customHeight="1" x14ac:dyDescent="0.3">
      <c r="A112" s="77"/>
      <c r="B112" s="77"/>
      <c r="C112" s="144" t="s">
        <v>75</v>
      </c>
      <c r="D112" s="145"/>
      <c r="E112" s="145"/>
      <c r="F112" s="145"/>
      <c r="G112" s="146"/>
      <c r="H112" s="147"/>
      <c r="I112" s="145"/>
      <c r="J112" s="146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77"/>
    </row>
    <row r="113" spans="1:31" ht="15" customHeight="1" x14ac:dyDescent="0.3">
      <c r="A113" s="77"/>
      <c r="B113" s="77"/>
      <c r="C113" s="158"/>
      <c r="D113" s="162"/>
      <c r="E113" s="163"/>
      <c r="F113" s="164"/>
      <c r="G113" s="165"/>
      <c r="H113" s="166"/>
      <c r="I113" s="164"/>
      <c r="J113" s="165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77"/>
    </row>
    <row r="114" spans="1:31" ht="15" customHeight="1" x14ac:dyDescent="0.3">
      <c r="A114" s="77"/>
      <c r="B114" s="77"/>
      <c r="C114" s="158"/>
      <c r="D114" s="162"/>
      <c r="E114" s="163"/>
      <c r="F114" s="164"/>
      <c r="G114" s="165"/>
      <c r="H114" s="166"/>
      <c r="I114" s="164"/>
      <c r="J114" s="165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77"/>
    </row>
    <row r="115" spans="1:31" ht="15" customHeight="1" x14ac:dyDescent="0.3">
      <c r="A115" s="77"/>
      <c r="B115" s="77"/>
      <c r="C115" s="159"/>
      <c r="D115" s="167"/>
      <c r="E115" s="168"/>
      <c r="F115" s="169"/>
      <c r="G115" s="170"/>
      <c r="H115" s="171"/>
      <c r="I115" s="169"/>
      <c r="J115" s="170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77"/>
    </row>
    <row r="116" spans="1:31" ht="15" customHeight="1" x14ac:dyDescent="0.3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 spans="1:31" x14ac:dyDescent="0.3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</sheetData>
  <sortState xmlns:xlrd2="http://schemas.microsoft.com/office/spreadsheetml/2017/richdata2" ref="I3:P3">
    <sortCondition ref="I3"/>
  </sortState>
  <dataConsolidate/>
  <phoneticPr fontId="9" type="noConversion"/>
  <dataValidations disablePrompts="1" count="2">
    <dataValidation type="list" allowBlank="1" showInputMessage="1" showErrorMessage="1" sqref="H3" xr:uid="{00000000-0002-0000-0000-000000000000}">
      <formula1>"AUD, CAD, CHF, EUR, GBP, JPY, NZD, SEK, USD"</formula1>
    </dataValidation>
    <dataValidation type="list" allowBlank="1" showInputMessage="1" showErrorMessage="1" sqref="C71 C90 C78 C85 C95" xr:uid="{00000000-0002-0000-0000-000001000000}">
      <formula1>"Cov-lite, Leverage (Total), Leverage (Senior), FCCR, Capex, Minimum Liquidity, Other"</formula1>
    </dataValidation>
  </dataValidations>
  <pageMargins left="0.7" right="0.7" top="0.75" bottom="0.75" header="0.3" footer="0.3"/>
  <pageSetup orientation="portrait" r:id="rId1"/>
  <ignoredErrors>
    <ignoredError sqref="G19:J19 L11 L14 G9 G17:G18" formulaRange="1"/>
    <ignoredError sqref="G11:K11 G14:K14 G13 G12 G15:G16" formula="1" formulaRange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FDFF2AE90D9B419DF32399E9A81B3C" ma:contentTypeVersion="14" ma:contentTypeDescription="Create a new document." ma:contentTypeScope="" ma:versionID="bf931e7581c643b23b8c75b3c373e55e">
  <xsd:schema xmlns:xsd="http://www.w3.org/2001/XMLSchema" xmlns:xs="http://www.w3.org/2001/XMLSchema" xmlns:p="http://schemas.microsoft.com/office/2006/metadata/properties" xmlns:ns2="0fcbdc3a-1145-44ec-b011-ef30b0087e2e" xmlns:ns3="1c1e471c-74ac-4c13-ae5d-470fe26e3bb4" targetNamespace="http://schemas.microsoft.com/office/2006/metadata/properties" ma:root="true" ma:fieldsID="6d0b07544ff5dc87b15251bc396cf452" ns2:_="" ns3:_="">
    <xsd:import namespace="0fcbdc3a-1145-44ec-b011-ef30b0087e2e"/>
    <xsd:import namespace="1c1e471c-74ac-4c13-ae5d-470fe26e3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bdc3a-1145-44ec-b011-ef30b0087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04e0896-4a6c-4c9a-8c47-9b766887c9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471c-74ac-4c13-ae5d-470fe26e3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defa819-06af-4fc3-be29-9f2ee983ef00}" ma:internalName="TaxCatchAll" ma:showField="CatchAllData" ma:web="1c1e471c-74ac-4c13-ae5d-470fe26e3b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cbdc3a-1145-44ec-b011-ef30b0087e2e">
      <Terms xmlns="http://schemas.microsoft.com/office/infopath/2007/PartnerControls"/>
    </lcf76f155ced4ddcb4097134ff3c332f>
    <TaxCatchAll xmlns="1c1e471c-74ac-4c13-ae5d-470fe26e3bb4" xsi:nil="true"/>
  </documentManagement>
</p:properties>
</file>

<file path=customXml/itemProps1.xml><?xml version="1.0" encoding="utf-8"?>
<ds:datastoreItem xmlns:ds="http://schemas.openxmlformats.org/officeDocument/2006/customXml" ds:itemID="{DB3CE384-ED64-4C09-89C2-653239FEDE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DDFABC-599D-40D4-A3AF-3CD7AC028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bdc3a-1145-44ec-b011-ef30b0087e2e"/>
    <ds:schemaRef ds:uri="1c1e471c-74ac-4c13-ae5d-470fe26e3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AC0284-D5B1-4AE1-9E5F-397F4AB61C1D}">
  <ds:schemaRefs>
    <ds:schemaRef ds:uri="http://schemas.microsoft.com/office/2006/metadata/properties"/>
    <ds:schemaRef ds:uri="http://schemas.microsoft.com/office/infopath/2007/PartnerControls"/>
    <ds:schemaRef ds:uri="0fcbdc3a-1145-44ec-b011-ef30b0087e2e"/>
    <ds:schemaRef ds:uri="1c1e471c-74ac-4c13-ae5d-470fe26e3b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American Academy (aka AAPC)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Conor Cuddy</dc:creator>
  <cp:keywords/>
  <dc:description/>
  <cp:lastModifiedBy>Luv Ratan</cp:lastModifiedBy>
  <cp:revision/>
  <dcterms:created xsi:type="dcterms:W3CDTF">2023-05-19T18:52:44Z</dcterms:created>
  <dcterms:modified xsi:type="dcterms:W3CDTF">2024-07-26T10:28:46Z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{14FF0A7C-0B84-4E29-A040-A39F40E0CECC}</vt:lpwstr>
  </property>
  <property fmtid="{D5CDD505-2E9C-101B-9397-08002B2CF9AE}" pid="3" name="ContentTypeId">
    <vt:lpwstr>0x010100A3FDFF2AE90D9B419DF32399E9A81B3C</vt:lpwstr>
  </property>
  <property fmtid="{D5CDD505-2E9C-101B-9397-08002B2CF9AE}" pid="4" name="Order">
    <vt:r8>7800</vt:r8>
  </property>
  <property fmtid="{D5CDD505-2E9C-101B-9397-08002B2CF9AE}" pid="5" name="MediaServiceImageTags">
    <vt:lpwstr/>
  </property>
</Properties>
</file>