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TG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NTM">6000</definedName>
    <definedName name="IQ_TODAY">0</definedName>
    <definedName name="IQ_WEEK">50000</definedName>
    <definedName name="IQ_YTD">3000</definedName>
    <definedName name="IQ_YTDMONTH">130000</definedName>
  </definedNames>
  <calcPr fullCalcOnLoad="1"/>
</workbook>
</file>

<file path=xl/sharedStrings.xml><?xml version="1.0" encoding="utf-8"?>
<sst xmlns="http://schemas.openxmlformats.org/spreadsheetml/2006/main" count="98" uniqueCount="79">
  <si>
    <t>--&gt; don’t delete</t>
  </si>
  <si>
    <t>Fiscal Start</t>
  </si>
  <si>
    <t>Fiscal End</t>
  </si>
  <si>
    <t>USD</t>
  </si>
  <si>
    <t>No.s in Millions</t>
  </si>
  <si>
    <t>Armstrong Transport Group, LLC</t>
  </si>
  <si>
    <t>Armstrong Transport</t>
  </si>
  <si>
    <t>Closing Date</t>
  </si>
  <si>
    <t>Quarterly</t>
  </si>
  <si>
    <t xml:space="preserve">P&amp;L </t>
  </si>
  <si>
    <t xml:space="preserve">Net Revenue </t>
  </si>
  <si>
    <t>COGS</t>
  </si>
  <si>
    <t xml:space="preserve">Gross Profit </t>
  </si>
  <si>
    <t>OpEx</t>
  </si>
  <si>
    <t>Adjustments</t>
  </si>
  <si>
    <t>Adj. EBITDA</t>
  </si>
  <si>
    <t>CapEx</t>
  </si>
  <si>
    <t>Taxes</t>
  </si>
  <si>
    <t>Cash Interest Expense</t>
  </si>
  <si>
    <t>Incr./(Decr.) in Working Capital</t>
  </si>
  <si>
    <t xml:space="preserve">Levered Free Cash Flow </t>
  </si>
  <si>
    <t xml:space="preserve">Gross Margin </t>
  </si>
  <si>
    <t xml:space="preserve">Adj. EBITDA Margin </t>
  </si>
  <si>
    <t>TTM Metrics</t>
  </si>
  <si>
    <t>Revenue</t>
  </si>
  <si>
    <t>Credit Metrics</t>
  </si>
  <si>
    <t>Interest Coverage</t>
  </si>
  <si>
    <t>1L Net Leverage</t>
  </si>
  <si>
    <t>Total Net Leverage</t>
  </si>
  <si>
    <t>Company Provided Metrics</t>
  </si>
  <si>
    <t>FCCR</t>
  </si>
  <si>
    <t xml:space="preserve">Balance Sheet </t>
  </si>
  <si>
    <t xml:space="preserve">Cash </t>
  </si>
  <si>
    <t>A/R</t>
  </si>
  <si>
    <t>Inventory</t>
  </si>
  <si>
    <t>Other Current Assets</t>
  </si>
  <si>
    <t>Total Current Assets</t>
  </si>
  <si>
    <t xml:space="preserve">PPE </t>
  </si>
  <si>
    <t>Other Assets</t>
  </si>
  <si>
    <t>Intagibles</t>
  </si>
  <si>
    <t>Total Assets</t>
  </si>
  <si>
    <t>AP</t>
  </si>
  <si>
    <t>Other Current Liabilities</t>
  </si>
  <si>
    <t>Total Current Liabilities</t>
  </si>
  <si>
    <t>Revolver</t>
  </si>
  <si>
    <r>
      <t xml:space="preserve">First Lien Debt </t>
    </r>
    <r>
      <rPr>
        <sz val="9"/>
        <color rgb="FF000000"/>
        <rFont val="Calibri"/>
        <family val="2"/>
        <scheme val="minor"/>
      </rPr>
      <t>(DDTL/TL/Pari 1L Debt)</t>
    </r>
  </si>
  <si>
    <r>
      <t xml:space="preserve">Other 1L Debt </t>
    </r>
    <r>
      <rPr>
        <sz val="9"/>
        <color rgb="FF000000"/>
        <rFont val="Calibri"/>
        <family val="2"/>
        <scheme val="minor"/>
      </rPr>
      <t>(Cap Leases, Earnout)</t>
    </r>
  </si>
  <si>
    <t xml:space="preserve">2L Debt </t>
  </si>
  <si>
    <t xml:space="preserve">Junior/Subordinated Debt </t>
  </si>
  <si>
    <t>Holdco Debt</t>
  </si>
  <si>
    <t>Other Long-term Liabilities</t>
  </si>
  <si>
    <t>Other Liabilities</t>
  </si>
  <si>
    <t>Total Liabilities</t>
  </si>
  <si>
    <t xml:space="preserve">Preferred Equity </t>
  </si>
  <si>
    <t>Equity</t>
  </si>
  <si>
    <t>Total Liabilities &amp; Equity</t>
  </si>
  <si>
    <t>Check</t>
  </si>
  <si>
    <t>Covenants</t>
  </si>
  <si>
    <t>Covenant #1</t>
  </si>
  <si>
    <t>Leverage (Senior)</t>
  </si>
  <si>
    <t>Cov-lite</t>
  </si>
  <si>
    <t>NA</t>
  </si>
  <si>
    <t>Company Reported Complaince</t>
  </si>
  <si>
    <t xml:space="preserve">Calculated Complaince </t>
  </si>
  <si>
    <t xml:space="preserve">In Compliance </t>
  </si>
  <si>
    <t>Leverage (Total)</t>
  </si>
  <si>
    <t xml:space="preserve">EBITDA Cushion </t>
  </si>
  <si>
    <t>Fixed Charge Coverage</t>
  </si>
  <si>
    <t>Covenant #2</t>
  </si>
  <si>
    <t>Capex</t>
  </si>
  <si>
    <t>Minimum Liquidity</t>
  </si>
  <si>
    <t>Other</t>
  </si>
  <si>
    <t>Covenant #3</t>
  </si>
  <si>
    <t>Covenant #4</t>
  </si>
  <si>
    <t>Covenant #5</t>
  </si>
  <si>
    <t>Additional Information</t>
  </si>
  <si>
    <t>PIK Interest ($)</t>
  </si>
  <si>
    <t>LTM Compliance EBITDA</t>
  </si>
  <si>
    <t>Analyst 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</si>
</sst>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7">
    <numFmt numFmtId="164" formatCode="today's date - mm/dd/yy"/>
    <numFmt numFmtId="165" formatCode="#,##0.0"/>
    <numFmt numFmtId="166" formatCode="mm/dd/yy"/>
    <numFmt numFmtId="167" formatCode="#,##0.0%"/>
    <numFmt numFmtId="168" formatCode="Today's daA/Pe - mm/dd/yy"/>
    <numFmt numFmtId="169" formatCode="m/d/yy"/>
    <numFmt numFmtId="170" formatCode="#,##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9"/>
      <color rgb="FF000000"/>
      <name val="Calibri"/>
      <family val="2"/>
    </font>
    <font>
      <sz val="9"/>
      <color rgb="FFc00000"/>
      <name val="Calibri"/>
      <family val="2"/>
    </font>
    <font>
      <b/>
      <sz val="11"/>
      <color rgb="FF000000"/>
      <name val="Calibri"/>
      <family val="2"/>
    </font>
    <font>
      <b/>
      <sz val="10"/>
      <color rgb="FFdae3f3"/>
      <name val="Calibri"/>
      <family val="2"/>
    </font>
    <font>
      <b/>
      <sz val="10"/>
      <color rgb="FFfff2cc"/>
      <name val="Calibri"/>
      <family val="2"/>
    </font>
    <font>
      <b/>
      <sz val="11"/>
      <color rgb="FFfff2cc"/>
      <name val="Calibri"/>
      <family val="2"/>
    </font>
    <font>
      <i/>
      <sz val="10"/>
      <color rgb="FFdae3f3"/>
      <name val="Calibri"/>
      <family val="2"/>
    </font>
    <font>
      <b/>
      <u/>
      <sz val="11"/>
      <color rgb="FFfff2cc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472c4"/>
      <name val="Calibri"/>
      <family val="2"/>
    </font>
    <font>
      <i/>
      <sz val="11"/>
      <color rgb="FF000000"/>
      <name val="Calibri"/>
      <family val="2"/>
    </font>
    <font>
      <i/>
      <sz val="10"/>
      <color rgb="FFa6a6a6"/>
      <name val="Calibri"/>
      <family val="2"/>
    </font>
    <font>
      <u/>
      <sz val="11"/>
      <color rgb="FF00206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2060"/>
      </patternFill>
    </fill>
    <fill>
      <patternFill patternType="solid">
        <fgColor rgb="FF1f4e79"/>
      </patternFill>
    </fill>
    <fill>
      <patternFill patternType="solid">
        <fgColor rgb="FFbdd7ee"/>
      </patternFill>
    </fill>
    <fill>
      <patternFill patternType="solid">
        <fgColor rgb="FFffffff"/>
      </patternFill>
    </fill>
    <fill>
      <patternFill patternType="solid">
        <fgColor rgb="FFededed"/>
      </patternFill>
    </fill>
    <fill>
      <patternFill patternType="solid">
        <fgColor rgb="FFd6dce5"/>
      </patternFill>
    </fill>
    <fill>
      <patternFill patternType="solid">
        <fgColor rgb="FFdeebf7"/>
      </patternFill>
    </fill>
  </fills>
  <borders count="19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dae3f3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dae3f3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dae3f3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dotted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tted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dotted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153">
    <xf xfId="0" numFmtId="0" borderId="0" fontId="0" fillId="0"/>
    <xf xfId="0" numFmtId="0" borderId="1" applyBorder="1" fontId="1" applyFont="1" fillId="2" applyFill="1" applyAlignment="1">
      <alignment horizontal="left"/>
    </xf>
    <xf xfId="0" numFmtId="164" applyNumberFormat="1" borderId="1" applyBorder="1" fontId="2" applyFont="1" fillId="2" applyFill="1" applyAlignment="1">
      <alignment horizontal="center"/>
    </xf>
    <xf xfId="0" numFmtId="165" applyNumberFormat="1" borderId="1" applyBorder="1" fontId="2" applyFont="1" fillId="2" applyFill="1" applyAlignment="1">
      <alignment horizontal="center"/>
    </xf>
    <xf xfId="0" numFmtId="165" applyNumberFormat="1" borderId="1" applyBorder="1" fontId="1" applyFont="1" fillId="2" applyFill="1" applyAlignment="1">
      <alignment horizontal="left"/>
    </xf>
    <xf xfId="0" numFmtId="166" applyNumberFormat="1" borderId="1" applyBorder="1" fontId="3" applyFont="1" fillId="2" applyFill="1" applyAlignment="1">
      <alignment horizontal="center"/>
    </xf>
    <xf xfId="0" numFmtId="167" applyNumberFormat="1" borderId="1" applyBorder="1" fontId="3" applyFont="1" fillId="2" applyFill="1" applyAlignment="1">
      <alignment horizontal="center"/>
    </xf>
    <xf xfId="0" numFmtId="165" applyNumberFormat="1" borderId="1" applyBorder="1" fontId="3" applyFont="1" fillId="2" applyFill="1" applyAlignment="1">
      <alignment horizontal="center"/>
    </xf>
    <xf xfId="0" numFmtId="3" applyNumberFormat="1" borderId="1" applyBorder="1" fontId="3" applyFont="1" fillId="2" applyFill="1" applyAlignment="1">
      <alignment horizontal="center"/>
    </xf>
    <xf xfId="0" numFmtId="0" borderId="0" fontId="0" fillId="0" applyAlignment="1">
      <alignment horizontal="general"/>
    </xf>
    <xf xfId="0" numFmtId="167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0" borderId="1" applyBorder="1" fontId="4" applyFont="1" fillId="2" applyFill="1" applyAlignment="1">
      <alignment horizontal="left"/>
    </xf>
    <xf xfId="0" numFmtId="168" applyNumberFormat="1" borderId="2" applyBorder="1" fontId="5" applyFont="1" fillId="3" applyFill="1" applyAlignment="1">
      <alignment horizontal="center"/>
    </xf>
    <xf xfId="0" numFmtId="165" applyNumberFormat="1" borderId="2" applyBorder="1" fontId="5" applyFont="1" fillId="3" applyFill="1" applyAlignment="1">
      <alignment horizontal="center"/>
    </xf>
    <xf xfId="0" numFmtId="166" applyNumberFormat="1" borderId="3" applyBorder="1" fontId="6" applyFont="1" fillId="4" applyFill="1" applyAlignment="1">
      <alignment horizontal="center"/>
    </xf>
    <xf xfId="0" numFmtId="165" applyNumberFormat="1" borderId="4" applyBorder="1" fontId="5" applyFont="1" fillId="3" applyFill="1" applyAlignment="1">
      <alignment horizontal="center"/>
    </xf>
    <xf xfId="0" numFmtId="166" applyNumberFormat="1" borderId="4" applyBorder="1" fontId="6" applyFont="1" fillId="3" applyFill="1" applyAlignment="1">
      <alignment horizontal="center"/>
    </xf>
    <xf xfId="0" numFmtId="167" applyNumberFormat="1" borderId="5" applyBorder="1" fontId="7" applyFont="1" fillId="4" applyFill="1" applyAlignment="1">
      <alignment horizontal="center"/>
    </xf>
    <xf xfId="0" numFmtId="167" applyNumberFormat="1" borderId="6" applyBorder="1" fontId="8" applyFont="1" fillId="3" applyFill="1" applyAlignment="1">
      <alignment horizontal="center"/>
    </xf>
    <xf xfId="0" numFmtId="169" applyNumberFormat="1" borderId="1" applyBorder="1" fontId="4" applyFont="1" fillId="2" applyFill="1" applyAlignment="1">
      <alignment horizontal="left"/>
    </xf>
    <xf xfId="0" numFmtId="170" applyNumberFormat="1" borderId="1" applyBorder="1" fontId="4" applyFont="1" fillId="2" applyFill="1" applyAlignment="1">
      <alignment horizontal="right"/>
    </xf>
    <xf xfId="0" numFmtId="165" applyNumberFormat="1" borderId="1" applyBorder="1" fontId="4" applyFont="1" fillId="2" applyFill="1" applyAlignment="1">
      <alignment horizontal="left"/>
    </xf>
    <xf xfId="0" numFmtId="4" applyNumberFormat="1" borderId="1" applyBorder="1" fontId="4" applyFont="1" fillId="2" applyFill="1" applyAlignment="1">
      <alignment horizontal="left"/>
    </xf>
    <xf xfId="0" numFmtId="164" applyNumberFormat="1" borderId="1" applyBorder="1" fontId="9" applyFont="1" fillId="3" applyFill="1" applyAlignment="1">
      <alignment horizontal="center"/>
    </xf>
    <xf xfId="0" numFmtId="165" applyNumberFormat="1" borderId="1" applyBorder="1" fontId="10" applyFont="1" fillId="3" applyFill="1" applyAlignment="1">
      <alignment horizontal="left" wrapText="1"/>
    </xf>
    <xf xfId="0" numFmtId="165" applyNumberFormat="1" borderId="7" applyBorder="1" fontId="10" applyFont="1" fillId="3" applyFill="1" applyAlignment="1">
      <alignment horizontal="left" wrapText="1"/>
    </xf>
    <xf xfId="0" numFmtId="167" applyNumberFormat="1" borderId="1" applyBorder="1" fontId="10" applyFont="1" fillId="3" applyFill="1" applyAlignment="1">
      <alignment horizontal="left" wrapText="1"/>
    </xf>
    <xf xfId="0" numFmtId="166" applyNumberFormat="1" borderId="1" applyBorder="1" fontId="10" applyFont="1" fillId="3" applyFill="1" applyAlignment="1">
      <alignment horizontal="left" wrapText="1"/>
    </xf>
    <xf xfId="0" numFmtId="165" applyNumberFormat="1" borderId="7" applyBorder="1" fontId="10" applyFont="1" fillId="3" applyFill="1" applyAlignment="1">
      <alignment horizontal="left"/>
    </xf>
    <xf xfId="0" numFmtId="165" applyNumberFormat="1" borderId="1" applyBorder="1" fontId="10" applyFont="1" fillId="3" applyFill="1" applyAlignment="1">
      <alignment horizontal="center" wrapText="1"/>
    </xf>
    <xf xfId="0" numFmtId="4" applyNumberFormat="1" borderId="1" applyBorder="1" fontId="10" applyFont="1" fillId="3" applyFill="1" applyAlignment="1">
      <alignment horizontal="left" wrapText="1"/>
    </xf>
    <xf xfId="0" numFmtId="164" applyNumberFormat="1" borderId="1" applyBorder="1" fontId="7" applyFont="1" fillId="3" applyFill="1" applyAlignment="1">
      <alignment horizontal="center"/>
    </xf>
    <xf xfId="0" numFmtId="3" applyNumberFormat="1" borderId="1" applyBorder="1" fontId="10" applyFont="1" fillId="3" applyFill="1" applyAlignment="1">
      <alignment horizontal="center" wrapText="1"/>
    </xf>
    <xf xfId="0" numFmtId="3" applyNumberFormat="1" borderId="7" applyBorder="1" fontId="10" applyFont="1" fillId="3" applyFill="1" applyAlignment="1">
      <alignment horizontal="center" wrapText="1"/>
    </xf>
    <xf xfId="0" numFmtId="167" applyNumberFormat="1" borderId="1" applyBorder="1" fontId="1" applyFont="1" fillId="3" applyFill="1" applyAlignment="1">
      <alignment horizontal="left"/>
    </xf>
    <xf xfId="0" numFmtId="165" applyNumberFormat="1" borderId="7" applyBorder="1" fontId="10" applyFont="1" fillId="3" applyFill="1" applyAlignment="1">
      <alignment horizontal="center" wrapText="1"/>
    </xf>
    <xf xfId="0" numFmtId="4" applyNumberFormat="1" borderId="1" applyBorder="1" fontId="10" applyFont="1" fillId="3" applyFill="1" applyAlignment="1">
      <alignment horizontal="center" wrapText="1"/>
    </xf>
    <xf xfId="0" numFmtId="0" borderId="1" applyBorder="1" fontId="11" applyFont="1" fillId="2" applyFill="1" applyAlignment="1">
      <alignment horizontal="center"/>
    </xf>
    <xf xfId="0" numFmtId="164" applyNumberFormat="1" borderId="1" applyBorder="1" fontId="12" applyFont="1" fillId="3" applyFill="1" applyAlignment="1">
      <alignment horizontal="center"/>
    </xf>
    <xf xfId="0" numFmtId="14" applyNumberFormat="1" borderId="1" applyBorder="1" fontId="12" applyFont="1" fillId="3" applyFill="1" applyAlignment="1">
      <alignment horizontal="center"/>
    </xf>
    <xf xfId="0" numFmtId="14" applyNumberFormat="1" borderId="7" applyBorder="1" fontId="12" applyFont="1" fillId="3" applyFill="1" applyAlignment="1">
      <alignment horizontal="center"/>
    </xf>
    <xf xfId="0" numFmtId="167" applyNumberFormat="1" borderId="1" applyBorder="1" fontId="10" applyFont="1" fillId="3" applyFill="1" applyAlignment="1">
      <alignment horizontal="center" wrapText="1"/>
    </xf>
    <xf xfId="0" numFmtId="165" applyNumberFormat="1" borderId="7" applyBorder="1" fontId="10" applyFont="1" fillId="3" applyFill="1" applyAlignment="1">
      <alignment horizontal="center"/>
    </xf>
    <xf xfId="0" numFmtId="14" applyNumberFormat="1" borderId="1" applyBorder="1" fontId="6" applyFont="1" fillId="4" applyFill="1" applyAlignment="1">
      <alignment horizontal="center"/>
    </xf>
    <xf xfId="0" numFmtId="164" applyNumberFormat="1" borderId="8" applyBorder="1" fontId="13" applyFont="1" fillId="5" applyFill="1" applyAlignment="1">
      <alignment horizontal="left"/>
    </xf>
    <xf xfId="0" numFmtId="165" applyNumberFormat="1" borderId="9" applyBorder="1" fontId="14" applyFont="1" fillId="5" applyFill="1" applyAlignment="1">
      <alignment horizontal="left"/>
    </xf>
    <xf xfId="0" numFmtId="165" applyNumberFormat="1" borderId="10" applyBorder="1" fontId="14" applyFont="1" fillId="5" applyFill="1" applyAlignment="1">
      <alignment horizontal="left"/>
    </xf>
    <xf xfId="0" numFmtId="167" applyNumberFormat="1" borderId="11" applyBorder="1" fontId="14" applyFont="1" fillId="5" applyFill="1" applyAlignment="1">
      <alignment horizontal="left"/>
    </xf>
    <xf xfId="0" numFmtId="167" applyNumberFormat="1" borderId="9" applyBorder="1" fontId="14" applyFont="1" fillId="5" applyFill="1" applyAlignment="1">
      <alignment horizontal="left"/>
    </xf>
    <xf xfId="0" numFmtId="4" applyNumberFormat="1" borderId="9" applyBorder="1" fontId="14" applyFont="1" fillId="5" applyFill="1" applyAlignment="1">
      <alignment horizontal="left"/>
    </xf>
    <xf xfId="0" numFmtId="164" applyNumberFormat="1" borderId="12" applyBorder="1" fontId="1" applyFont="1" fillId="6" applyFill="1" applyAlignment="1">
      <alignment horizontal="left"/>
    </xf>
    <xf xfId="0" numFmtId="165" applyNumberFormat="1" borderId="1" applyBorder="1" fontId="15" applyFont="1" fillId="7" applyFill="1" applyAlignment="1">
      <alignment horizontal="right"/>
    </xf>
    <xf xfId="0" numFmtId="165" applyNumberFormat="1" borderId="13" applyBorder="1" fontId="1" applyFont="1" fillId="6" applyFill="1" applyAlignment="1">
      <alignment horizontal="right"/>
    </xf>
    <xf xfId="0" numFmtId="165" applyNumberFormat="1" borderId="1" applyBorder="1" fontId="1" applyFont="1" fillId="6" applyFill="1" applyAlignment="1">
      <alignment horizontal="right"/>
    </xf>
    <xf xfId="0" numFmtId="164" applyNumberFormat="1" borderId="12" applyBorder="1" fontId="4" applyFont="1" fillId="6" applyFill="1" applyAlignment="1">
      <alignment horizontal="left"/>
    </xf>
    <xf xfId="0" numFmtId="165" applyNumberFormat="1" borderId="1" applyBorder="1" fontId="4" applyFont="1" fillId="6" applyFill="1" applyAlignment="1">
      <alignment horizontal="right"/>
    </xf>
    <xf xfId="0" numFmtId="165" applyNumberFormat="1" borderId="14" applyBorder="1" fontId="4" applyFont="1" fillId="6" applyFill="1" applyAlignment="1">
      <alignment horizontal="right"/>
    </xf>
    <xf xfId="0" numFmtId="165" applyNumberFormat="1" borderId="13" applyBorder="1" fontId="4" applyFont="1" fillId="6" applyFill="1" applyAlignment="1">
      <alignment horizontal="right"/>
    </xf>
    <xf xfId="0" numFmtId="0" borderId="1" applyBorder="1" fontId="1" applyFont="1" fillId="6" applyFill="1" applyAlignment="1">
      <alignment horizontal="left"/>
    </xf>
    <xf xfId="0" numFmtId="165" applyNumberFormat="1" borderId="14" applyBorder="1" fontId="15" applyFont="1" fillId="7" applyFill="1" applyAlignment="1">
      <alignment horizontal="right"/>
    </xf>
    <xf xfId="0" numFmtId="164" applyNumberFormat="1" borderId="12" applyBorder="1" fontId="16" applyFont="1" fillId="6" applyFill="1" applyAlignment="1">
      <alignment horizontal="left"/>
    </xf>
    <xf xfId="0" numFmtId="167" applyNumberFormat="1" borderId="1" applyBorder="1" fontId="16" applyFont="1" fillId="6" applyFill="1" applyAlignment="1">
      <alignment horizontal="right"/>
    </xf>
    <xf xfId="0" numFmtId="167" applyNumberFormat="1" borderId="13" applyBorder="1" fontId="16" applyFont="1" fillId="6" applyFill="1" applyAlignment="1">
      <alignment horizontal="right"/>
    </xf>
    <xf xfId="0" numFmtId="167" applyNumberFormat="1" borderId="14" applyBorder="1" fontId="16" applyFont="1" fillId="6" applyFill="1" applyAlignment="1">
      <alignment horizontal="right"/>
    </xf>
    <xf xfId="0" numFmtId="164" applyNumberFormat="1" borderId="8" applyBorder="1" fontId="16" applyFont="1" fillId="6" applyFill="1" applyAlignment="1">
      <alignment horizontal="left"/>
    </xf>
    <xf xfId="0" numFmtId="167" applyNumberFormat="1" borderId="9" applyBorder="1" fontId="16" applyFont="1" fillId="6" applyFill="1" applyAlignment="1">
      <alignment horizontal="right"/>
    </xf>
    <xf xfId="0" numFmtId="167" applyNumberFormat="1" borderId="10" applyBorder="1" fontId="16" applyFont="1" fillId="6" applyFill="1" applyAlignment="1">
      <alignment horizontal="right"/>
    </xf>
    <xf xfId="0" numFmtId="167" applyNumberFormat="1" borderId="11" applyBorder="1" fontId="16" applyFont="1" fillId="6" applyFill="1" applyAlignment="1">
      <alignment horizontal="right"/>
    </xf>
    <xf xfId="0" numFmtId="164" applyNumberFormat="1" borderId="8" applyBorder="1" fontId="1" applyFont="1" fillId="6" applyFill="1" applyAlignment="1">
      <alignment horizontal="left"/>
    </xf>
    <xf xfId="0" numFmtId="165" applyNumberFormat="1" borderId="9" applyBorder="1" fontId="4" applyFont="1" fillId="6" applyFill="1" applyAlignment="1">
      <alignment horizontal="right"/>
    </xf>
    <xf xfId="0" numFmtId="167" applyNumberFormat="1" borderId="11" applyBorder="1" fontId="1" applyFont="1" fillId="6" applyFill="1" applyAlignment="1">
      <alignment horizontal="right"/>
    </xf>
    <xf xfId="0" numFmtId="167" applyNumberFormat="1" borderId="9" applyBorder="1" fontId="1" applyFont="1" fillId="6" applyFill="1" applyAlignment="1">
      <alignment horizontal="right"/>
    </xf>
    <xf xfId="0" numFmtId="165" applyNumberFormat="1" borderId="10" applyBorder="1" fontId="1" applyFont="1" fillId="6" applyFill="1" applyAlignment="1">
      <alignment horizontal="right"/>
    </xf>
    <xf xfId="0" numFmtId="165" applyNumberFormat="1" borderId="11" applyBorder="1" fontId="15" applyFont="1" fillId="7" applyFill="1" applyAlignment="1">
      <alignment horizontal="right"/>
    </xf>
    <xf xfId="0" numFmtId="165" applyNumberFormat="1" borderId="9" applyBorder="1" fontId="15" applyFont="1" fillId="7" applyFill="1" applyAlignment="1">
      <alignment horizontal="right"/>
    </xf>
    <xf xfId="0" numFmtId="164" applyNumberFormat="1" borderId="12" applyBorder="1" fontId="1" applyFont="1" fillId="6" applyFill="1" applyAlignment="1">
      <alignment horizontal="center"/>
    </xf>
    <xf xfId="0" numFmtId="165" applyNumberFormat="1" borderId="14" applyBorder="1" fontId="1" applyFont="1" fillId="6" applyFill="1" applyAlignment="1">
      <alignment horizontal="right"/>
    </xf>
    <xf xfId="0" numFmtId="167" applyNumberFormat="1" borderId="14" applyBorder="1" fontId="1" applyFont="1" fillId="6" applyFill="1" applyAlignment="1">
      <alignment horizontal="right"/>
    </xf>
    <xf xfId="0" numFmtId="167" applyNumberFormat="1" borderId="1" applyBorder="1" fontId="1" applyFont="1" fillId="6" applyFill="1" applyAlignment="1">
      <alignment horizontal="right"/>
    </xf>
    <xf xfId="0" numFmtId="165" applyNumberFormat="1" borderId="14" applyBorder="1" fontId="1" applyFont="1" fillId="6" applyFill="1" applyAlignment="1">
      <alignment horizontal="left"/>
    </xf>
    <xf xfId="0" numFmtId="165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14" applyBorder="1" fontId="1" applyFont="1" fillId="6" applyFill="1" applyAlignment="1">
      <alignment horizontal="right"/>
    </xf>
    <xf xfId="0" numFmtId="4" applyNumberFormat="1" borderId="1" applyBorder="1" fontId="1" applyFont="1" fillId="6" applyFill="1" applyAlignment="1">
      <alignment horizontal="right"/>
    </xf>
    <xf xfId="0" numFmtId="4" applyNumberFormat="1" borderId="13" applyBorder="1" fontId="1" applyFont="1" fillId="6" applyFill="1" applyAlignment="1">
      <alignment horizontal="right"/>
    </xf>
    <xf xfId="0" numFmtId="4" applyNumberFormat="1" borderId="11" applyBorder="1" fontId="1" applyFont="1" fillId="6" applyFill="1" applyAlignment="1">
      <alignment horizontal="right"/>
    </xf>
    <xf xfId="0" numFmtId="4" applyNumberFormat="1" borderId="9" applyBorder="1" fontId="1" applyFont="1" fillId="6" applyFill="1" applyAlignment="1">
      <alignment horizontal="right"/>
    </xf>
    <xf xfId="0" numFmtId="4" applyNumberFormat="1" borderId="10" applyBorder="1" fontId="1" applyFont="1" fillId="6" applyFill="1" applyAlignment="1">
      <alignment horizontal="right"/>
    </xf>
    <xf xfId="0" numFmtId="4" applyNumberFormat="1" borderId="14" applyBorder="1" fontId="1" applyFont="1" fillId="6" applyFill="1" applyAlignment="1">
      <alignment horizontal="center"/>
    </xf>
    <xf xfId="0" numFmtId="4" applyNumberFormat="1" borderId="1" applyBorder="1" fontId="1" applyFont="1" fillId="6" applyFill="1" applyAlignment="1">
      <alignment horizontal="center"/>
    </xf>
    <xf xfId="0" numFmtId="4" applyNumberFormat="1" borderId="1" applyBorder="1" fontId="15" applyFont="1" fillId="2" applyFill="1" applyAlignment="1">
      <alignment horizontal="right"/>
    </xf>
    <xf xfId="0" numFmtId="4" applyNumberFormat="1" borderId="14" applyBorder="1" fontId="15" applyFont="1" fillId="2" applyFill="1" applyAlignment="1">
      <alignment horizontal="right"/>
    </xf>
    <xf xfId="0" numFmtId="4" applyNumberFormat="1" borderId="1" applyBorder="1" fontId="15" applyFont="1" fillId="6" applyFill="1" applyAlignment="1">
      <alignment horizontal="center"/>
    </xf>
    <xf xfId="0" numFmtId="165" applyNumberFormat="1" borderId="1" applyBorder="1" fontId="1" applyFont="1" fillId="6" applyFill="1" applyAlignment="1">
      <alignment horizontal="center"/>
    </xf>
    <xf xfId="0" numFmtId="165" applyNumberFormat="1" borderId="14" applyBorder="1" fontId="15" applyFont="1" fillId="2" applyFill="1" applyAlignment="1">
      <alignment horizontal="right"/>
    </xf>
    <xf xfId="0" numFmtId="165" applyNumberFormat="1" borderId="1" applyBorder="1" fontId="15" applyFont="1" fillId="2" applyFill="1" applyAlignment="1">
      <alignment horizontal="right"/>
    </xf>
    <xf xfId="0" numFmtId="167" applyNumberFormat="1" borderId="14" applyBorder="1" fontId="1" applyFont="1" fillId="6" applyFill="1" applyAlignment="1">
      <alignment horizontal="left"/>
    </xf>
    <xf xfId="0" numFmtId="167" applyNumberFormat="1" borderId="0" fontId="0" fillId="0" applyAlignment="1">
      <alignment horizontal="general"/>
    </xf>
    <xf xfId="0" numFmtId="167" applyNumberFormat="1" borderId="14" applyBorder="1" fontId="4" applyFont="1" fillId="6" applyFill="1" applyAlignment="1">
      <alignment horizontal="left"/>
    </xf>
    <xf xfId="0" numFmtId="165" applyNumberFormat="1" borderId="14" applyBorder="1" fontId="14" applyFont="1" fillId="6" applyFill="1" applyAlignment="1">
      <alignment horizontal="right"/>
    </xf>
    <xf xfId="0" numFmtId="165" applyNumberFormat="1" borderId="1" applyBorder="1" fontId="14" applyFont="1" fillId="6" applyFill="1" applyAlignment="1">
      <alignment horizontal="right"/>
    </xf>
    <xf xfId="0" numFmtId="164" applyNumberFormat="1" borderId="8" applyBorder="1" fontId="4" applyFont="1" fillId="6" applyFill="1" applyAlignment="1">
      <alignment horizontal="left"/>
    </xf>
    <xf xfId="0" numFmtId="165" applyNumberFormat="1" borderId="9" applyBorder="1" fontId="4" applyFont="1" fillId="2" applyFill="1" applyAlignment="1">
      <alignment horizontal="right"/>
    </xf>
    <xf xfId="0" numFmtId="165" applyNumberFormat="1" borderId="10" applyBorder="1" fontId="4" applyFont="1" fillId="6" applyFill="1" applyAlignment="1">
      <alignment horizontal="right"/>
    </xf>
    <xf xfId="0" numFmtId="167" applyNumberFormat="1" borderId="11" applyBorder="1" fontId="4" applyFont="1" fillId="6" applyFill="1" applyAlignment="1">
      <alignment horizontal="left"/>
    </xf>
    <xf xfId="0" numFmtId="167" applyNumberFormat="1" borderId="9" applyBorder="1" fontId="4" applyFont="1" fillId="6" applyFill="1" applyAlignment="1">
      <alignment horizontal="left"/>
    </xf>
    <xf xfId="0" numFmtId="165" applyNumberFormat="1" borderId="9" applyBorder="1" fontId="13" applyFont="1" fillId="2" applyFill="1" applyAlignment="1">
      <alignment horizontal="right"/>
    </xf>
    <xf xfId="0" numFmtId="164" applyNumberFormat="1" borderId="14" applyBorder="1" fontId="4" applyFont="1" fillId="6" applyFill="1" applyAlignment="1">
      <alignment horizontal="left"/>
    </xf>
    <xf xfId="0" numFmtId="165" applyNumberFormat="1" borderId="1" applyBorder="1" fontId="14" applyFont="1" fillId="2" applyFill="1" applyAlignment="1">
      <alignment horizontal="right"/>
    </xf>
    <xf xfId="0" numFmtId="165" applyNumberFormat="1" borderId="11" applyBorder="1" fontId="4" applyFont="1" fillId="6" applyFill="1" applyAlignment="1">
      <alignment horizontal="right"/>
    </xf>
    <xf xfId="0" numFmtId="4" applyNumberFormat="1" borderId="11" applyBorder="1" fontId="4" applyFont="1" fillId="6" applyFill="1" applyAlignment="1">
      <alignment horizontal="center"/>
    </xf>
    <xf xfId="0" numFmtId="4" applyNumberFormat="1" borderId="9" applyBorder="1" fontId="4" applyFont="1" fillId="6" applyFill="1" applyAlignment="1">
      <alignment horizontal="center"/>
    </xf>
    <xf xfId="0" numFmtId="0" borderId="1" applyBorder="1" fontId="17" applyFont="1" fillId="2" applyFill="1" applyAlignment="1">
      <alignment horizontal="right"/>
    </xf>
    <xf xfId="0" numFmtId="164" applyNumberFormat="1" borderId="12" applyBorder="1" fontId="17" applyFont="1" fillId="6" applyFill="1" applyAlignment="1">
      <alignment horizontal="right"/>
    </xf>
    <xf xfId="0" numFmtId="165" applyNumberFormat="1" borderId="14" applyBorder="1" fontId="17" applyFont="1" fillId="6" applyFill="1" applyAlignment="1">
      <alignment horizontal="right"/>
    </xf>
    <xf xfId="0" numFmtId="165" applyNumberFormat="1" borderId="1" applyBorder="1" fontId="17" applyFont="1" fillId="6" applyFill="1" applyAlignment="1">
      <alignment horizontal="right"/>
    </xf>
    <xf xfId="0" numFmtId="165" applyNumberFormat="1" borderId="13" applyBorder="1" fontId="17" applyFont="1" fillId="6" applyFill="1" applyAlignment="1">
      <alignment horizontal="right"/>
    </xf>
    <xf xfId="0" numFmtId="167" applyNumberFormat="1" borderId="14" applyBorder="1" fontId="17" applyFont="1" fillId="6" applyFill="1" applyAlignment="1">
      <alignment horizontal="right"/>
    </xf>
    <xf xfId="0" numFmtId="4" applyNumberFormat="1" borderId="1" applyBorder="1" fontId="17" applyFont="1" fillId="6" applyFill="1" applyAlignment="1">
      <alignment horizontal="right"/>
    </xf>
    <xf xfId="0" numFmtId="165" applyNumberFormat="1" borderId="13" applyBorder="1" fontId="1" applyFont="1" fillId="6" applyFill="1" applyAlignment="1">
      <alignment horizontal="left"/>
    </xf>
    <xf xfId="0" numFmtId="165" applyNumberFormat="1" borderId="14" applyBorder="1" fontId="1" applyFont="1" fillId="6" applyFill="1" applyAlignment="1">
      <alignment horizontal="center"/>
    </xf>
    <xf xfId="0" numFmtId="165" applyNumberFormat="1" borderId="13" applyBorder="1" fontId="1" applyFont="1" fillId="6" applyFill="1" applyAlignment="1">
      <alignment horizontal="center"/>
    </xf>
    <xf xfId="0" numFmtId="164" applyNumberFormat="1" borderId="12" applyBorder="1" fontId="18" applyFont="1" fillId="8" applyFill="1" applyAlignment="1">
      <alignment horizontal="left"/>
    </xf>
    <xf xfId="0" numFmtId="4" applyNumberFormat="1" borderId="14" applyBorder="1" fontId="1" applyFont="1" fillId="8" applyFill="1" applyAlignment="1">
      <alignment horizontal="center"/>
    </xf>
    <xf xfId="0" numFmtId="4" applyNumberFormat="1" borderId="1" applyBorder="1" fontId="1" applyFont="1" fillId="8" applyFill="1" applyAlignment="1">
      <alignment horizontal="center"/>
    </xf>
    <xf xfId="0" numFmtId="165" applyNumberFormat="1" borderId="1" applyBorder="1" fontId="1" applyFont="1" fillId="8" applyFill="1" applyAlignment="1">
      <alignment horizontal="center"/>
    </xf>
    <xf xfId="0" numFmtId="165" applyNumberFormat="1" borderId="13" applyBorder="1" fontId="1" applyFont="1" fillId="8" applyFill="1" applyAlignment="1">
      <alignment horizontal="center"/>
    </xf>
    <xf xfId="0" numFmtId="165" applyNumberFormat="1" borderId="14" applyBorder="1" fontId="1" applyFont="1" fillId="8" applyFill="1" applyAlignment="1">
      <alignment horizontal="center"/>
    </xf>
    <xf xfId="0" numFmtId="4" applyNumberFormat="1" borderId="1" applyBorder="1" fontId="15" applyFont="1" fillId="8" applyFill="1" applyAlignment="1">
      <alignment horizontal="right"/>
    </xf>
    <xf xfId="0" numFmtId="165" applyNumberFormat="1" borderId="14" applyBorder="1" fontId="1" applyFont="1" fillId="6" applyFill="1" applyAlignment="1">
      <alignment horizontal="center" wrapText="1"/>
    </xf>
    <xf xfId="0" numFmtId="165" applyNumberFormat="1" borderId="1" applyBorder="1" fontId="1" applyFont="1" fillId="6" applyFill="1" applyAlignment="1">
      <alignment horizontal="center" wrapText="1"/>
    </xf>
    <xf xfId="0" numFmtId="165" applyNumberFormat="1" borderId="11" applyBorder="1" fontId="1" applyFont="1" fillId="6" applyFill="1" applyAlignment="1">
      <alignment horizontal="center" wrapText="1"/>
    </xf>
    <xf xfId="0" numFmtId="165" applyNumberFormat="1" borderId="9" applyBorder="1" fontId="1" applyFont="1" fillId="6" applyFill="1" applyAlignment="1">
      <alignment horizontal="center" wrapText="1"/>
    </xf>
    <xf xfId="0" numFmtId="165" applyNumberFormat="1" borderId="9" applyBorder="1" fontId="1" applyFont="1" fillId="6" applyFill="1" applyAlignment="1">
      <alignment horizontal="center"/>
    </xf>
    <xf xfId="0" numFmtId="165" applyNumberFormat="1" borderId="10" applyBorder="1" fontId="1" applyFont="1" fillId="6" applyFill="1" applyAlignment="1">
      <alignment horizontal="center"/>
    </xf>
    <xf xfId="0" numFmtId="165" applyNumberFormat="1" borderId="11" applyBorder="1" fontId="1" applyFont="1" fillId="6" applyFill="1" applyAlignment="1">
      <alignment horizontal="center"/>
    </xf>
    <xf xfId="0" numFmtId="165" applyNumberFormat="1" borderId="9" applyBorder="1" fontId="1" applyFont="1" fillId="6" applyFill="1" applyAlignment="1">
      <alignment horizontal="right"/>
    </xf>
    <xf xfId="0" numFmtId="4" applyNumberFormat="1" borderId="1" applyBorder="1" fontId="15" applyFont="1" fillId="6" applyFill="1" applyAlignment="1">
      <alignment horizontal="right"/>
    </xf>
    <xf xfId="0" numFmtId="164" applyNumberFormat="1" borderId="12" applyBorder="1" fontId="4" applyFont="1" fillId="9" applyFill="1" applyAlignment="1">
      <alignment horizontal="left"/>
    </xf>
    <xf xfId="0" numFmtId="165" applyNumberFormat="1" borderId="14" applyBorder="1" fontId="1" applyFont="1" fillId="9" applyFill="1" applyAlignment="1">
      <alignment horizontal="center"/>
    </xf>
    <xf xfId="0" numFmtId="165" applyNumberFormat="1" borderId="1" applyBorder="1" fontId="1" applyFont="1" fillId="9" applyFill="1" applyAlignment="1">
      <alignment horizontal="center"/>
    </xf>
    <xf xfId="0" numFmtId="165" applyNumberFormat="1" borderId="13" applyBorder="1" fontId="1" applyFont="1" fillId="9" applyFill="1" applyAlignment="1">
      <alignment horizontal="center"/>
    </xf>
    <xf xfId="0" numFmtId="164" applyNumberFormat="1" borderId="15" applyBorder="1" fontId="4" applyFont="1" fillId="9" applyFill="1" applyAlignment="1">
      <alignment horizontal="left"/>
    </xf>
    <xf xfId="0" numFmtId="165" applyNumberFormat="1" borderId="16" applyBorder="1" fontId="1" applyFont="1" fillId="9" applyFill="1" applyAlignment="1">
      <alignment horizontal="center"/>
    </xf>
    <xf xfId="0" numFmtId="165" applyNumberFormat="1" borderId="17" applyBorder="1" fontId="1" applyFont="1" fillId="9" applyFill="1" applyAlignment="1">
      <alignment horizontal="center"/>
    </xf>
    <xf xfId="0" numFmtId="165" applyNumberFormat="1" borderId="18" applyBorder="1" fontId="1" applyFont="1" fillId="9" applyFill="1" applyAlignment="1">
      <alignment horizontal="center"/>
    </xf>
    <xf xfId="0" numFmtId="164" applyNumberFormat="1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167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17"/>
  <sheetViews>
    <sheetView workbookViewId="0" tabSelected="1">
      <pane state="frozen" activePane="bottomLeft" topLeftCell="A9" ySplit="8" xSplit="0"/>
    </sheetView>
  </sheetViews>
  <sheetFormatPr defaultRowHeight="15" x14ac:dyDescent="0.25"/>
  <cols>
    <col min="1" max="1" style="148" width="1.719285714285714" customWidth="1" bestFit="1"/>
    <col min="2" max="2" style="148" width="13.576428571428572" customWidth="1" bestFit="1" hidden="1"/>
    <col min="3" max="3" style="149" width="40.71928571428572" customWidth="1" bestFit="1"/>
    <col min="4" max="4" style="150" width="11.147857142857141" customWidth="1" bestFit="1"/>
    <col min="5" max="5" style="150" width="11.147857142857141" customWidth="1" bestFit="1"/>
    <col min="6" max="6" style="150" width="11.147857142857141" customWidth="1" bestFit="1"/>
    <col min="7" max="7" style="150" width="11.147857142857141" customWidth="1" bestFit="1"/>
    <col min="8" max="8" style="151" width="12.719285714285713" customWidth="1" bestFit="1"/>
    <col min="9" max="9" style="151" width="12.719285714285713" customWidth="1" bestFit="1"/>
    <col min="10" max="10" style="150" width="12.719285714285713" customWidth="1" bestFit="1"/>
    <col min="11" max="11" style="150" width="12.719285714285713" customWidth="1" bestFit="1"/>
    <col min="12" max="12" style="150" width="12.719285714285713" customWidth="1" bestFit="1"/>
    <col min="13" max="13" style="150" width="12.719285714285713" customWidth="1" bestFit="1"/>
    <col min="14" max="14" style="150" width="12.719285714285713" customWidth="1" bestFit="1"/>
    <col min="15" max="15" style="150" width="12.719285714285713" customWidth="1" bestFit="1"/>
    <col min="16" max="16" style="150" width="12.719285714285713" customWidth="1" bestFit="1"/>
    <col min="17" max="17" style="150" width="12.719285714285713" customWidth="1" bestFit="1"/>
    <col min="18" max="18" style="150" width="12.719285714285713" customWidth="1" bestFit="1"/>
    <col min="19" max="19" style="150" width="12.719285714285713" customWidth="1" bestFit="1"/>
    <col min="20" max="20" style="152" width="12.719285714285713" customWidth="1" bestFit="1"/>
    <col min="21" max="21" style="152" width="12.719285714285713" customWidth="1" bestFit="1"/>
    <col min="22" max="22" style="150" width="12.719285714285713" customWidth="1" bestFit="1"/>
    <col min="23" max="23" style="152" width="12.719285714285713" customWidth="1" bestFit="1"/>
    <col min="24" max="24" style="150" width="12.719285714285713" customWidth="1" bestFit="1"/>
    <col min="25" max="25" style="150" width="12.719285714285713" customWidth="1" bestFit="1"/>
    <col min="26" max="26" style="150" width="12.719285714285713" customWidth="1" bestFit="1"/>
    <col min="27" max="27" style="150" width="12.719285714285713" customWidth="1" bestFit="1"/>
    <col min="28" max="28" style="150" width="12.719285714285713" customWidth="1" bestFit="1"/>
    <col min="29" max="29" style="150" width="12.719285714285713" customWidth="1" bestFit="1"/>
    <col min="30" max="30" style="150" width="12.719285714285713" customWidth="1" bestFit="1"/>
    <col min="31" max="31" style="148" width="8.862142857142858" customWidth="1" bestFit="1"/>
    <col min="32" max="32" style="148" width="21.290714285714284" customWidth="1" bestFit="1"/>
    <col min="33" max="33" style="148" width="13.576428571428572" customWidth="1" bestFit="1"/>
  </cols>
  <sheetData>
    <row x14ac:dyDescent="0.25" r="1" customHeight="1" ht="18.75" hidden="1">
      <c r="A1" s="1"/>
      <c r="B1" s="1"/>
      <c r="C1" s="2"/>
      <c r="D1" s="3"/>
      <c r="E1" s="3"/>
      <c r="F1" s="3"/>
      <c r="G1" s="4"/>
      <c r="H1" s="5">
        <f>OFFSET($K$1,6,MATCH(YEAR($E$3),$K$1:$AD$1,0)-1)</f>
        <v>25569.229166666668</v>
      </c>
      <c r="I1" s="6">
        <f>+IF(ISNA(HLOOKUP(DATE(YEAR(H1)-1,MONTH(H1),DAY(H1)),$K$7:$AD$7,1,0)),"No","Yes")</f>
      </c>
      <c r="J1" s="7" t="s">
        <v>0</v>
      </c>
      <c r="K1" s="8">
        <f>IF(K7="","",YEAR(K7))</f>
      </c>
      <c r="L1" s="8">
        <f>IF(L7="","",YEAR(L7))</f>
      </c>
      <c r="M1" s="8">
        <f>IF(M7="","",YEAR(M7))</f>
      </c>
      <c r="N1" s="8">
        <f>IF(N7="","",YEAR(N7))</f>
      </c>
      <c r="O1" s="8">
        <f>IF(O7="","",YEAR(O7))</f>
      </c>
      <c r="P1" s="8">
        <f>IF(P7="","",YEAR(P7))</f>
      </c>
      <c r="Q1" s="8">
        <f>IF(Q7="","",YEAR(Q7))</f>
      </c>
      <c r="R1" s="8">
        <f>IF(R7="","",YEAR(R7))</f>
      </c>
      <c r="S1" s="8">
        <f>IF(S7="","",YEAR(S7))</f>
      </c>
      <c r="T1" s="8">
        <f>IF(T7="","",YEAR(T7))</f>
      </c>
      <c r="U1" s="8">
        <f>IF(U7="","",YEAR(U7))</f>
      </c>
      <c r="V1" s="8">
        <f>IF(V7="","",YEAR(V7))</f>
      </c>
      <c r="W1" s="8">
        <f>IF(W7="","",YEAR(W7))</f>
      </c>
      <c r="X1" s="7">
        <f>IF(X7="","",YEAR(X7))</f>
      </c>
      <c r="Y1" s="7">
        <f>IF(Y7="","",YEAR(Y7))</f>
      </c>
      <c r="Z1" s="7">
        <f>IF(Z7="","",YEAR(Z7))</f>
      </c>
      <c r="AA1" s="7">
        <f>IF(AA7="","",YEAR(AA7))</f>
      </c>
      <c r="AB1" s="7">
        <f>IF(AB7="","",YEAR(AB7))</f>
      </c>
      <c r="AC1" s="7">
        <f>IF(AC7="","",YEAR(AC7))</f>
      </c>
      <c r="AD1" s="7">
        <f>IF(AD7="","",YEAR(AD7))</f>
      </c>
      <c r="AE1" s="1"/>
      <c r="AF1" s="9"/>
      <c r="AG1" s="9"/>
    </row>
    <row x14ac:dyDescent="0.25" r="2" customHeight="1" ht="4.95">
      <c r="A2" s="1"/>
      <c r="B2" s="1"/>
      <c r="C2" s="2"/>
      <c r="D2" s="3"/>
      <c r="E2" s="3"/>
      <c r="F2" s="3"/>
      <c r="G2" s="4"/>
      <c r="H2" s="10"/>
      <c r="I2" s="10"/>
      <c r="J2" s="4"/>
      <c r="K2" s="4"/>
      <c r="L2" s="4"/>
      <c r="M2" s="4"/>
      <c r="N2" s="4"/>
      <c r="O2" s="4"/>
      <c r="P2" s="4"/>
      <c r="Q2" s="4"/>
      <c r="R2" s="4"/>
      <c r="S2" s="4"/>
      <c r="T2" s="11"/>
      <c r="U2" s="11"/>
      <c r="V2" s="4"/>
      <c r="W2" s="11"/>
      <c r="X2" s="4"/>
      <c r="Y2" s="4"/>
      <c r="Z2" s="4"/>
      <c r="AA2" s="4"/>
      <c r="AB2" s="4"/>
      <c r="AC2" s="4"/>
      <c r="AD2" s="4"/>
      <c r="AE2" s="1"/>
      <c r="AF2" s="9"/>
      <c r="AG2" s="9"/>
    </row>
    <row x14ac:dyDescent="0.25" r="3" customHeight="1" ht="16.05">
      <c r="A3" s="12"/>
      <c r="B3" s="12"/>
      <c r="C3" s="13">
        <f>+TODAY()</f>
        <v>25569.229166666668</v>
      </c>
      <c r="D3" s="14" t="s">
        <v>1</v>
      </c>
      <c r="E3" s="15">
        <v>44927</v>
      </c>
      <c r="F3" s="16" t="s">
        <v>2</v>
      </c>
      <c r="G3" s="17">
        <f>IF(E3="","",EOMONTH(E3, 11))</f>
        <v>25569.229166666668</v>
      </c>
      <c r="H3" s="18" t="s">
        <v>3</v>
      </c>
      <c r="I3" s="19" t="s">
        <v>4</v>
      </c>
      <c r="J3" s="20"/>
      <c r="K3" s="21"/>
      <c r="L3" s="21"/>
      <c r="M3" s="22"/>
      <c r="N3" s="22"/>
      <c r="O3" s="22"/>
      <c r="P3" s="22"/>
      <c r="Q3" s="22"/>
      <c r="R3" s="22"/>
      <c r="S3" s="22"/>
      <c r="T3" s="23"/>
      <c r="U3" s="23"/>
      <c r="V3" s="22"/>
      <c r="W3" s="23"/>
      <c r="X3" s="22"/>
      <c r="Y3" s="22"/>
      <c r="Z3" s="22"/>
      <c r="AA3" s="22"/>
      <c r="AB3" s="22"/>
      <c r="AC3" s="22"/>
      <c r="AD3" s="22"/>
      <c r="AE3" s="12"/>
      <c r="AF3" s="9"/>
      <c r="AG3" s="9"/>
    </row>
    <row x14ac:dyDescent="0.25" r="4" customHeight="1" ht="15">
      <c r="A4" s="1"/>
      <c r="B4" s="1"/>
      <c r="C4" s="24" t="s">
        <v>5</v>
      </c>
      <c r="D4" s="3"/>
      <c r="E4" s="3"/>
      <c r="F4" s="3"/>
      <c r="G4" s="4"/>
      <c r="H4" s="10"/>
      <c r="I4" s="10"/>
      <c r="J4" s="4"/>
      <c r="K4" s="4"/>
      <c r="L4" s="4"/>
      <c r="M4" s="4"/>
      <c r="N4" s="4"/>
      <c r="O4" s="4"/>
      <c r="P4" s="4"/>
      <c r="Q4" s="4"/>
      <c r="R4" s="4"/>
      <c r="S4" s="4"/>
      <c r="T4" s="11"/>
      <c r="U4" s="11"/>
      <c r="V4" s="4"/>
      <c r="W4" s="11"/>
      <c r="X4" s="4"/>
      <c r="Y4" s="4"/>
      <c r="Z4" s="4"/>
      <c r="AA4" s="4"/>
      <c r="AB4" s="4"/>
      <c r="AC4" s="4"/>
      <c r="AD4" s="4"/>
      <c r="AE4" s="1"/>
      <c r="AF4" s="9"/>
      <c r="AG4" s="9"/>
    </row>
    <row x14ac:dyDescent="0.25" r="5" customHeight="1" ht="15">
      <c r="A5" s="1"/>
      <c r="B5" s="1"/>
      <c r="C5" s="24" t="s">
        <v>6</v>
      </c>
      <c r="D5" s="25"/>
      <c r="E5" s="25"/>
      <c r="F5" s="25"/>
      <c r="G5" s="26"/>
      <c r="H5" s="27"/>
      <c r="I5" s="28"/>
      <c r="J5" s="29"/>
      <c r="K5" s="25"/>
      <c r="L5" s="25"/>
      <c r="M5" s="25"/>
      <c r="N5" s="30"/>
      <c r="O5" s="30"/>
      <c r="P5" s="30"/>
      <c r="Q5" s="30"/>
      <c r="R5" s="30"/>
      <c r="S5" s="25"/>
      <c r="T5" s="31"/>
      <c r="U5" s="31"/>
      <c r="V5" s="25"/>
      <c r="W5" s="31"/>
      <c r="X5" s="25"/>
      <c r="Y5" s="25"/>
      <c r="Z5" s="25"/>
      <c r="AA5" s="25"/>
      <c r="AB5" s="25"/>
      <c r="AC5" s="25"/>
      <c r="AD5" s="25"/>
      <c r="AE5" s="1"/>
      <c r="AF5" s="9"/>
      <c r="AG5" s="9"/>
    </row>
    <row x14ac:dyDescent="0.25" r="6" customHeight="1" ht="15">
      <c r="A6" s="1"/>
      <c r="B6" s="1"/>
      <c r="C6" s="32" t="s">
        <v>7</v>
      </c>
      <c r="D6" s="33">
        <f>+YEAR($K$7)-3</f>
      </c>
      <c r="E6" s="33">
        <f>+YEAR($K$7)-2</f>
      </c>
      <c r="F6" s="33">
        <f>+YEAR($K$7)-1</f>
      </c>
      <c r="G6" s="34">
        <f>+YEAR($K$7)</f>
      </c>
      <c r="H6" s="35"/>
      <c r="I6" s="35"/>
      <c r="J6" s="36"/>
      <c r="K6" s="30">
        <f>IF(K7="","","1Q"&amp;RIGHT(YEAR(K7),2))</f>
      </c>
      <c r="L6" s="30">
        <f>IF(L7="","","2Q"&amp;RIGHT(YEAR(K7),2))</f>
      </c>
      <c r="M6" s="30">
        <f>IF(M7="","","3Q"&amp;RIGHT(YEAR(K7),2))</f>
      </c>
      <c r="N6" s="30">
        <f>IF(N7="","","4Q"&amp;RIGHT(YEAR(K7),2))</f>
      </c>
      <c r="O6" s="30">
        <f>IF(O7="","","1Q"&amp;RIGHT(YEAR(O7),2))</f>
      </c>
      <c r="P6" s="30">
        <f>IF(P7="","","2Q"&amp;RIGHT(YEAR(O7),2))</f>
      </c>
      <c r="Q6" s="30">
        <f>IF(Q7="","","3Q"&amp;RIGHT(YEAR(O7),2))</f>
      </c>
      <c r="R6" s="30">
        <f>IF(R7="","","4Q"&amp;RIGHT(YEAR(O7),2))</f>
      </c>
      <c r="S6" s="30">
        <f>IF(S7="","","1Q"&amp;RIGHT(YEAR(S7),2))</f>
      </c>
      <c r="T6" s="37">
        <f>IF(T7="","","2Q"&amp;RIGHT(YEAR(S7),2))</f>
      </c>
      <c r="U6" s="37">
        <f>IF(U7="","","3Q"&amp;RIGHT(YEAR(S7),2))</f>
      </c>
      <c r="V6" s="30">
        <f>IF(V7="","","4Q"&amp;RIGHT(YEAR(S7),2))</f>
      </c>
      <c r="W6" s="37">
        <f>IF(W7="","","1Q"&amp;RIGHT(YEAR(W7),2))</f>
      </c>
      <c r="X6" s="30">
        <f>IF(X7="","","2Q"&amp;RIGHT(YEAR(W7),2))</f>
      </c>
      <c r="Y6" s="30">
        <f>IF(Y7="","","3Q"&amp;RIGHT(YEAR(W7),2))</f>
      </c>
      <c r="Z6" s="30">
        <f>IF(Z7="","","4Q"&amp;RIGHT(YEAR(W7),2))</f>
      </c>
      <c r="AA6" s="30">
        <f>IF(AA7="","","1Q"&amp;RIGHT(YEAR(AA7),2))</f>
      </c>
      <c r="AB6" s="30">
        <f>IF(AB7="","","2Q"&amp;RIGHT(YEAR(AA7),2))</f>
      </c>
      <c r="AC6" s="30">
        <f>IF(AC7="","","3Q"&amp;RIGHT(YEAR(AA7),2))</f>
      </c>
      <c r="AD6" s="30">
        <f>IF(AD7="","","4Q"&amp;RIGHT(YEAR(AA7),2))</f>
      </c>
      <c r="AE6" s="1"/>
      <c r="AF6" s="9"/>
      <c r="AG6" s="9"/>
    </row>
    <row x14ac:dyDescent="0.25" r="7" customHeight="1" ht="16.95">
      <c r="A7" s="38"/>
      <c r="B7" s="38"/>
      <c r="C7" s="39" t="s">
        <v>8</v>
      </c>
      <c r="D7" s="40">
        <f>+DATE(YEAR(E7)-1,MONTH(E7),DAY(E7))</f>
        <v>25569.229166666668</v>
      </c>
      <c r="E7" s="40">
        <f>+DATE(YEAR(F7)-1,MONTH(F7),DAY(F7))</f>
        <v>25569.229166666668</v>
      </c>
      <c r="F7" s="40">
        <f>+DATE(YEAR(G7)-1,MONTH(G7),DAY(G7))</f>
        <v>25569.229166666668</v>
      </c>
      <c r="G7" s="41">
        <f>+DATE(YEAR($K$7),MONTH($G$3),DAY(G3))</f>
        <v>25569.229166666668</v>
      </c>
      <c r="H7" s="42">
        <f>"YTD "&amp;YEAR($E$3)-1</f>
      </c>
      <c r="I7" s="42">
        <f>"YTD "&amp;YEAR($E$3)</f>
      </c>
      <c r="J7" s="43">
        <f>IF(K7="","","LTM "&amp;OFFSET($K$7,-1,MATCH("",$K$6:$AD$6,0)-2))</f>
      </c>
      <c r="K7" s="44">
        <v>44285</v>
      </c>
      <c r="L7" s="40">
        <f>IF(L9="","",EOMONTH(K7, 3))</f>
        <v>25569.229166666668</v>
      </c>
      <c r="M7" s="40">
        <f>IF(M9="","",EOMONTH(L7, 3))</f>
        <v>25569.229166666668</v>
      </c>
      <c r="N7" s="40">
        <f>IF(N9="","",EOMONTH(M7, 3))</f>
        <v>25569.229166666668</v>
      </c>
      <c r="O7" s="40">
        <f>IF(O9="","",EOMONTH(N7, 3))</f>
        <v>25569.229166666668</v>
      </c>
      <c r="P7" s="40">
        <f>IF(P9="","",EOMONTH(O7, 3))</f>
        <v>25569.229166666668</v>
      </c>
      <c r="Q7" s="40">
        <f>IF(Q9="","",EOMONTH(P7, 3))</f>
        <v>25569.229166666668</v>
      </c>
      <c r="R7" s="40">
        <f>IF(R9="","",EOMONTH(Q7, 3))</f>
        <v>25569.229166666668</v>
      </c>
      <c r="S7" s="40">
        <f>IF(S9="","",EOMONTH(R7, 3))</f>
        <v>25569.229166666668</v>
      </c>
      <c r="T7" s="40">
        <f>IF(T9="","",EOMONTH(S7, 3))</f>
        <v>25569.229166666668</v>
      </c>
      <c r="U7" s="40">
        <f>IF(U9="","",EOMONTH(T7, 3))</f>
        <v>25569.229166666668</v>
      </c>
      <c r="V7" s="40">
        <f>IF(V9="","",EOMONTH(U7, 3))</f>
        <v>25569.229166666668</v>
      </c>
      <c r="W7" s="40">
        <f>IF(W9="","",EOMONTH(V7, 3))</f>
        <v>25569.229166666668</v>
      </c>
      <c r="X7" s="40">
        <f>IF(X9="","",EOMONTH(W7, 3))</f>
        <v>25569.229166666668</v>
      </c>
      <c r="Y7" s="40">
        <f>IF(Y9="","",EOMONTH(X7, 3))</f>
        <v>25569.229166666668</v>
      </c>
      <c r="Z7" s="40">
        <f>IF(Z9="","",EOMONTH(Y7, 3))</f>
        <v>25569.229166666668</v>
      </c>
      <c r="AA7" s="40">
        <f>IF(AA9="","",EOMONTH(Z7, 3))</f>
        <v>25569.229166666668</v>
      </c>
      <c r="AB7" s="40">
        <f>IF(AB9="","",EOMONTH(AA7, 3))</f>
        <v>25569.229166666668</v>
      </c>
      <c r="AC7" s="40">
        <f>IF(AC9="","",EOMONTH(AB7, 3))</f>
        <v>25569.229166666668</v>
      </c>
      <c r="AD7" s="40">
        <f>IF(AD9="","",EOMONTH(AC7, 3))</f>
        <v>25569.229166666668</v>
      </c>
      <c r="AE7" s="38"/>
      <c r="AF7" s="9"/>
      <c r="AG7" s="9"/>
    </row>
    <row x14ac:dyDescent="0.25" r="8" customHeight="1" ht="16.95">
      <c r="A8" s="1"/>
      <c r="B8" s="1"/>
      <c r="C8" s="45" t="s">
        <v>9</v>
      </c>
      <c r="D8" s="46"/>
      <c r="E8" s="46"/>
      <c r="F8" s="46"/>
      <c r="G8" s="47"/>
      <c r="H8" s="48"/>
      <c r="I8" s="49"/>
      <c r="J8" s="47"/>
      <c r="K8" s="46"/>
      <c r="L8" s="46"/>
      <c r="M8" s="46"/>
      <c r="N8" s="46"/>
      <c r="O8" s="46"/>
      <c r="P8" s="46"/>
      <c r="Q8" s="46"/>
      <c r="R8" s="46"/>
      <c r="S8" s="46"/>
      <c r="T8" s="50"/>
      <c r="U8" s="50"/>
      <c r="V8" s="46"/>
      <c r="W8" s="50"/>
      <c r="X8" s="46"/>
      <c r="Y8" s="46"/>
      <c r="Z8" s="46"/>
      <c r="AA8" s="46"/>
      <c r="AB8" s="46"/>
      <c r="AC8" s="46"/>
      <c r="AD8" s="46"/>
      <c r="AE8" s="1"/>
      <c r="AF8" s="9"/>
      <c r="AG8" s="9"/>
    </row>
    <row x14ac:dyDescent="0.25" r="9" customHeight="1" ht="19.5">
      <c r="A9" s="1"/>
      <c r="B9" s="1"/>
      <c r="C9" s="51" t="s">
        <v>10</v>
      </c>
      <c r="D9" s="52"/>
      <c r="E9" s="52"/>
      <c r="F9" s="52">
        <v>22.578584</v>
      </c>
      <c r="G9" s="53">
        <f>SUM(K9:N9)</f>
      </c>
      <c r="H9" s="54">
        <f>IF(OR((YEAR($E$3)=YEAR($K$7)),$I$1="No"),0,SUM(OFFSET($K8,1,MATCH(YEAR($E$3)-1,$K$1:$AD$1,0)-1,1,COUNTIF($K$1:$AD$1,YEAR($E$3)))))</f>
      </c>
      <c r="I9" s="54">
        <f>IF($K$7="",0,SUM(OFFSET($K8,1,MATCH(YEAR($E$3),$K$1:$AD$1,0)-1,1,4)))</f>
      </c>
      <c r="J9" s="53">
        <f>IF((COUNTA($K$7:$AD$7)-COUNTBLANK($K$7:$AD$7))&lt;4,0,IF($K$7="",0,SUM(OFFSET($K8,1,MATCH("",$K$7:$AD$7,0)-5,1,4))))</f>
      </c>
      <c r="K9" s="52">
        <v>154.357973</v>
      </c>
      <c r="L9" s="52">
        <f>351.128576-K9</f>
      </c>
      <c r="M9" s="52">
        <f>564.579849-SUM(K9:L9)</f>
      </c>
      <c r="N9" s="52">
        <f>801.452155-SUM(K9:M9)</f>
      </c>
      <c r="O9" s="52">
        <v>258.427563</v>
      </c>
      <c r="P9" s="52">
        <f>515.436303-O9</f>
      </c>
      <c r="Q9" s="52">
        <f>759.531239-SUM(O9:P9)</f>
      </c>
      <c r="R9" s="52">
        <f>968.946079-SUM(O9:Q9)</f>
      </c>
      <c r="S9" s="52">
        <v>205.869733</v>
      </c>
      <c r="T9" s="52">
        <f>408.85317-S9</f>
      </c>
      <c r="U9" s="52">
        <f>617.650749-SUM(S9:T9)</f>
      </c>
      <c r="V9" s="52">
        <f>819.862073-SUM(S9:U9)</f>
      </c>
      <c r="W9" s="52">
        <v>220.718579</v>
      </c>
      <c r="X9" s="52"/>
      <c r="Y9" s="52"/>
      <c r="Z9" s="52"/>
      <c r="AA9" s="52"/>
      <c r="AB9" s="52"/>
      <c r="AC9" s="52"/>
      <c r="AD9" s="52"/>
      <c r="AE9" s="1"/>
      <c r="AF9" s="9"/>
      <c r="AG9" s="9"/>
    </row>
    <row x14ac:dyDescent="0.25" r="10" customHeight="1" ht="19.5">
      <c r="A10" s="1"/>
      <c r="B10" s="1"/>
      <c r="C10" s="51" t="s">
        <v>11</v>
      </c>
      <c r="D10" s="52"/>
      <c r="E10" s="52"/>
      <c r="F10" s="52">
        <v>1.389764</v>
      </c>
      <c r="G10" s="53">
        <f>SUM(K10:N10)</f>
      </c>
      <c r="H10" s="54">
        <f>IF(OR((YEAR($E$3)=YEAR($K$7)),$I$1="No"),0,SUM(OFFSET($K9,1,MATCH(YEAR($E$3)-1,$K$1:$AD$1,0)-1,1,COUNTIF($K$1:$AD$1,YEAR($E$3)))))</f>
      </c>
      <c r="I10" s="54">
        <f>IF($K$7="",0,SUM(OFFSET($K9,1,MATCH(YEAR($E$3),$K$1:$AD$1,0)-1,1,4)))</f>
      </c>
      <c r="J10" s="53">
        <f>IF((COUNTA($K$7:$AD$7)-COUNTBLANK($K$7:$AD$7))&lt;4,0,IF($K$7="",0,SUM(OFFSET($K9,1,MATCH("",$K$7:$AD$7,0)-5,1,4))))</f>
      </c>
      <c r="K10" s="52">
        <v>134.564089</v>
      </c>
      <c r="L10" s="52">
        <f>305.680321-K10</f>
      </c>
      <c r="M10" s="52">
        <f>490.524229-SUM(K10:L10)</f>
      </c>
      <c r="N10" s="52">
        <f>696.12187-SUM(K10:M10)</f>
      </c>
      <c r="O10" s="52">
        <f>221.749016</f>
      </c>
      <c r="P10" s="52">
        <f>433.603282-O10</f>
      </c>
      <c r="Q10" s="52">
        <f>632.850055-SUM(O10:P10)</f>
      </c>
      <c r="R10" s="52">
        <f>805.408675-SUM(O10:Q10)</f>
      </c>
      <c r="S10" s="52">
        <v>167.863911</v>
      </c>
      <c r="T10" s="52">
        <f>336.63757-S10</f>
      </c>
      <c r="U10" s="52">
        <f>508.569587-SUM(S10:T10)</f>
      </c>
      <c r="V10" s="52">
        <f>678.027623-SUM(S10:U10)</f>
      </c>
      <c r="W10" s="52">
        <v>185.487491</v>
      </c>
      <c r="X10" s="52"/>
      <c r="Y10" s="52"/>
      <c r="Z10" s="52"/>
      <c r="AA10" s="52"/>
      <c r="AB10" s="52"/>
      <c r="AC10" s="52"/>
      <c r="AD10" s="52"/>
      <c r="AE10" s="1"/>
      <c r="AF10" s="9"/>
      <c r="AG10" s="9"/>
    </row>
    <row x14ac:dyDescent="0.25" r="11" customHeight="1" ht="19.5">
      <c r="A11" s="12"/>
      <c r="B11" s="12"/>
      <c r="C11" s="55" t="s">
        <v>12</v>
      </c>
      <c r="D11" s="56">
        <f>IF(OR(D10=0,D10=""),D9, D9-D10)</f>
      </c>
      <c r="E11" s="56">
        <f>IF(OR(E10=0,E10=""),E9, E9-E10)</f>
      </c>
      <c r="F11" s="56">
        <f>IF(OR(F10=0,F10=""),F9, F9-F10)</f>
      </c>
      <c r="G11" s="56">
        <f>IF(OR(G10=0,G10=""),G9, G9-G10)</f>
      </c>
      <c r="H11" s="57">
        <f>IF(OR(H10=0,H10=""),H9, H9-H10)</f>
      </c>
      <c r="I11" s="56">
        <f>IF(OR(I10=0,I10=""),I9, I9-I10)</f>
      </c>
      <c r="J11" s="58">
        <f>IF(OR(J10=0,J10=""),J9, J9-J10)</f>
      </c>
      <c r="K11" s="57">
        <f>IF(OR(K10=0,K10=""),K9, K9-K10)</f>
      </c>
      <c r="L11" s="56">
        <f>IF(OR(L10=0,L10=""),L9, L9-L10)</f>
      </c>
      <c r="M11" s="56">
        <f>IF(OR(M10=0,M10=""),M9, M9-M10)</f>
      </c>
      <c r="N11" s="56">
        <f>IF(OR(N10=0,N10=""),N9, N9-N10)</f>
      </c>
      <c r="O11" s="56">
        <f>IF(OR(O10=0,O10=""),O9, O9-O10)</f>
      </c>
      <c r="P11" s="56">
        <f>IF(OR(P10=0,P10=""),P9, P9-P10)</f>
      </c>
      <c r="Q11" s="56">
        <f>IF(OR(Q10=0,Q10=""),Q9, Q9-Q10)</f>
      </c>
      <c r="R11" s="56">
        <f>IF(OR(R10=0,R10=""),R9, R9-R10)</f>
      </c>
      <c r="S11" s="56">
        <f>IF(OR(S10=0,S10=""),S9, S9-S10)</f>
      </c>
      <c r="T11" s="56">
        <f>IF(OR(T10=0,T10=""),T9, T9-T10)</f>
      </c>
      <c r="U11" s="56">
        <f>IF(OR(U10=0,U10=""),U9, U9-U10)</f>
      </c>
      <c r="V11" s="56">
        <f>IF(OR(V10=0,V10=""),V9, V9-V10)</f>
      </c>
      <c r="W11" s="56">
        <f>IF(OR(W10=0,W10=""),W9, W9-W10)</f>
      </c>
      <c r="X11" s="56">
        <f>IF(OR(X10=0,X10=""),X9, X9-X10)</f>
      </c>
      <c r="Y11" s="56">
        <f>IF(OR(Y10=0,Y10=""),Y9, Y9-Y10)</f>
      </c>
      <c r="Z11" s="56">
        <f>IF(OR(Z10=0,Z10=""),Z9, Z9-Z10)</f>
      </c>
      <c r="AA11" s="56">
        <f>IF(OR(AA10=0,AA10=""),AA9, AA9-AA10)</f>
      </c>
      <c r="AB11" s="56">
        <f>IF(OR(AB10=0,AB10=""),AB9, AB9-AB10)</f>
      </c>
      <c r="AC11" s="56">
        <f>IF(OR(AC10=0,AC10=""),AC9, AC9-AC10)</f>
      </c>
      <c r="AD11" s="56">
        <f>IF(OR(AD10=0,AD10=""),AD9, AD9-AD10)</f>
      </c>
      <c r="AE11" s="12"/>
      <c r="AF11" s="9"/>
      <c r="AG11" s="59"/>
    </row>
    <row x14ac:dyDescent="0.25" r="12" customHeight="1" ht="19.5">
      <c r="A12" s="1"/>
      <c r="B12" s="1"/>
      <c r="C12" s="51" t="s">
        <v>13</v>
      </c>
      <c r="D12" s="52"/>
      <c r="E12" s="52"/>
      <c r="F12" s="52">
        <v>8.653918</v>
      </c>
      <c r="G12" s="53">
        <f>SUM(K12:N12)</f>
      </c>
      <c r="H12" s="54">
        <f>IF(OR((YEAR($E$3)=YEAR($K$7)),$I$1="No"),0,SUM(OFFSET($K11,1,MATCH(YEAR($E$3)-1,$K$1:$AD$1,0)-1,1,COUNTIF($K$1:$AD$1,YEAR($E$3)))))</f>
      </c>
      <c r="I12" s="54">
        <f>IF($K$7="",0,SUM(OFFSET($K11,1,MATCH(YEAR($E$3),$K$1:$AD$1,0)-1,1,4)))</f>
      </c>
      <c r="J12" s="53">
        <f>IF((COUNTA($K$7:$AD$7)-COUNTBLANK($K$7:$AD$7))&lt;4,0,IF($K$7="",0,SUM(OFFSET($K11,1,MATCH("",$K$7:$AD$7,0)-5,1,4))))</f>
      </c>
      <c r="K12" s="52">
        <v>2.799526</v>
      </c>
      <c r="L12" s="52">
        <v>2.921689</v>
      </c>
      <c r="M12" s="52">
        <v>3.417888</v>
      </c>
      <c r="N12" s="52">
        <v>3.44463</v>
      </c>
      <c r="O12" s="52">
        <v>3.772403</v>
      </c>
      <c r="P12" s="52">
        <v>4.033132</v>
      </c>
      <c r="Q12" s="52">
        <v>4.173639</v>
      </c>
      <c r="R12" s="52">
        <v>5.137835</v>
      </c>
      <c r="S12" s="52">
        <v>4.184133</v>
      </c>
      <c r="T12" s="52">
        <f>8.915169-S12</f>
      </c>
      <c r="U12" s="52">
        <f>12.707469-SUM(S12:T12)</f>
      </c>
      <c r="V12" s="52">
        <f>17.345029-SUM(S12:U12)</f>
      </c>
      <c r="W12" s="52">
        <v>4.797252</v>
      </c>
      <c r="X12" s="52"/>
      <c r="Y12" s="52"/>
      <c r="Z12" s="52"/>
      <c r="AA12" s="52"/>
      <c r="AB12" s="52"/>
      <c r="AC12" s="52"/>
      <c r="AD12" s="52"/>
      <c r="AE12" s="1"/>
      <c r="AF12" s="9"/>
      <c r="AG12" s="9"/>
    </row>
    <row x14ac:dyDescent="0.25" r="13" customHeight="1" ht="19.5">
      <c r="A13" s="1"/>
      <c r="B13" s="1"/>
      <c r="C13" s="51" t="s">
        <v>14</v>
      </c>
      <c r="D13" s="52"/>
      <c r="E13" s="52"/>
      <c r="F13" s="52">
        <v>0</v>
      </c>
      <c r="G13" s="53">
        <f>SUM(K13:N13)</f>
      </c>
      <c r="H13" s="54">
        <f>IF(OR((YEAR($E$3)=YEAR($K$7)),$I$1="No"),0,SUM(OFFSET($K12,1,MATCH(YEAR($E$3)-1,$K$1:$AD$1,0)-1,1,COUNTIF($K$1:$AD$1,YEAR($E$3)))))</f>
      </c>
      <c r="I13" s="54">
        <f>IF($K$7="",0,SUM(OFFSET($K12,1,MATCH(YEAR($E$3),$K$1:$AD$1,0)-1,1,4)))</f>
      </c>
      <c r="J13" s="53">
        <f>IF((COUNTA($K$7:$AD$7)-COUNTBLANK($K$7:$AD$7))&lt;4,0,IF($K$7="",0,SUM(OFFSET($K12,1,MATCH("",$K$7:$AD$7,0)-5,1,4))))</f>
      </c>
      <c r="K13" s="52">
        <f>2.79436+K12-K11</f>
      </c>
      <c r="L13" s="52">
        <f>(9.132163-K14)+L12-L11</f>
      </c>
      <c r="M13" s="52">
        <f>(14.666594-SUM(K14:L14))+M12-M11</f>
      </c>
      <c r="N13" s="52">
        <f>(20.434103-SUM(K14:M14))+N12-N11</f>
      </c>
      <c r="O13" s="52">
        <f>9.054507+O12-O11</f>
      </c>
      <c r="P13" s="52">
        <f>(20.064342-O14)+P12-P11</f>
      </c>
      <c r="Q13" s="52">
        <f>(29.635317-SUM(O14:P14))+Q12-Q11</f>
      </c>
      <c r="R13" s="52">
        <f>(34.245044-SUM(O14:Q14))+R12-R11</f>
      </c>
      <c r="S13" s="52">
        <f>7.271363+S12-S11</f>
      </c>
      <c r="T13" s="52">
        <f>(13.615084-S14)+T12-T11</f>
      </c>
      <c r="U13" s="52">
        <f>(20.302206-SUM(S14:T14))+U12-U11</f>
      </c>
      <c r="V13" s="52">
        <f>(24.041748-SUM(S14:U14))+V12-V11</f>
      </c>
      <c r="W13" s="52">
        <f>4.370577+W12-W11</f>
      </c>
      <c r="X13" s="52"/>
      <c r="Y13" s="52"/>
      <c r="Z13" s="52"/>
      <c r="AA13" s="52"/>
      <c r="AB13" s="52"/>
      <c r="AC13" s="52"/>
      <c r="AD13" s="52"/>
      <c r="AE13" s="1"/>
      <c r="AF13" s="9"/>
      <c r="AG13" s="9"/>
    </row>
    <row x14ac:dyDescent="0.25" r="14" customHeight="1" ht="19.5">
      <c r="A14" s="12"/>
      <c r="B14" s="12"/>
      <c r="C14" s="55" t="s">
        <v>15</v>
      </c>
      <c r="D14" s="56">
        <f>D11-D12+D13</f>
      </c>
      <c r="E14" s="56">
        <f>E11-E12+E13</f>
      </c>
      <c r="F14" s="56">
        <f>F11-F12+F13</f>
      </c>
      <c r="G14" s="58">
        <f>G11-G12+G13</f>
      </c>
      <c r="H14" s="57">
        <f>H11-H12+H13</f>
      </c>
      <c r="I14" s="56">
        <f>I11-I12+I13</f>
      </c>
      <c r="J14" s="58">
        <f>J11-J12+J13</f>
      </c>
      <c r="K14" s="57">
        <f>K11-K12+K13</f>
      </c>
      <c r="L14" s="56">
        <f>L11-L12+L13</f>
      </c>
      <c r="M14" s="56">
        <f>M11-M12+M13</f>
      </c>
      <c r="N14" s="56">
        <f>N11-N12+N13</f>
      </c>
      <c r="O14" s="56">
        <f>O11-O12+O13</f>
      </c>
      <c r="P14" s="56">
        <f>P11-P12+P13</f>
      </c>
      <c r="Q14" s="56">
        <f>Q11-Q12+Q13</f>
      </c>
      <c r="R14" s="56">
        <f>R11-R12+R13</f>
      </c>
      <c r="S14" s="56">
        <f>S11-S12+S13</f>
      </c>
      <c r="T14" s="56">
        <f>T11-T12+T13</f>
      </c>
      <c r="U14" s="56">
        <f>U11-U12+U13</f>
      </c>
      <c r="V14" s="56">
        <f>V11-V12+V13</f>
      </c>
      <c r="W14" s="56">
        <f>W11-W12+W13</f>
      </c>
      <c r="X14" s="56">
        <f>X11-X12+X13</f>
      </c>
      <c r="Y14" s="56">
        <f>Y11-Y12+Y13</f>
      </c>
      <c r="Z14" s="56">
        <f>Z11-Z12+Z13</f>
      </c>
      <c r="AA14" s="56">
        <f>AA11-AA12+AA13</f>
      </c>
      <c r="AB14" s="56">
        <f>AB11-AB12+AB13</f>
      </c>
      <c r="AC14" s="56">
        <f>AC11-AC12+AC13</f>
      </c>
      <c r="AD14" s="56">
        <f>AD11-AD12+AD13</f>
      </c>
      <c r="AE14" s="12"/>
      <c r="AF14" s="9"/>
      <c r="AG14" s="59"/>
    </row>
    <row x14ac:dyDescent="0.25" r="15" customHeight="1" ht="19.5">
      <c r="A15" s="1"/>
      <c r="B15" s="1"/>
      <c r="C15" s="51" t="s">
        <v>16</v>
      </c>
      <c r="D15" s="52"/>
      <c r="E15" s="52"/>
      <c r="F15" s="52">
        <v>0.599694</v>
      </c>
      <c r="G15" s="53">
        <f>SUM(K15:N15)</f>
      </c>
      <c r="H15" s="54">
        <f>IF(OR((YEAR($E$3)=YEAR($K$7)),$I$1="No"),0,SUM(OFFSET($K14,1,MATCH(YEAR($E$3)-1,$K$1:$AD$1,0)-1,1,COUNTIF($K$1:$AD$1,YEAR($E$3)))))</f>
      </c>
      <c r="I15" s="54">
        <f>IF($K$7="",0,SUM(OFFSET($K14,1,MATCH(YEAR($E$3),$K$1:$AD$1,0)-1,1,4)))</f>
      </c>
      <c r="J15" s="53">
        <f>IF((COUNTA($K$7:$AD$7)-COUNTBLANK($K$7:$AD$7))&lt;4,0,IF($K$7="",0,SUM(OFFSET($K14,1,MATCH("",$K$7:$AD$7,0)-5,1,4))))</f>
      </c>
      <c r="K15" s="60">
        <v>0.326901</v>
      </c>
      <c r="L15" s="52">
        <f>0.680057</f>
      </c>
      <c r="M15" s="52">
        <f>1.101031-L15-K15</f>
      </c>
      <c r="N15" s="52">
        <f>1.665252-M15-L15-K15</f>
      </c>
      <c r="O15" s="52">
        <f>1.329407-0.325731</f>
      </c>
      <c r="P15" s="52">
        <f>2.789375-0.268321-O15</f>
      </c>
      <c r="Q15" s="52">
        <f>5.569401-0.11635-P15-O15</f>
      </c>
      <c r="R15" s="52">
        <f>5.736841+2.115676-Q15-P15-O15</f>
      </c>
      <c r="S15" s="52">
        <f>0.113403+0.640214</f>
      </c>
      <c r="T15" s="52">
        <f>0.268755-S15</f>
      </c>
      <c r="U15" s="52">
        <f>0.311831-SUM(S15:T15)</f>
      </c>
      <c r="V15" s="52">
        <f>0.527775+3.954606-SUM(S15:U15)</f>
      </c>
      <c r="W15" s="52">
        <f>0.030641+1.621615</f>
      </c>
      <c r="X15" s="52"/>
      <c r="Y15" s="52"/>
      <c r="Z15" s="52"/>
      <c r="AA15" s="52"/>
      <c r="AB15" s="52"/>
      <c r="AC15" s="52"/>
      <c r="AD15" s="52"/>
      <c r="AE15" s="1"/>
      <c r="AF15" s="9"/>
      <c r="AG15" s="9"/>
    </row>
    <row x14ac:dyDescent="0.25" r="16" customHeight="1" ht="19.5">
      <c r="A16" s="1"/>
      <c r="B16" s="1"/>
      <c r="C16" s="51" t="s">
        <v>17</v>
      </c>
      <c r="D16" s="52"/>
      <c r="E16" s="52"/>
      <c r="F16" s="52">
        <v>0.344193</v>
      </c>
      <c r="G16" s="53">
        <f>SUM(K16:N16)</f>
      </c>
      <c r="H16" s="54">
        <f>IF(OR((YEAR($E$3)=YEAR($K$7)),$I$1="No"),0,SUM(OFFSET($K15,1,MATCH(YEAR($E$3)-1,$K$1:$AD$1,0)-1,1,COUNTIF($K$1:$AD$1,YEAR($E$3)))))</f>
      </c>
      <c r="I16" s="54">
        <f>IF($K$7="",0,SUM(OFFSET($K15,1,MATCH(YEAR($E$3),$K$1:$AD$1,0)-1,1,4)))</f>
      </c>
      <c r="J16" s="53">
        <f>IF((COUNTA($K$7:$AD$7)-COUNTBLANK($K$7:$AD$7))&lt;4,0,IF($K$7="",0,SUM(OFFSET($K15,1,MATCH("",$K$7:$AD$7,0)-5,1,4))))</f>
      </c>
      <c r="K16" s="60"/>
      <c r="L16" s="52"/>
      <c r="M16" s="52">
        <v>0</v>
      </c>
      <c r="N16" s="52">
        <v>0</v>
      </c>
      <c r="O16" s="52">
        <f>0.02678+0.02838</f>
      </c>
      <c r="P16" s="52">
        <f>0.511286+0.023767</f>
      </c>
      <c r="Q16" s="52">
        <v>0</v>
      </c>
      <c r="R16" s="52">
        <f>0.000286</f>
      </c>
      <c r="S16" s="52">
        <f>0.005553+0.01419</f>
      </c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1"/>
      <c r="AF16" s="9"/>
      <c r="AG16" s="9"/>
    </row>
    <row x14ac:dyDescent="0.25" r="17" customHeight="1" ht="19.5">
      <c r="A17" s="1"/>
      <c r="B17" s="1"/>
      <c r="C17" s="51" t="s">
        <v>18</v>
      </c>
      <c r="D17" s="52"/>
      <c r="E17" s="52"/>
      <c r="F17" s="52">
        <v>2.852334</v>
      </c>
      <c r="G17" s="53">
        <f>SUM(K17:N17)</f>
      </c>
      <c r="H17" s="54">
        <f>IF(OR((YEAR($E$3)=YEAR($K$7)),$I$1="No"),0,SUM(OFFSET($K16,1,MATCH(YEAR($E$3)-1,$K$1:$AD$1,0)-1,1,COUNTIF($K$1:$AD$1,YEAR($E$3)))))</f>
      </c>
      <c r="I17" s="54">
        <f>IF($K$7="",0,SUM(OFFSET($K16,1,MATCH(YEAR($E$3),$K$1:$AD$1,0)-1,1,4)))</f>
      </c>
      <c r="J17" s="53">
        <f>IF((COUNTA($K$7:$AD$7)-COUNTBLANK($K$7:$AD$7))&lt;4,0,IF($K$7="",0,SUM(OFFSET($K16,1,MATCH("",$K$7:$AD$7,0)-5,1,4))))</f>
      </c>
      <c r="K17" s="60">
        <v>6.932103</v>
      </c>
      <c r="L17" s="52"/>
      <c r="M17" s="52">
        <f>0.290207+0.290207+0.277127</f>
      </c>
      <c r="N17" s="52">
        <f>0.412063+0.412984+0.556848</f>
      </c>
      <c r="O17" s="52">
        <f>0.483922+0.442641+0.480867</f>
      </c>
      <c r="P17" s="52">
        <f>0.452598+0.456327+0.441801</f>
      </c>
      <c r="Q17" s="52">
        <f>0.467591+0.575635+0.539044</f>
      </c>
      <c r="R17" s="52">
        <f>1.150529+1.418704+1.768248</f>
      </c>
      <c r="S17" s="52">
        <f>1.340994+1.206322+1.334989</f>
      </c>
      <c r="T17" s="52">
        <f>7.874029-S17</f>
      </c>
      <c r="U17" s="52">
        <f>12.166709-SUM(S17:T17)</f>
      </c>
      <c r="V17" s="52">
        <f>16.66247-SUM(S17:U17)</f>
      </c>
      <c r="W17" s="52">
        <v>4.655483</v>
      </c>
      <c r="X17" s="52"/>
      <c r="Y17" s="52"/>
      <c r="Z17" s="52"/>
      <c r="AA17" s="52"/>
      <c r="AB17" s="52"/>
      <c r="AC17" s="52"/>
      <c r="AD17" s="52"/>
      <c r="AE17" s="1"/>
      <c r="AF17" s="9"/>
      <c r="AG17" s="9"/>
    </row>
    <row x14ac:dyDescent="0.25" r="18" customHeight="1" ht="19.5">
      <c r="A18" s="1"/>
      <c r="B18" s="1"/>
      <c r="C18" s="51" t="s">
        <v>19</v>
      </c>
      <c r="D18" s="52"/>
      <c r="E18" s="52"/>
      <c r="F18" s="52">
        <f>-(19.374325-0.010141-0.061438+0.036711+14.217988-0.116717+1.269833)</f>
      </c>
      <c r="G18" s="53">
        <f>SUM(K18:N18)</f>
      </c>
      <c r="H18" s="54">
        <f>IF(OR((YEAR($E$3)=YEAR($K$7)),$I$1="No"),0,SUM(OFFSET($K17,1,MATCH(YEAR($E$3)-1,$K$1:$AD$1,0)-1,1,COUNTIF($K$1:$AD$1,YEAR($E$3)))))</f>
      </c>
      <c r="I18" s="54">
        <f>IF($K$7="",0,SUM(OFFSET($K17,1,MATCH(YEAR($E$3),$K$1:$AD$1,0)-1,1,4)))</f>
      </c>
      <c r="J18" s="53">
        <f>IF((COUNTA($K$7:$AD$7)-COUNTBLANK($K$7:$AD$7))&lt;4,0,IF($K$7="",0,SUM(OFFSET($K17,1,MATCH("",$K$7:$AD$7,0)-5,1,4))))</f>
      </c>
      <c r="K18" s="60">
        <f>-SUM(-7.552778,-5.03293,-0.53726,0.029583,3.664136,6.974499,-0.1,0.001151)</f>
      </c>
      <c r="L18" s="52">
        <f>(-(-18.421075-7.146254-2.758165-0.020141-0.275875+23.4732+12.553455+0.002729))-K18</f>
      </c>
      <c r="M18" s="52">
        <f>-SUM(-23.102474,-10.341703,-2.885756,-0.085314,23.701004,15.443627,-0.280095,0.003956)-L18-K18</f>
      </c>
      <c r="N18" s="52">
        <f>-(-24.186727-10.707697-4.399125-0.204717+0.208072+26.316073+17.246941+0.005285)-M18-L18-K18</f>
      </c>
      <c r="O18" s="52">
        <f>-(-18.443568-5.472231+0.917741-0.038402-0.087298+9.237419+6.861337-0.000299)</f>
      </c>
      <c r="P18" s="52">
        <f>-(-14.015128-3.427399+0.334498-0.065675-0.099774+4.753154+3.657801-0.095698)-O18</f>
      </c>
      <c r="Q18" s="52">
        <f>-(-9.524454-0.244042+0.005433-0.090345-0.104589+0.98144+1.225367+1.071251)-P18-O18</f>
      </c>
      <c r="R18" s="52">
        <f>-(2.441541+1.796018-1.067992-0.226962-7.289488-9.383249+2.69615+9.383132)-Q18-P18-O18</f>
      </c>
      <c r="S18" s="52">
        <f>-(-3.288125+3.676987+1.003736+0.276586+0.15938+0.004135+7.048837-6.353757-0.033539)</f>
      </c>
      <c r="T18" s="52">
        <f>(-(3.711415+4.078926-3.207344+0.552781+0.2812+0.006804+13.054054-7.12325-0.368971))-S18</f>
      </c>
      <c r="U18" s="52">
        <f>(-(-0.576584+4.817931+1.143387+0.828763+0.049815+0.006185+8.081686-8.009279-0.710316))-SUM(S18:T18)</f>
      </c>
      <c r="V18" s="52">
        <f>(-(-1.025029+6.061351-0.501682+0.38908-0.010754+5.764471-11.366203-1.263167))-SUM(S18:U18)</f>
      </c>
      <c r="W18" s="52">
        <f>-(-9.410457-4.267414+2.84357+0.13672-0.105876+0.000606+11.717458+4.764895-0.209106)</f>
      </c>
      <c r="X18" s="52"/>
      <c r="Y18" s="52"/>
      <c r="Z18" s="52"/>
      <c r="AA18" s="52"/>
      <c r="AB18" s="52"/>
      <c r="AC18" s="52"/>
      <c r="AD18" s="52"/>
      <c r="AE18" s="1"/>
      <c r="AF18" s="9"/>
      <c r="AG18" s="9"/>
    </row>
    <row x14ac:dyDescent="0.25" r="19" customHeight="1" ht="19.5">
      <c r="A19" s="12"/>
      <c r="B19" s="12"/>
      <c r="C19" s="55" t="s">
        <v>20</v>
      </c>
      <c r="D19" s="56">
        <f>IF(D14="-","-",D14-D15-D16-D17-D18)</f>
      </c>
      <c r="E19" s="56">
        <f>IF(E14="-","-",E14-E15-E16-E17-E18)</f>
      </c>
      <c r="F19" s="56">
        <f>IF(F14="-","-",F14-F15-F16-F17-F18)</f>
      </c>
      <c r="G19" s="56">
        <f>IF(G14="-","-",G14-G15-G16-G17-G18)</f>
      </c>
      <c r="H19" s="57">
        <f>IF(H14="-","-",H14-H15-H16-H17-H18)</f>
      </c>
      <c r="I19" s="56">
        <f>IF(I14="-","-",I14-I15-I16-I17-I18)</f>
      </c>
      <c r="J19" s="58">
        <f>IF(J14="-","-",J14-J15-J16-J17-J18)</f>
      </c>
      <c r="K19" s="57">
        <f>IF(K14="-","-",K14-K15-K16-K17-K18)</f>
      </c>
      <c r="L19" s="56">
        <f>IF(L14="-","-",L14-L15-L16-L17-L18)</f>
      </c>
      <c r="M19" s="56">
        <f>IF(M14="-","-",M14-M15-M16-M17-M18)</f>
      </c>
      <c r="N19" s="56">
        <f>IF(N14="-","-",N14-N15-N16-N17-N18)</f>
      </c>
      <c r="O19" s="56">
        <f>IF(O14="-","-",O14-O15-O16-O17-O18)</f>
      </c>
      <c r="P19" s="56">
        <f>IF(P14="-","-",P14-P15-P16-P17-P18)</f>
      </c>
      <c r="Q19" s="56">
        <f>IF(Q14="-","-",Q14-Q15-Q16-Q17-Q18)</f>
      </c>
      <c r="R19" s="56">
        <f>IF(R14="-","-",R14-R15-R16-R17-R18)</f>
      </c>
      <c r="S19" s="56">
        <f>IF(S14="-","-",S14-S15-S16-S17-S18)</f>
      </c>
      <c r="T19" s="56">
        <f>IF(T14="-","-",T14-T15-T16-T17-T18)</f>
      </c>
      <c r="U19" s="56">
        <f>IF(U14="-","-",U14-U15-U16-U17-U18)</f>
      </c>
      <c r="V19" s="56">
        <f>IF(V14="-","-",V14-V15-V16-V17-V18)</f>
      </c>
      <c r="W19" s="56">
        <f>IF(W14="-","-",W14-W15-W16-W17-W18)</f>
      </c>
      <c r="X19" s="56">
        <f>IF(X14="-","-",X14-X15-X16-X17-X18)</f>
      </c>
      <c r="Y19" s="56">
        <f>IF(Y14="-","-",Y14-Y15-Y16-Y17-Y18)</f>
      </c>
      <c r="Z19" s="56">
        <f>IF(Z14="-","-",Z14-Z15-Z16-Z17-Z18)</f>
      </c>
      <c r="AA19" s="56">
        <f>IF(AA14="-","-",AA14-AA15-AA16-AA17-AA18)</f>
      </c>
      <c r="AB19" s="56">
        <f>IF(AB14="-","-",AB14-AB15-AB16-AB17-AB18)</f>
      </c>
      <c r="AC19" s="56">
        <f>IF(AC14="-","-",AC14-AC15-AC16-AC17-AC18)</f>
      </c>
      <c r="AD19" s="56">
        <f>IF(AD14="-","-",AD14-AD15-AD16-AD17-AD18)</f>
      </c>
      <c r="AE19" s="12"/>
      <c r="AF19" s="9"/>
      <c r="AG19" s="9"/>
    </row>
    <row x14ac:dyDescent="0.25" r="20" customHeight="1" ht="19.5">
      <c r="A20" s="1"/>
      <c r="B20" s="1"/>
      <c r="C20" s="61" t="s">
        <v>21</v>
      </c>
      <c r="D20" s="62">
        <f>+IF(D11=0,0,D11/D9)</f>
      </c>
      <c r="E20" s="62">
        <f>+IF(E11=0,0,E11/E9)</f>
      </c>
      <c r="F20" s="62">
        <f>+IF(F11=0,0,F11/F9)</f>
      </c>
      <c r="G20" s="63">
        <f>+IF(G11=0,0,G11/G9)</f>
      </c>
      <c r="H20" s="64">
        <f>+IF(H11=0,0,H11/H9)</f>
      </c>
      <c r="I20" s="62">
        <f>+IF(I11=0,0,I11/I9)</f>
      </c>
      <c r="J20" s="63">
        <f>+IF(J11=0,0,J11/J9)</f>
      </c>
      <c r="K20" s="64">
        <f>+IF(K11=0,0,K11/K9)</f>
      </c>
      <c r="L20" s="62">
        <f>+IF(L11=0,0,L11/L9)</f>
      </c>
      <c r="M20" s="62">
        <f>+IF(M11=0,0,M11/M9)</f>
      </c>
      <c r="N20" s="62">
        <f>+IF(N11=0,0,N11/N9)</f>
      </c>
      <c r="O20" s="62">
        <f>+IF(O11=0,0,O11/O9)</f>
      </c>
      <c r="P20" s="62">
        <f>+IF(P11=0,0,P11/P9)</f>
      </c>
      <c r="Q20" s="62">
        <f>+IF(Q11=0,0,Q11/Q9)</f>
      </c>
      <c r="R20" s="62">
        <f>+IF(R11=0,0,R11/R9)</f>
      </c>
      <c r="S20" s="62">
        <f>+IF(S11=0,0,S11/S9)</f>
      </c>
      <c r="T20" s="62">
        <f>+IF(T11=0,0,T11/T9)</f>
      </c>
      <c r="U20" s="62">
        <f>+IF(U11=0,0,U11/U9)</f>
      </c>
      <c r="V20" s="62">
        <f>+IF(V11=0,0,V11/V9)</f>
      </c>
      <c r="W20" s="62">
        <f>+IF(W11=0,0,W11/W9)</f>
      </c>
      <c r="X20" s="62">
        <f>+IF(X11=0,0,X11/X9)</f>
      </c>
      <c r="Y20" s="62">
        <f>+IF(Y11=0,0,Y11/Y9)</f>
      </c>
      <c r="Z20" s="62">
        <f>+IF(Z11=0,0,Z11/Z9)</f>
      </c>
      <c r="AA20" s="62">
        <f>+IF(AA11=0,0,AA11/AA9)</f>
      </c>
      <c r="AB20" s="62">
        <f>+IF(AB11=0,0,AB11/AB9)</f>
      </c>
      <c r="AC20" s="62">
        <f>+IF(AC11=0,0,AC11/AC9)</f>
      </c>
      <c r="AD20" s="62">
        <f>+IF(AD11=0,0,AD11/AD9)</f>
      </c>
      <c r="AE20" s="1"/>
      <c r="AF20" s="9"/>
      <c r="AG20" s="9"/>
    </row>
    <row x14ac:dyDescent="0.25" r="21" customHeight="1" ht="19.5">
      <c r="A21" s="1"/>
      <c r="B21" s="1"/>
      <c r="C21" s="65" t="s">
        <v>22</v>
      </c>
      <c r="D21" s="66">
        <f>+IF(D14=0,0,D14/D9)</f>
      </c>
      <c r="E21" s="66">
        <f>+IF(E14=0,0,E14/E9)</f>
      </c>
      <c r="F21" s="66">
        <f>+IF(F14=0,0,F14/F9)</f>
      </c>
      <c r="G21" s="67">
        <f>+IF(G14=0,0,G14/G9)</f>
      </c>
      <c r="H21" s="68">
        <f>+IF(H14=0,0,H14/H9)</f>
      </c>
      <c r="I21" s="66">
        <f>+IF(I14=0,0,I14/I9)</f>
      </c>
      <c r="J21" s="67">
        <f>+IF(J14=0,0,J14/J9)</f>
      </c>
      <c r="K21" s="68">
        <f>+IF(K14=0,0,K14/K9)</f>
      </c>
      <c r="L21" s="66">
        <f>+IF(L14=0,0,L14/L9)</f>
      </c>
      <c r="M21" s="66">
        <f>+IF(M14=0,0,M14/M9)</f>
      </c>
      <c r="N21" s="66">
        <f>+IF(N14=0,0,N14/N9)</f>
      </c>
      <c r="O21" s="66">
        <f>+IF(O14=0,0,O14/O9)</f>
      </c>
      <c r="P21" s="66">
        <f>+IF(P14=0,0,P14/P9)</f>
      </c>
      <c r="Q21" s="66">
        <f>+IF(Q14=0,0,Q14/Q9)</f>
      </c>
      <c r="R21" s="66">
        <f>+IF(R14=0,0,R14/R9)</f>
      </c>
      <c r="S21" s="66">
        <f>+IF(S14=0,0,S14/S9)</f>
      </c>
      <c r="T21" s="66">
        <f>+IF(T14=0,0,T14/T9)</f>
      </c>
      <c r="U21" s="66">
        <f>+IF(U14=0,0,U14/U9)</f>
      </c>
      <c r="V21" s="66">
        <f>+IF(V14=0,0,V14/V9)</f>
      </c>
      <c r="W21" s="66">
        <f>+IF(W14=0,0,W14/W9)</f>
      </c>
      <c r="X21" s="66">
        <f>+IF(X14=0,0,X14/X9)</f>
      </c>
      <c r="Y21" s="66">
        <f>+IF(Y14=0,0,Y14/Y9)</f>
      </c>
      <c r="Z21" s="66">
        <f>+IF(Z14=0,0,Z14/Z9)</f>
      </c>
      <c r="AA21" s="66">
        <f>+IF(AA14=0,0,AA14/AA9)</f>
      </c>
      <c r="AB21" s="66">
        <f>+IF(AB14=0,0,AB14/AB9)</f>
      </c>
      <c r="AC21" s="66">
        <f>+IF(AC14=0,0,AC14/AC9)</f>
      </c>
      <c r="AD21" s="66">
        <f>+IF(AD14=0,0,AD14/AD9)</f>
      </c>
      <c r="AE21" s="1"/>
      <c r="AF21" s="9"/>
      <c r="AG21" s="9"/>
    </row>
    <row x14ac:dyDescent="0.25" r="22" customHeight="1" ht="19.5">
      <c r="A22" s="1"/>
      <c r="B22" s="1"/>
      <c r="C22" s="61"/>
      <c r="D22" s="62"/>
      <c r="E22" s="62"/>
      <c r="F22" s="62"/>
      <c r="G22" s="63"/>
      <c r="H22" s="64"/>
      <c r="I22" s="62"/>
      <c r="J22" s="63"/>
      <c r="K22" s="64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1"/>
      <c r="AF22" s="9"/>
      <c r="AG22" s="9"/>
    </row>
    <row x14ac:dyDescent="0.25" r="23" customHeight="1" ht="19.5">
      <c r="A23" s="1"/>
      <c r="B23" s="1"/>
      <c r="C23" s="55" t="s">
        <v>23</v>
      </c>
      <c r="D23" s="62"/>
      <c r="E23" s="62"/>
      <c r="F23" s="62"/>
      <c r="G23" s="63"/>
      <c r="H23" s="64"/>
      <c r="I23" s="62"/>
      <c r="J23" s="63"/>
      <c r="K23" s="64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1"/>
      <c r="AF23" s="9"/>
      <c r="AG23" s="9"/>
    </row>
    <row x14ac:dyDescent="0.25" r="24" customHeight="1" ht="19.5">
      <c r="A24" s="1"/>
      <c r="B24" s="1"/>
      <c r="C24" s="51" t="s">
        <v>24</v>
      </c>
      <c r="D24" s="56">
        <f>+D9</f>
      </c>
      <c r="E24" s="56">
        <f>+E9</f>
      </c>
      <c r="F24" s="56">
        <f>+F9</f>
      </c>
      <c r="G24" s="56">
        <f>+G9</f>
      </c>
      <c r="H24" s="64"/>
      <c r="I24" s="62"/>
      <c r="J24" s="63"/>
      <c r="K24" s="60">
        <v>72.554081</v>
      </c>
      <c r="L24" s="52"/>
      <c r="M24" s="52">
        <v>30.169856</v>
      </c>
      <c r="N24" s="56">
        <f>+SUM(K9:N9)</f>
      </c>
      <c r="O24" s="56">
        <f>+SUM(L9:O9)</f>
      </c>
      <c r="P24" s="56">
        <f>+SUM(M9:P9)</f>
      </c>
      <c r="Q24" s="56">
        <f>+SUM(N9:Q9)</f>
      </c>
      <c r="R24" s="56">
        <f>+SUM(O9:R9)</f>
      </c>
      <c r="S24" s="56">
        <f>+SUM(P9:S9)</f>
      </c>
      <c r="T24" s="56">
        <f>+SUM(Q9:T9)</f>
      </c>
      <c r="U24" s="56">
        <f>+SUM(R9:U9)</f>
      </c>
      <c r="V24" s="56">
        <f>+SUM(S9:V9)</f>
      </c>
      <c r="W24" s="56">
        <f>+SUM(T9:W9)</f>
      </c>
      <c r="X24" s="56">
        <f>+SUM(U9:X9)</f>
      </c>
      <c r="Y24" s="56">
        <f>+SUM(V9:Y9)</f>
      </c>
      <c r="Z24" s="56">
        <f>+SUM(W9:Z9)</f>
      </c>
      <c r="AA24" s="56">
        <f>+SUM(X9:AA9)</f>
      </c>
      <c r="AB24" s="56">
        <f>+SUM(Y9:AB9)</f>
      </c>
      <c r="AC24" s="56">
        <f>+SUM(Z9:AC9)</f>
      </c>
      <c r="AD24" s="56">
        <f>+SUM(AA9:AD9)</f>
      </c>
      <c r="AE24" s="1"/>
      <c r="AF24" s="9"/>
      <c r="AG24" s="9"/>
    </row>
    <row x14ac:dyDescent="0.25" r="25" customHeight="1" ht="19.5">
      <c r="A25" s="1"/>
      <c r="B25" s="1"/>
      <c r="C25" s="69" t="s">
        <v>15</v>
      </c>
      <c r="D25" s="70">
        <f>+D14</f>
      </c>
      <c r="E25" s="70">
        <f>+E14</f>
      </c>
      <c r="F25" s="70">
        <f>+F14</f>
      </c>
      <c r="G25" s="70">
        <f>+G14</f>
      </c>
      <c r="H25" s="71"/>
      <c r="I25" s="72"/>
      <c r="J25" s="73"/>
      <c r="K25" s="74">
        <v>13.162668</v>
      </c>
      <c r="L25" s="75"/>
      <c r="M25" s="75">
        <v>17.591181</v>
      </c>
      <c r="N25" s="70">
        <f>+SUM(K14:N14)</f>
      </c>
      <c r="O25" s="70">
        <f>+SUM(L14:O14)</f>
      </c>
      <c r="P25" s="70">
        <f>+SUM(M14:P14)</f>
      </c>
      <c r="Q25" s="70">
        <f>+SUM(N14:Q14)</f>
      </c>
      <c r="R25" s="70">
        <f>+SUM(O14:R14)</f>
      </c>
      <c r="S25" s="70">
        <f>+SUM(P14:S14)</f>
      </c>
      <c r="T25" s="70">
        <f>+SUM(Q14:T14)</f>
      </c>
      <c r="U25" s="70">
        <f>+SUM(R14:U14)</f>
      </c>
      <c r="V25" s="70">
        <f>+SUM(S14:V14)</f>
      </c>
      <c r="W25" s="70">
        <f>+SUM(T14:W14)</f>
      </c>
      <c r="X25" s="70">
        <f>+SUM(U14:X14)</f>
      </c>
      <c r="Y25" s="70">
        <f>+SUM(V14:Y14)</f>
      </c>
      <c r="Z25" s="70">
        <f>+SUM(W14:Z14)</f>
      </c>
      <c r="AA25" s="70">
        <f>+SUM(X14:AA14)</f>
      </c>
      <c r="AB25" s="70">
        <f>+SUM(Y14:AB14)</f>
      </c>
      <c r="AC25" s="70">
        <f>+SUM(Z14:AC14)</f>
      </c>
      <c r="AD25" s="70">
        <f>+SUM(AA14:AD14)</f>
      </c>
      <c r="AE25" s="1"/>
      <c r="AF25" s="9"/>
      <c r="AG25" s="9"/>
    </row>
    <row x14ac:dyDescent="0.25" r="26" customHeight="1" ht="18.75">
      <c r="A26" s="1"/>
      <c r="B26" s="1"/>
      <c r="C26" s="76"/>
      <c r="D26" s="77"/>
      <c r="E26" s="54"/>
      <c r="F26" s="54"/>
      <c r="G26" s="53"/>
      <c r="H26" s="78"/>
      <c r="I26" s="79"/>
      <c r="J26" s="53"/>
      <c r="K26" s="80"/>
      <c r="L26" s="81"/>
      <c r="M26" s="81"/>
      <c r="N26" s="81"/>
      <c r="O26" s="81"/>
      <c r="P26" s="81"/>
      <c r="Q26" s="81"/>
      <c r="R26" s="81"/>
      <c r="S26" s="81"/>
      <c r="T26" s="82"/>
      <c r="U26" s="82"/>
      <c r="V26" s="81"/>
      <c r="W26" s="82"/>
      <c r="X26" s="81"/>
      <c r="Y26" s="81"/>
      <c r="Z26" s="81"/>
      <c r="AA26" s="81"/>
      <c r="AB26" s="81"/>
      <c r="AC26" s="81"/>
      <c r="AD26" s="81"/>
      <c r="AE26" s="1"/>
      <c r="AF26" s="9"/>
      <c r="AG26" s="9"/>
    </row>
    <row x14ac:dyDescent="0.25" r="27" customHeight="1" ht="19.5">
      <c r="A27" s="1"/>
      <c r="B27" s="1"/>
      <c r="C27" s="55" t="s">
        <v>25</v>
      </c>
      <c r="D27" s="57"/>
      <c r="E27" s="56"/>
      <c r="F27" s="54"/>
      <c r="G27" s="53"/>
      <c r="H27" s="78"/>
      <c r="I27" s="79"/>
      <c r="J27" s="53"/>
      <c r="K27" s="80"/>
      <c r="L27" s="81"/>
      <c r="M27" s="81"/>
      <c r="N27" s="81"/>
      <c r="O27" s="81"/>
      <c r="P27" s="81"/>
      <c r="Q27" s="81"/>
      <c r="R27" s="81"/>
      <c r="S27" s="81"/>
      <c r="T27" s="82"/>
      <c r="U27" s="82"/>
      <c r="V27" s="81"/>
      <c r="W27" s="82"/>
      <c r="X27" s="81"/>
      <c r="Y27" s="81"/>
      <c r="Z27" s="81"/>
      <c r="AA27" s="81"/>
      <c r="AB27" s="81"/>
      <c r="AC27" s="81"/>
      <c r="AD27" s="81"/>
      <c r="AE27" s="1"/>
      <c r="AF27" s="9"/>
      <c r="AG27" s="9"/>
    </row>
    <row x14ac:dyDescent="0.25" r="28" customHeight="1" ht="18.75">
      <c r="A28" s="1"/>
      <c r="B28" s="1"/>
      <c r="C28" s="51" t="s">
        <v>26</v>
      </c>
      <c r="D28" s="83">
        <f>+IF(D17=0,0,D14/D17)</f>
      </c>
      <c r="E28" s="84">
        <f>+IF(E17=0,0,E14/E17)</f>
      </c>
      <c r="F28" s="84">
        <f>+IF(F17=0,0,F14/F17)</f>
      </c>
      <c r="G28" s="85">
        <f>+IF(G17=0,0,G14/G17)</f>
      </c>
      <c r="H28" s="83"/>
      <c r="I28" s="84"/>
      <c r="J28" s="85"/>
      <c r="K28" s="83">
        <f>+IF(K14=0,0,K14/K17)</f>
      </c>
      <c r="L28" s="54">
        <f>+IF(L14=0,0,L14/L17)</f>
      </c>
      <c r="M28" s="84">
        <f>+IF(M14=0,0,M14/M17)</f>
      </c>
      <c r="N28" s="84">
        <f>+IF(N14=0,0,N14/N17)</f>
      </c>
      <c r="O28" s="84">
        <f>+IF(O14=0,0,O14/O17)</f>
      </c>
      <c r="P28" s="84">
        <f>+IF(P14=0,0,P14/P17)</f>
      </c>
      <c r="Q28" s="84">
        <f>+IF(Q14=0,0,Q14/Q17)</f>
      </c>
      <c r="R28" s="84">
        <f>+IF(R14=0,0,R14/R17)</f>
      </c>
      <c r="S28" s="84">
        <f>+IF(S14=0,0,S14/S17)</f>
      </c>
      <c r="T28" s="84">
        <f>+IF(T14=0,0,T14/T17)</f>
      </c>
      <c r="U28" s="84">
        <f>+IF(U14=0,0,U14/U17)</f>
      </c>
      <c r="V28" s="84">
        <f>+IF(V14=0,0,V14/V17)</f>
      </c>
      <c r="W28" s="84">
        <f>+IF(W14=0,0,W14/W17)</f>
      </c>
      <c r="X28" s="84">
        <f>+IF(X14=0,0,X14/X17)</f>
      </c>
      <c r="Y28" s="84">
        <f>+IF(Y14=0,0,Y14/Y17)</f>
      </c>
      <c r="Z28" s="84">
        <f>+IF(Z14=0,0,Z14/Z17)</f>
      </c>
      <c r="AA28" s="84">
        <f>+IF(AA14=0,0,AA14/AA17)</f>
      </c>
      <c r="AB28" s="84">
        <f>+IF(AB14=0,0,AB14/AB17)</f>
      </c>
      <c r="AC28" s="84">
        <f>+IF(AC14=0,0,AC14/AC17)</f>
      </c>
      <c r="AD28" s="84">
        <f>+IF(AD14=0,0,AD14/AD17)</f>
      </c>
      <c r="AE28" s="1"/>
      <c r="AF28" s="9"/>
      <c r="AG28" s="9"/>
    </row>
    <row x14ac:dyDescent="0.25" r="29" customHeight="1" ht="18.75">
      <c r="A29" s="1"/>
      <c r="B29" s="1"/>
      <c r="C29" s="51" t="s">
        <v>27</v>
      </c>
      <c r="D29" s="83">
        <f>+IF(D25=0,0,((SUM(D54:D56)-D39)/D$25))</f>
      </c>
      <c r="E29" s="84">
        <f>+IF(E25=0,0,((SUM(E54:E56)-E39)/E$25))</f>
      </c>
      <c r="F29" s="84">
        <f>+IF(F25=0,0,((SUM(F54:F56)-F39)/F$25))</f>
      </c>
      <c r="G29" s="85">
        <f>+IF(G25=0,0,((SUM(G54:G56)-G39)/G$25))</f>
      </c>
      <c r="H29" s="83"/>
      <c r="I29" s="84"/>
      <c r="J29" s="85"/>
      <c r="K29" s="83">
        <f>+IF(K25=0,0,((SUM(K54:K56)-K39)/K$25))</f>
      </c>
      <c r="L29" s="84">
        <f>+IF(L25=0,0,((SUM(L54:L56)-L39)/L$25))</f>
      </c>
      <c r="M29" s="84">
        <f>+IF(M25=0,0,((SUM(M54:M56)-M39)/M$25))</f>
      </c>
      <c r="N29" s="84">
        <f>+IF(N25=0,0,((SUM(N54:N56)-N39)/N$25))</f>
      </c>
      <c r="O29" s="84">
        <f>+IF(O25=0,0,((SUM(O54:O56)-O39)/O$25))</f>
      </c>
      <c r="P29" s="84">
        <f>+IF(P25=0,0,((SUM(P54:P56)-P39)/P$25))</f>
      </c>
      <c r="Q29" s="84">
        <f>+IF(Q25=0,0,((SUM(Q54:Q56)-Q39)/Q$25))</f>
      </c>
      <c r="R29" s="84">
        <f>+IF(R25=0,0,((SUM(R54:R56)-R39)/R$25))</f>
      </c>
      <c r="S29" s="84">
        <f>+IF(S25=0,0,((SUM(S54:S56)-S39)/S$25))</f>
      </c>
      <c r="T29" s="84">
        <f>+IF(T25=0,0,((SUM(T54:T56)-T39)/T$25))</f>
      </c>
      <c r="U29" s="84">
        <f>+IF(U25=0,0,((SUM(U54:U56)-U39)/U$25))</f>
      </c>
      <c r="V29" s="84">
        <f>+IF(V25=0,0,((SUM(V54:V56)-V39)/V$25))</f>
      </c>
      <c r="W29" s="84">
        <f>+IF(W25=0,0,((SUM(W54:W56)-W39)/W$25))</f>
      </c>
      <c r="X29" s="84">
        <f>+IF(X25=0,0,((SUM(X54:X56)-X39)/X$25))</f>
      </c>
      <c r="Y29" s="84">
        <f>+IF(Y25=0,0,((SUM(Y54:Y56)-Y39)/Y$25))</f>
      </c>
      <c r="Z29" s="84">
        <f>+IF(Z25=0,0,((SUM(Z54:Z56)-Z39)/Z$25))</f>
      </c>
      <c r="AA29" s="84">
        <f>+IF(AA25=0,0,((SUM(AA54:AA56)-AA39)/AA$25))</f>
      </c>
      <c r="AB29" s="84">
        <f>+IF(AB25=0,0,((SUM(AB54:AB56)-AB39)/AB$25))</f>
      </c>
      <c r="AC29" s="84">
        <f>+IF(AC25=0,0,((SUM(AC54:AC56)-AC39)/AC$25))</f>
      </c>
      <c r="AD29" s="84">
        <f>+IF(AD25=0,0,((SUM(AD54:AD56)-AD39)/AD$25))</f>
      </c>
      <c r="AE29" s="1"/>
      <c r="AF29" s="9"/>
      <c r="AG29" s="9"/>
    </row>
    <row x14ac:dyDescent="0.25" r="30" customHeight="1" ht="18.75">
      <c r="A30" s="1"/>
      <c r="B30" s="1"/>
      <c r="C30" s="69" t="s">
        <v>28</v>
      </c>
      <c r="D30" s="86">
        <f>+IF(D25=0,0,(SUM(D54:D60)-D39)/D$25)</f>
      </c>
      <c r="E30" s="87">
        <f>+IF(E25=0,0,(SUM(E54:E60)-E39)/E$25)</f>
      </c>
      <c r="F30" s="87">
        <f>+IF(F25=0,0,(SUM(F54:F60)-F39)/F$25)</f>
      </c>
      <c r="G30" s="88">
        <f>+IF(G25=0,0,(SUM(G54:G60)-G39)/G$25)</f>
      </c>
      <c r="H30" s="86"/>
      <c r="I30" s="87"/>
      <c r="J30" s="88"/>
      <c r="K30" s="86">
        <f>+IF(K25=0,0,(SUM(K54:K60)-K39)/K$25)</f>
      </c>
      <c r="L30" s="87">
        <f>+IF(L25=0,0,(SUM(L54:L60)-L39)/L$25)</f>
      </c>
      <c r="M30" s="87">
        <f>+IF(M25=0,0,(SUM(M54:M60)-M39)/M$25)</f>
      </c>
      <c r="N30" s="87">
        <f>+IF(N25=0,0,(SUM(N54:N60)-N39)/N$25)</f>
      </c>
      <c r="O30" s="87">
        <f>+IF(O25=0,0,(SUM(O54:O60)-O39)/O$25)</f>
      </c>
      <c r="P30" s="87">
        <f>+IF(P25=0,0,(SUM(P54:P60)-P39)/P$25)</f>
      </c>
      <c r="Q30" s="87">
        <f>+IF(Q25=0,0,(SUM(Q54:Q60)-Q39)/Q$25)</f>
      </c>
      <c r="R30" s="87">
        <f>+IF(R25=0,0,(SUM(R54:R60)-R39)/R$25)</f>
      </c>
      <c r="S30" s="87">
        <f>+IF(S25=0,0,(SUM(S54:S60)-S39)/S$25)</f>
      </c>
      <c r="T30" s="87">
        <f>+IF(T25=0,0,(SUM(T54:T60)-T39)/T$25)</f>
      </c>
      <c r="U30" s="87">
        <f>+IF(U25=0,0,(SUM(U54:U60)-U39)/U$25)</f>
      </c>
      <c r="V30" s="87">
        <f>+IF(V25=0,0,(SUM(V54:V60)-V39)/V$25)</f>
      </c>
      <c r="W30" s="87">
        <f>+IF(W25=0,0,(SUM(W54:W60)-W39)/W$25)</f>
      </c>
      <c r="X30" s="87">
        <f>+IF(X25=0,0,(SUM(X54:X60)-X39)/X$25)</f>
      </c>
      <c r="Y30" s="87">
        <f>+IF(Y25=0,0,(SUM(Y54:Y60)-Y39)/Y$25)</f>
      </c>
      <c r="Z30" s="87">
        <f>+IF(Z25=0,0,(SUM(Z54:Z60)-Z39)/Z$25)</f>
      </c>
      <c r="AA30" s="87">
        <f>+IF(AA25=0,0,(SUM(AA54:AA60)-AA39)/AA$25)</f>
      </c>
      <c r="AB30" s="87">
        <f>+IF(AB25=0,0,(SUM(AB54:AB60)-AB39)/AB$25)</f>
      </c>
      <c r="AC30" s="87">
        <f>+IF(AC25=0,0,(SUM(AC54:AC60)-AC39)/AC$25)</f>
      </c>
      <c r="AD30" s="87">
        <f>+IF(AD25=0,0,(SUM(AD54:AD60)-AD39)/AD$25)</f>
      </c>
      <c r="AE30" s="1"/>
      <c r="AF30" s="9"/>
      <c r="AG30" s="9"/>
    </row>
    <row x14ac:dyDescent="0.25" r="31" customHeight="1" ht="18.75">
      <c r="A31" s="1"/>
      <c r="B31" s="1"/>
      <c r="C31" s="51"/>
      <c r="D31" s="83"/>
      <c r="E31" s="84"/>
      <c r="F31" s="84"/>
      <c r="G31" s="85"/>
      <c r="H31" s="83"/>
      <c r="I31" s="84"/>
      <c r="J31" s="85"/>
      <c r="K31" s="89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1"/>
      <c r="AF31" s="9"/>
      <c r="AG31" s="9"/>
    </row>
    <row x14ac:dyDescent="0.25" r="32" customHeight="1" ht="19.5">
      <c r="A32" s="1"/>
      <c r="B32" s="1"/>
      <c r="C32" s="55" t="s">
        <v>29</v>
      </c>
      <c r="D32" s="83"/>
      <c r="E32" s="84"/>
      <c r="F32" s="84"/>
      <c r="G32" s="85"/>
      <c r="H32" s="83"/>
      <c r="I32" s="84"/>
      <c r="J32" s="85"/>
      <c r="K32" s="89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1"/>
      <c r="AF32" s="9"/>
      <c r="AG32" s="9"/>
    </row>
    <row x14ac:dyDescent="0.25" r="33" customHeight="1" ht="19.5">
      <c r="A33" s="1"/>
      <c r="B33" s="1"/>
      <c r="C33" s="51" t="s">
        <v>26</v>
      </c>
      <c r="D33" s="91"/>
      <c r="E33" s="91"/>
      <c r="F33" s="91"/>
      <c r="G33" s="91"/>
      <c r="H33" s="83"/>
      <c r="I33" s="84"/>
      <c r="J33" s="85"/>
      <c r="K33" s="92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1"/>
      <c r="AF33" s="9"/>
      <c r="AG33" s="9"/>
    </row>
    <row x14ac:dyDescent="0.25" r="34" customHeight="1" ht="19.5">
      <c r="A34" s="1"/>
      <c r="B34" s="1"/>
      <c r="C34" s="51" t="s">
        <v>27</v>
      </c>
      <c r="D34" s="91"/>
      <c r="E34" s="91"/>
      <c r="F34" s="91"/>
      <c r="G34" s="91"/>
      <c r="H34" s="83"/>
      <c r="I34" s="84"/>
      <c r="J34" s="85"/>
      <c r="K34" s="92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1"/>
      <c r="AF34" s="9"/>
      <c r="AG34" s="9"/>
    </row>
    <row x14ac:dyDescent="0.25" r="35" customHeight="1" ht="19.5">
      <c r="A35" s="1"/>
      <c r="B35" s="1"/>
      <c r="C35" s="51" t="s">
        <v>28</v>
      </c>
      <c r="D35" s="91"/>
      <c r="E35" s="91"/>
      <c r="F35" s="91">
        <v>3.53</v>
      </c>
      <c r="G35" s="91"/>
      <c r="H35" s="83"/>
      <c r="I35" s="84"/>
      <c r="J35" s="85"/>
      <c r="K35" s="92">
        <v>3.36</v>
      </c>
      <c r="L35" s="91">
        <v>2.96</v>
      </c>
      <c r="M35" s="91">
        <v>2.49</v>
      </c>
      <c r="N35" s="91">
        <v>3.83</v>
      </c>
      <c r="O35" s="91">
        <v>2.95</v>
      </c>
      <c r="P35" s="91">
        <v>2.44</v>
      </c>
      <c r="Q35" s="91">
        <v>2.14</v>
      </c>
      <c r="R35" s="91">
        <v>4.36</v>
      </c>
      <c r="S35" s="91">
        <v>4.39</v>
      </c>
      <c r="T35" s="91">
        <v>5.12</v>
      </c>
      <c r="U35" s="91">
        <v>5.95</v>
      </c>
      <c r="V35" s="91"/>
      <c r="W35" s="91">
        <v>7.89</v>
      </c>
      <c r="X35" s="91"/>
      <c r="Y35" s="91"/>
      <c r="Z35" s="91"/>
      <c r="AA35" s="91"/>
      <c r="AB35" s="91"/>
      <c r="AC35" s="91"/>
      <c r="AD35" s="91"/>
      <c r="AE35" s="1"/>
      <c r="AF35" s="9"/>
      <c r="AG35" s="9"/>
    </row>
    <row x14ac:dyDescent="0.25" r="36" customHeight="1" ht="15">
      <c r="A36" s="1"/>
      <c r="B36" s="1"/>
      <c r="C36" s="51" t="s">
        <v>30</v>
      </c>
      <c r="D36" s="91"/>
      <c r="E36" s="91"/>
      <c r="F36" s="91"/>
      <c r="G36" s="91"/>
      <c r="H36" s="77"/>
      <c r="I36" s="54"/>
      <c r="J36" s="53"/>
      <c r="K36" s="92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1"/>
      <c r="AF36" s="9"/>
      <c r="AG36" s="9"/>
    </row>
    <row x14ac:dyDescent="0.25" r="37" customHeight="1" ht="15">
      <c r="A37" s="1"/>
      <c r="B37" s="1"/>
      <c r="C37" s="51"/>
      <c r="D37" s="77"/>
      <c r="E37" s="54"/>
      <c r="F37" s="54"/>
      <c r="G37" s="53"/>
      <c r="H37" s="77"/>
      <c r="I37" s="54"/>
      <c r="J37" s="53"/>
      <c r="K37" s="93"/>
      <c r="L37" s="93"/>
      <c r="M37" s="93"/>
      <c r="N37" s="93"/>
      <c r="O37" s="93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1"/>
      <c r="AF37" s="9"/>
      <c r="AG37" s="9"/>
    </row>
    <row x14ac:dyDescent="0.25" r="38" customHeight="1" ht="16.95">
      <c r="A38" s="1"/>
      <c r="B38" s="1"/>
      <c r="C38" s="45" t="s">
        <v>31</v>
      </c>
      <c r="D38" s="46"/>
      <c r="E38" s="46"/>
      <c r="F38" s="46"/>
      <c r="G38" s="47"/>
      <c r="H38" s="48"/>
      <c r="I38" s="49"/>
      <c r="J38" s="47"/>
      <c r="K38" s="46"/>
      <c r="L38" s="46"/>
      <c r="M38" s="46"/>
      <c r="N38" s="46"/>
      <c r="O38" s="46"/>
      <c r="P38" s="46"/>
      <c r="Q38" s="46"/>
      <c r="R38" s="46"/>
      <c r="S38" s="46"/>
      <c r="T38" s="50"/>
      <c r="U38" s="50"/>
      <c r="V38" s="46"/>
      <c r="W38" s="50"/>
      <c r="X38" s="46"/>
      <c r="Y38" s="46"/>
      <c r="Z38" s="46"/>
      <c r="AA38" s="46"/>
      <c r="AB38" s="46"/>
      <c r="AC38" s="46"/>
      <c r="AD38" s="46"/>
      <c r="AE38" s="1"/>
      <c r="AF38" s="9"/>
      <c r="AG38" s="9"/>
    </row>
    <row x14ac:dyDescent="0.25" r="39" customHeight="1" ht="15">
      <c r="A39" s="1"/>
      <c r="B39" s="1"/>
      <c r="C39" s="51" t="s">
        <v>32</v>
      </c>
      <c r="D39" s="95"/>
      <c r="E39" s="96"/>
      <c r="F39" s="96">
        <v>6.734309</v>
      </c>
      <c r="G39" s="53">
        <f>+N39</f>
      </c>
      <c r="H39" s="97"/>
      <c r="I39" s="98"/>
      <c r="J39" s="53">
        <f>+P39</f>
      </c>
      <c r="K39" s="96">
        <v>6.934066</v>
      </c>
      <c r="L39" s="96">
        <v>16.583443</v>
      </c>
      <c r="M39" s="96">
        <v>11.83182</v>
      </c>
      <c r="N39" s="96">
        <v>3.932431</v>
      </c>
      <c r="O39" s="96">
        <v>2.537414</v>
      </c>
      <c r="P39" s="96">
        <v>3.476774</v>
      </c>
      <c r="Q39" s="96">
        <v>5.68499</v>
      </c>
      <c r="R39" s="96">
        <v>7.13489</v>
      </c>
      <c r="S39" s="96">
        <v>8.662733</v>
      </c>
      <c r="T39" s="96">
        <v>7.431046</v>
      </c>
      <c r="U39" s="96">
        <v>9.501328</v>
      </c>
      <c r="V39" s="96">
        <v>3.341483</v>
      </c>
      <c r="W39" s="96">
        <v>7.070129</v>
      </c>
      <c r="X39" s="96"/>
      <c r="Y39" s="96"/>
      <c r="Z39" s="96"/>
      <c r="AA39" s="96"/>
      <c r="AB39" s="96"/>
      <c r="AC39" s="96"/>
      <c r="AD39" s="96"/>
      <c r="AE39" s="1"/>
      <c r="AF39" s="9"/>
      <c r="AG39" s="9"/>
    </row>
    <row x14ac:dyDescent="0.25" r="40" customHeight="1" ht="15">
      <c r="A40" s="1"/>
      <c r="B40" s="1"/>
      <c r="C40" s="51" t="s">
        <v>33</v>
      </c>
      <c r="D40" s="95"/>
      <c r="E40" s="96"/>
      <c r="F40" s="96">
        <v>65.927812</v>
      </c>
      <c r="G40" s="53">
        <f>+N40</f>
      </c>
      <c r="H40" s="97"/>
      <c r="I40" s="98"/>
      <c r="J40" s="53">
        <f>+P40</f>
      </c>
      <c r="K40" s="96">
        <v>61.82784</v>
      </c>
      <c r="L40" s="96">
        <v>72.693678</v>
      </c>
      <c r="M40" s="96">
        <v>77.379364</v>
      </c>
      <c r="N40" s="96">
        <v>78.461979</v>
      </c>
      <c r="O40" s="96">
        <v>96.905548</v>
      </c>
      <c r="P40" s="96">
        <v>92.477107</v>
      </c>
      <c r="Q40" s="96">
        <v>87.986433</v>
      </c>
      <c r="R40" s="96">
        <v>76.020438</v>
      </c>
      <c r="S40" s="96">
        <v>79.308563</v>
      </c>
      <c r="T40" s="96">
        <v>79.731853</v>
      </c>
      <c r="U40" s="96">
        <v>76.597022</v>
      </c>
      <c r="V40" s="96">
        <v>77.045466</v>
      </c>
      <c r="W40" s="96">
        <v>86.455922</v>
      </c>
      <c r="X40" s="96"/>
      <c r="Y40" s="96"/>
      <c r="Z40" s="96"/>
      <c r="AA40" s="96"/>
      <c r="AB40" s="96"/>
      <c r="AC40" s="96"/>
      <c r="AD40" s="96"/>
      <c r="AE40" s="1"/>
      <c r="AF40" s="9"/>
      <c r="AG40" s="9"/>
    </row>
    <row x14ac:dyDescent="0.25" r="41" customHeight="1" ht="15">
      <c r="A41" s="1"/>
      <c r="B41" s="1"/>
      <c r="C41" s="51" t="s">
        <v>34</v>
      </c>
      <c r="D41" s="95"/>
      <c r="E41" s="96"/>
      <c r="F41" s="96">
        <v>0</v>
      </c>
      <c r="G41" s="53">
        <f>+N41</f>
      </c>
      <c r="H41" s="97"/>
      <c r="I41" s="98"/>
      <c r="J41" s="53">
        <f>+P41</f>
      </c>
      <c r="K41" s="96">
        <v>0</v>
      </c>
      <c r="L41" s="96">
        <v>0</v>
      </c>
      <c r="M41" s="96">
        <v>0</v>
      </c>
      <c r="N41" s="96">
        <v>0</v>
      </c>
      <c r="O41" s="96">
        <v>0</v>
      </c>
      <c r="P41" s="96">
        <v>0</v>
      </c>
      <c r="Q41" s="96">
        <v>0</v>
      </c>
      <c r="R41" s="96">
        <v>0</v>
      </c>
      <c r="S41" s="96">
        <v>0</v>
      </c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1"/>
      <c r="AF41" s="9"/>
      <c r="AG41" s="9"/>
    </row>
    <row x14ac:dyDescent="0.25" r="42" customHeight="1" ht="15">
      <c r="A42" s="1"/>
      <c r="B42" s="1"/>
      <c r="C42" s="51" t="s">
        <v>35</v>
      </c>
      <c r="D42" s="95"/>
      <c r="E42" s="96"/>
      <c r="F42" s="96">
        <v>0.90985099</v>
      </c>
      <c r="G42" s="53">
        <f>+N42</f>
      </c>
      <c r="H42" s="97"/>
      <c r="I42" s="98"/>
      <c r="J42" s="53">
        <f>+P42</f>
      </c>
      <c r="K42" s="96">
        <f>16.68119+0.772637+0.161357</f>
      </c>
      <c r="L42" s="96">
        <f>18.794514+3.464301+0.211373</f>
      </c>
      <c r="M42" s="96">
        <f>21.989963+3.561052+0.27803</f>
      </c>
      <c r="N42" s="96">
        <f>22.355957+5.118035+0.395658</f>
      </c>
      <c r="O42" s="96">
        <f>27.828189+4.200295+0.43406</f>
      </c>
      <c r="P42" s="96">
        <f>25.783356+4.783538+0.461333</f>
      </c>
      <c r="Q42" s="96">
        <f>22.599999+5.112603+0.486003</f>
      </c>
      <c r="R42" s="96">
        <f>20.559939+6.186027+0.62262</f>
      </c>
      <c r="S42" s="96">
        <f>16.882952+5.182292+0.463241</f>
      </c>
      <c r="T42" s="96">
        <f>16.481013+9.393371+0.5945</f>
      </c>
      <c r="U42" s="96">
        <f>15.742008+5.04264+0.572805</f>
      </c>
      <c r="V42" s="96">
        <f>14.498588+2.2209+4.700347</f>
      </c>
      <c r="W42" s="96">
        <f>18.766002+3.467373+0.716183</f>
      </c>
      <c r="X42" s="96"/>
      <c r="Y42" s="96"/>
      <c r="Z42" s="96"/>
      <c r="AA42" s="96"/>
      <c r="AB42" s="96"/>
      <c r="AC42" s="96"/>
      <c r="AD42" s="96"/>
      <c r="AE42" s="1"/>
      <c r="AF42" s="9"/>
      <c r="AG42" s="9"/>
    </row>
    <row x14ac:dyDescent="0.25" r="43" customHeight="1" ht="15">
      <c r="A43" s="12"/>
      <c r="B43" s="12"/>
      <c r="C43" s="55" t="s">
        <v>36</v>
      </c>
      <c r="D43" s="57">
        <f>SUM(D39:D42)</f>
      </c>
      <c r="E43" s="56">
        <f>SUM(E39:E42)</f>
      </c>
      <c r="F43" s="56">
        <f>SUM(F39:F42)</f>
      </c>
      <c r="G43" s="58">
        <f>SUM(G39:G42)</f>
      </c>
      <c r="H43" s="99"/>
      <c r="I43" s="98"/>
      <c r="J43" s="58">
        <f>+P43</f>
      </c>
      <c r="K43" s="56">
        <f>SUM(K39:K42)</f>
      </c>
      <c r="L43" s="56">
        <f>SUM(L39:L42)</f>
      </c>
      <c r="M43" s="56">
        <f>SUM(M39:M42)</f>
      </c>
      <c r="N43" s="56">
        <f>SUM(N39:N42)</f>
      </c>
      <c r="O43" s="56">
        <f>SUM(O39:O42)</f>
      </c>
      <c r="P43" s="56">
        <f>SUM(P39:P42)</f>
      </c>
      <c r="Q43" s="56">
        <f>SUM(Q39:Q42)</f>
      </c>
      <c r="R43" s="56">
        <f>SUM(R39:R42)</f>
      </c>
      <c r="S43" s="56">
        <f>SUM(S39:S42)</f>
      </c>
      <c r="T43" s="56">
        <f>SUM(T39:T42)</f>
      </c>
      <c r="U43" s="56">
        <f>SUM(U39:U42)</f>
      </c>
      <c r="V43" s="56">
        <f>SUM(V39:V42)</f>
      </c>
      <c r="W43" s="56">
        <f>SUM(W39:W42)</f>
      </c>
      <c r="X43" s="56">
        <f>SUM(X39:X42)</f>
      </c>
      <c r="Y43" s="56">
        <f>SUM(Y39:Y42)</f>
      </c>
      <c r="Z43" s="56">
        <f>SUM(Z39:Z42)</f>
      </c>
      <c r="AA43" s="56">
        <f>SUM(AA39:AA42)</f>
      </c>
      <c r="AB43" s="56">
        <f>SUM(AB39:AB42)</f>
      </c>
      <c r="AC43" s="56">
        <f>SUM(AC39:AC42)</f>
      </c>
      <c r="AD43" s="56">
        <f>SUM(AD39:AD42)</f>
      </c>
      <c r="AE43" s="12"/>
      <c r="AF43" s="9"/>
      <c r="AG43" s="9"/>
    </row>
    <row x14ac:dyDescent="0.25" r="44" customHeight="1" ht="15">
      <c r="A44" s="1"/>
      <c r="B44" s="1"/>
      <c r="C44" s="51"/>
      <c r="D44" s="77"/>
      <c r="E44" s="54"/>
      <c r="F44" s="54"/>
      <c r="G44" s="53"/>
      <c r="H44" s="97"/>
      <c r="I44" s="98"/>
      <c r="J44" s="53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1"/>
      <c r="AF44" s="9"/>
      <c r="AG44" s="9"/>
    </row>
    <row x14ac:dyDescent="0.25" r="45" customHeight="1" ht="15">
      <c r="A45" s="1"/>
      <c r="B45" s="1"/>
      <c r="C45" s="51" t="s">
        <v>37</v>
      </c>
      <c r="D45" s="95"/>
      <c r="E45" s="96"/>
      <c r="F45" s="96">
        <v>1.205064</v>
      </c>
      <c r="G45" s="53">
        <f>+N45</f>
      </c>
      <c r="H45" s="97"/>
      <c r="I45" s="98"/>
      <c r="J45" s="53">
        <f>+P45</f>
      </c>
      <c r="K45" s="96">
        <v>0.310516</v>
      </c>
      <c r="L45" s="96">
        <v>0.296226</v>
      </c>
      <c r="M45" s="96">
        <v>0.281937</v>
      </c>
      <c r="N45" s="96">
        <v>0.350387</v>
      </c>
      <c r="O45" s="96">
        <v>0.147918</v>
      </c>
      <c r="P45" s="96">
        <v>0.19015</v>
      </c>
      <c r="Q45" s="96">
        <v>0.320014</v>
      </c>
      <c r="R45" s="96">
        <v>6.009887</v>
      </c>
      <c r="S45" s="96">
        <v>5.878916</v>
      </c>
      <c r="T45" s="96">
        <v>5.785551</v>
      </c>
      <c r="U45" s="96">
        <v>5.57032</v>
      </c>
      <c r="V45" s="96">
        <v>5.518384</v>
      </c>
      <c r="W45" s="96">
        <v>5.267758</v>
      </c>
      <c r="X45" s="96"/>
      <c r="Y45" s="96"/>
      <c r="Z45" s="96"/>
      <c r="AA45" s="96"/>
      <c r="AB45" s="96"/>
      <c r="AC45" s="96"/>
      <c r="AD45" s="96"/>
      <c r="AE45" s="1"/>
      <c r="AF45" s="9"/>
      <c r="AG45" s="9"/>
    </row>
    <row x14ac:dyDescent="0.25" r="46" customHeight="1" ht="15">
      <c r="A46" s="1"/>
      <c r="B46" s="1"/>
      <c r="C46" s="51" t="s">
        <v>38</v>
      </c>
      <c r="D46" s="100">
        <f>D48-D43-D45-D47</f>
      </c>
      <c r="E46" s="101">
        <f>E48-E43-E45-E47</f>
      </c>
      <c r="F46" s="101">
        <f>F48-F43-F45-F47</f>
      </c>
      <c r="G46" s="53">
        <f>+N46</f>
      </c>
      <c r="H46" s="97"/>
      <c r="I46" s="98"/>
      <c r="J46" s="53">
        <f>+P46</f>
      </c>
      <c r="K46" s="101">
        <f>K48-K43-K45-K47</f>
      </c>
      <c r="L46" s="101">
        <f>L48-L43-L45-L47</f>
      </c>
      <c r="M46" s="101">
        <f>M48-M43-M45-M47</f>
      </c>
      <c r="N46" s="101">
        <f>N48-N43-N45-N47</f>
      </c>
      <c r="O46" s="101">
        <f>O48-O43-O45-O47</f>
      </c>
      <c r="P46" s="101">
        <f>P48-P43-P45-P47</f>
      </c>
      <c r="Q46" s="101">
        <f>Q48-Q43-Q45-Q47</f>
      </c>
      <c r="R46" s="101">
        <f>R48-R43-R45-R47</f>
      </c>
      <c r="S46" s="101">
        <f>S48-S43-S45-S47</f>
      </c>
      <c r="T46" s="101">
        <f>T48-T43-T45-T47</f>
      </c>
      <c r="U46" s="101">
        <f>U48-U43-U45-U47</f>
      </c>
      <c r="V46" s="101">
        <f>V48-V43-V45-V47</f>
      </c>
      <c r="W46" s="101">
        <f>W48-W43-W45-W47</f>
      </c>
      <c r="X46" s="101">
        <f>X48-X43-X45-X47</f>
      </c>
      <c r="Y46" s="101">
        <f>Y48-Y43-Y45-Y47</f>
      </c>
      <c r="Z46" s="101">
        <f>Z48-Z43-Z45-Z47</f>
      </c>
      <c r="AA46" s="101">
        <f>AA48-AA43-AA45-AA47</f>
      </c>
      <c r="AB46" s="101">
        <f>AB48-AB43-AB45-AB47</f>
      </c>
      <c r="AC46" s="101">
        <f>AC48-AC43-AC45-AC47</f>
      </c>
      <c r="AD46" s="101">
        <f>AD48-AD43-AD45-AD47</f>
      </c>
      <c r="AE46" s="1"/>
      <c r="AF46" s="9"/>
      <c r="AG46" s="9"/>
    </row>
    <row x14ac:dyDescent="0.25" r="47" customHeight="1" ht="15">
      <c r="A47" s="1"/>
      <c r="B47" s="1"/>
      <c r="C47" s="51" t="s">
        <v>39</v>
      </c>
      <c r="D47" s="95"/>
      <c r="E47" s="96"/>
      <c r="F47" s="96">
        <v>76.189296</v>
      </c>
      <c r="G47" s="53">
        <f>+N47</f>
      </c>
      <c r="H47" s="97"/>
      <c r="I47" s="98"/>
      <c r="J47" s="53">
        <f>+P47</f>
      </c>
      <c r="K47" s="96">
        <f>0.187891+74.020037</f>
      </c>
      <c r="L47" s="96">
        <f>0.162916+71.850777</f>
      </c>
      <c r="M47" s="96">
        <f>0.108973+69.681517</f>
      </c>
      <c r="N47" s="96">
        <f>0.814186+74.716145</f>
      </c>
      <c r="O47" s="96">
        <f>1.118159+72.426821</f>
      </c>
      <c r="P47" s="96">
        <f>2.258644+70.017432</f>
      </c>
      <c r="Q47" s="96">
        <f>2.468813+67.668075</f>
      </c>
      <c r="R47" s="96">
        <f>3.310702+65.318718</f>
      </c>
      <c r="S47" s="96">
        <f>3.43868+62.969361</f>
      </c>
      <c r="T47" s="96">
        <v>60.620004</v>
      </c>
      <c r="U47" s="96">
        <f>58.270648</f>
      </c>
      <c r="V47" s="96">
        <v>55.921291</v>
      </c>
      <c r="W47" s="96">
        <v>53.571934</v>
      </c>
      <c r="X47" s="96"/>
      <c r="Y47" s="96"/>
      <c r="Z47" s="96"/>
      <c r="AA47" s="96"/>
      <c r="AB47" s="96"/>
      <c r="AC47" s="96"/>
      <c r="AD47" s="96"/>
      <c r="AE47" s="1"/>
      <c r="AF47" s="9"/>
      <c r="AG47" s="9"/>
    </row>
    <row x14ac:dyDescent="0.25" r="48" customHeight="1" ht="15">
      <c r="A48" s="12"/>
      <c r="B48" s="12"/>
      <c r="C48" s="102" t="s">
        <v>40</v>
      </c>
      <c r="D48" s="103"/>
      <c r="E48" s="103"/>
      <c r="F48" s="103">
        <v>155.052278</v>
      </c>
      <c r="G48" s="104">
        <f>+N48</f>
      </c>
      <c r="H48" s="105"/>
      <c r="I48" s="106"/>
      <c r="J48" s="104">
        <f>+P48</f>
      </c>
      <c r="K48" s="107">
        <v>166.075773</v>
      </c>
      <c r="L48" s="107">
        <v>189.766498</v>
      </c>
      <c r="M48" s="107">
        <v>191.24712</v>
      </c>
      <c r="N48" s="107">
        <v>191.553864</v>
      </c>
      <c r="O48" s="107">
        <v>208.185799</v>
      </c>
      <c r="P48" s="107">
        <v>206.014287</v>
      </c>
      <c r="Q48" s="107">
        <v>201.232983</v>
      </c>
      <c r="R48" s="107">
        <v>196.652245</v>
      </c>
      <c r="S48" s="107">
        <v>190.309667</v>
      </c>
      <c r="T48" s="107">
        <v>190.997232</v>
      </c>
      <c r="U48" s="107">
        <f>183.220228</f>
      </c>
      <c r="V48" s="107">
        <v>176.028425</v>
      </c>
      <c r="W48" s="107">
        <v>189.250116</v>
      </c>
      <c r="X48" s="107"/>
      <c r="Y48" s="107"/>
      <c r="Z48" s="107"/>
      <c r="AA48" s="107"/>
      <c r="AB48" s="107"/>
      <c r="AC48" s="107"/>
      <c r="AD48" s="107"/>
      <c r="AE48" s="12"/>
      <c r="AF48" s="9"/>
      <c r="AG48" s="9"/>
    </row>
    <row x14ac:dyDescent="0.25" r="49" customHeight="1" ht="15">
      <c r="A49" s="1"/>
      <c r="B49" s="1"/>
      <c r="C49" s="51"/>
      <c r="D49" s="77"/>
      <c r="E49" s="54"/>
      <c r="F49" s="54"/>
      <c r="G49" s="53"/>
      <c r="H49" s="97"/>
      <c r="I49" s="98"/>
      <c r="J49" s="53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1"/>
      <c r="AF49" s="9"/>
      <c r="AG49" s="9"/>
    </row>
    <row x14ac:dyDescent="0.25" r="50" customHeight="1" ht="15">
      <c r="A50" s="1"/>
      <c r="B50" s="1"/>
      <c r="C50" s="51" t="s">
        <v>41</v>
      </c>
      <c r="D50" s="95"/>
      <c r="E50" s="96"/>
      <c r="F50" s="96">
        <v>46.40496</v>
      </c>
      <c r="G50" s="53">
        <f>+N50</f>
      </c>
      <c r="H50" s="97"/>
      <c r="I50" s="98"/>
      <c r="J50" s="53">
        <f>+P50</f>
      </c>
      <c r="K50" s="96">
        <v>35.729213</v>
      </c>
      <c r="L50" s="96">
        <v>55.625886</v>
      </c>
      <c r="M50" s="96">
        <v>55.935277</v>
      </c>
      <c r="N50" s="96">
        <v>58.389926</v>
      </c>
      <c r="O50" s="96">
        <v>67.627344</v>
      </c>
      <c r="P50" s="96">
        <v>63.143079</v>
      </c>
      <c r="Q50" s="96">
        <v>59.371366</v>
      </c>
      <c r="R50" s="96">
        <v>49.006677</v>
      </c>
      <c r="S50" s="96">
        <v>56.055513</v>
      </c>
      <c r="T50" s="96">
        <v>62.060731</v>
      </c>
      <c r="U50" s="96">
        <v>57.088363</v>
      </c>
      <c r="V50" s="96">
        <v>58.588137</v>
      </c>
      <c r="W50" s="96">
        <v>67.264538</v>
      </c>
      <c r="X50" s="96"/>
      <c r="Y50" s="96"/>
      <c r="Z50" s="96"/>
      <c r="AA50" s="96"/>
      <c r="AB50" s="96"/>
      <c r="AC50" s="96"/>
      <c r="AD50" s="96"/>
      <c r="AE50" s="1"/>
      <c r="AF50" s="9"/>
      <c r="AG50" s="9"/>
    </row>
    <row x14ac:dyDescent="0.25" r="51" customHeight="1" ht="15">
      <c r="A51" s="1"/>
      <c r="B51" s="1"/>
      <c r="C51" s="51" t="s">
        <v>42</v>
      </c>
      <c r="D51" s="95"/>
      <c r="E51" s="96"/>
      <c r="F51" s="96">
        <v>3.071729</v>
      </c>
      <c r="G51" s="53">
        <f>+N51</f>
      </c>
      <c r="H51" s="97"/>
      <c r="I51" s="98"/>
      <c r="J51" s="53">
        <f>+P51</f>
      </c>
      <c r="K51" s="96">
        <f>23.870823</f>
      </c>
      <c r="L51" s="96">
        <f>29.451726</f>
      </c>
      <c r="M51" s="96">
        <f>32.905488</f>
      </c>
      <c r="N51" s="96">
        <f>35.083832</f>
      </c>
      <c r="O51" s="96">
        <f>41.94517</f>
      </c>
      <c r="P51" s="96">
        <f>38.741633</f>
      </c>
      <c r="Q51" s="96">
        <f>36.309199</f>
      </c>
      <c r="R51" s="96">
        <f>37.876095</f>
      </c>
      <c r="S51" s="96">
        <f>29.722338</f>
      </c>
      <c r="T51" s="96">
        <f>28.952845</f>
      </c>
      <c r="U51" s="96">
        <f>28.066816</f>
      </c>
      <c r="V51" s="96">
        <v>22.691207</v>
      </c>
      <c r="W51" s="96">
        <v>30.498852</v>
      </c>
      <c r="X51" s="96"/>
      <c r="Y51" s="96"/>
      <c r="Z51" s="96"/>
      <c r="AA51" s="96"/>
      <c r="AB51" s="96"/>
      <c r="AC51" s="96"/>
      <c r="AD51" s="96"/>
      <c r="AE51" s="1"/>
      <c r="AF51" s="9"/>
      <c r="AG51" s="9"/>
    </row>
    <row x14ac:dyDescent="0.25" r="52" customHeight="1" ht="15">
      <c r="A52" s="12"/>
      <c r="B52" s="12"/>
      <c r="C52" s="108" t="s">
        <v>43</v>
      </c>
      <c r="D52" s="57">
        <f>SUM(D50:D51)</f>
      </c>
      <c r="E52" s="56">
        <f>SUM(E50:E51)</f>
      </c>
      <c r="F52" s="56">
        <f>SUM(F50:F51)</f>
      </c>
      <c r="G52" s="58">
        <f>SUM(G50:G51)</f>
      </c>
      <c r="H52" s="99"/>
      <c r="I52" s="98"/>
      <c r="J52" s="58">
        <f>+P52</f>
      </c>
      <c r="K52" s="56">
        <f>SUM(K50:K51)</f>
      </c>
      <c r="L52" s="56">
        <f>SUM(L50:L51)</f>
      </c>
      <c r="M52" s="56">
        <f>SUM(M50:M51)</f>
      </c>
      <c r="N52" s="56">
        <f>SUM(N50:N51)</f>
      </c>
      <c r="O52" s="56">
        <f>SUM(O50:O51)</f>
      </c>
      <c r="P52" s="56">
        <f>SUM(P50:P51)</f>
      </c>
      <c r="Q52" s="56">
        <f>SUM(Q50:Q51)</f>
      </c>
      <c r="R52" s="56">
        <f>SUM(R50:R51)</f>
      </c>
      <c r="S52" s="56">
        <f>SUM(S50:S51)</f>
      </c>
      <c r="T52" s="56">
        <f>SUM(T50:T51)</f>
      </c>
      <c r="U52" s="56">
        <f>SUM(U50:U51)</f>
      </c>
      <c r="V52" s="56">
        <f>SUM(V50:V51)</f>
      </c>
      <c r="W52" s="56">
        <f>SUM(W50:W51)</f>
      </c>
      <c r="X52" s="56">
        <f>SUM(X50:X51)</f>
      </c>
      <c r="Y52" s="56">
        <f>SUM(Y50:Y51)</f>
      </c>
      <c r="Z52" s="56">
        <f>SUM(Z50:Z51)</f>
      </c>
      <c r="AA52" s="56">
        <f>SUM(AA50:AA51)</f>
      </c>
      <c r="AB52" s="56">
        <f>SUM(AB50:AB51)</f>
      </c>
      <c r="AC52" s="56">
        <f>SUM(AC50:AC51)</f>
      </c>
      <c r="AD52" s="56">
        <f>SUM(AD50:AD51)</f>
      </c>
      <c r="AE52" s="12"/>
      <c r="AF52" s="9"/>
      <c r="AG52" s="9"/>
    </row>
    <row x14ac:dyDescent="0.25" r="53" customHeight="1" ht="15">
      <c r="A53" s="1"/>
      <c r="B53" s="1"/>
      <c r="C53" s="51"/>
      <c r="D53" s="77"/>
      <c r="E53" s="54"/>
      <c r="F53" s="54"/>
      <c r="G53" s="53"/>
      <c r="H53" s="97"/>
      <c r="I53" s="98"/>
      <c r="J53" s="53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1"/>
      <c r="AF53" s="9"/>
      <c r="AG53" s="9"/>
    </row>
    <row x14ac:dyDescent="0.25" r="54" customHeight="1" ht="15">
      <c r="A54" s="1"/>
      <c r="B54" s="1"/>
      <c r="C54" s="51" t="s">
        <v>44</v>
      </c>
      <c r="D54" s="95"/>
      <c r="E54" s="96"/>
      <c r="F54" s="96">
        <v>0</v>
      </c>
      <c r="G54" s="53">
        <f>+N54</f>
      </c>
      <c r="H54" s="97"/>
      <c r="I54" s="98"/>
      <c r="J54" s="53">
        <f>+P54</f>
      </c>
      <c r="K54" s="96">
        <v>0</v>
      </c>
      <c r="L54" s="96">
        <v>0</v>
      </c>
      <c r="M54" s="96">
        <v>0</v>
      </c>
      <c r="N54" s="96">
        <v>0</v>
      </c>
      <c r="O54" s="96">
        <v>0</v>
      </c>
      <c r="P54" s="96">
        <v>0</v>
      </c>
      <c r="Q54" s="96">
        <v>0</v>
      </c>
      <c r="R54" s="96">
        <v>0</v>
      </c>
      <c r="S54" s="96">
        <v>0</v>
      </c>
      <c r="T54" s="96">
        <v>0</v>
      </c>
      <c r="U54" s="96"/>
      <c r="V54" s="96">
        <v>6.750188</v>
      </c>
      <c r="W54" s="96"/>
      <c r="X54" s="96"/>
      <c r="Y54" s="96"/>
      <c r="Z54" s="96"/>
      <c r="AA54" s="96"/>
      <c r="AB54" s="96"/>
      <c r="AC54" s="96"/>
      <c r="AD54" s="96"/>
      <c r="AE54" s="1"/>
      <c r="AF54" s="9"/>
      <c r="AG54" s="9"/>
    </row>
    <row x14ac:dyDescent="0.25" r="55" customHeight="1" ht="15">
      <c r="A55" s="1"/>
      <c r="B55" s="1"/>
      <c r="C55" s="51" t="s">
        <v>45</v>
      </c>
      <c r="D55" s="95"/>
      <c r="E55" s="96"/>
      <c r="F55" s="96">
        <f>4.940611+32.505</f>
      </c>
      <c r="G55" s="53">
        <f>+N55</f>
      </c>
      <c r="H55" s="97"/>
      <c r="I55" s="98"/>
      <c r="J55" s="53">
        <f>+P55</f>
      </c>
      <c r="K55" s="96">
        <f>4.9625+32.4225+0.544057</f>
      </c>
      <c r="L55" s="96">
        <f>47.865257+0.498779</f>
      </c>
      <c r="M55" s="96">
        <f>4.9625+32.092221+0.498779</f>
      </c>
      <c r="N55" s="96">
        <f>4.91865867+7.5+32.13605258+0.689057</f>
      </c>
      <c r="O55" s="96">
        <f>4.9125+7.48125+32.0925+0.833779</f>
      </c>
      <c r="P55" s="96">
        <f>4.9+7.4625+32.01+0.833779</f>
      </c>
      <c r="Q55" s="96">
        <f>4.8875+7.44375+31.9275+0.833779</f>
      </c>
      <c r="R55" s="96">
        <f>4.875+7.425+31.845-0.07781</f>
      </c>
      <c r="S55" s="96">
        <f>1.58378+4.8625+7.40625+31.7625</f>
      </c>
      <c r="T55" s="96">
        <f>155.944034-1.605813</f>
      </c>
      <c r="U55" s="96">
        <f>155.883089-1.186948</f>
      </c>
      <c r="V55" s="96">
        <f>0.243779+150.086646</f>
      </c>
      <c r="W55" s="96">
        <f>0.243779+159.195606</f>
      </c>
      <c r="X55" s="96"/>
      <c r="Y55" s="96"/>
      <c r="Z55" s="96"/>
      <c r="AA55" s="96"/>
      <c r="AB55" s="96"/>
      <c r="AC55" s="96"/>
      <c r="AD55" s="96"/>
      <c r="AE55" s="1"/>
      <c r="AF55" s="9"/>
      <c r="AG55" s="9"/>
    </row>
    <row x14ac:dyDescent="0.25" r="56" customHeight="1" ht="15">
      <c r="A56" s="1"/>
      <c r="B56" s="1"/>
      <c r="C56" s="51" t="s">
        <v>46</v>
      </c>
      <c r="D56" s="95"/>
      <c r="E56" s="96"/>
      <c r="F56" s="96">
        <f>11.818481</f>
      </c>
      <c r="G56" s="53">
        <f>+N56</f>
      </c>
      <c r="H56" s="97"/>
      <c r="I56" s="98"/>
      <c r="J56" s="53">
        <f>+P56</f>
      </c>
      <c r="K56" s="96">
        <f>48.097808-K55+0.544057</f>
      </c>
      <c r="L56" s="96">
        <v>0</v>
      </c>
      <c r="M56" s="96">
        <f>47.409294+0.498779-M55</f>
      </c>
      <c r="N56" s="96">
        <f>80.035191+0.689057-N55</f>
      </c>
      <c r="O56" s="96">
        <f>80.711195+0.087523-O55</f>
      </c>
      <c r="P56" s="96">
        <f>11.640313+25.805</f>
      </c>
      <c r="Q56" s="96">
        <f>11.610618+25.74</f>
      </c>
      <c r="R56" s="96">
        <f>11.580923+25.675+75</f>
      </c>
      <c r="S56" s="96">
        <f>8.076328+1.372365+74.8125+25.61+11.551229</f>
      </c>
      <c r="T56" s="96">
        <f>1.388446+7.724814</f>
      </c>
      <c r="U56" s="96">
        <f>1.414811+7.357105</f>
      </c>
      <c r="V56" s="96">
        <f>1.425399+7.000559</f>
      </c>
      <c r="W56" s="96">
        <f>1.448332+6.768521</f>
      </c>
      <c r="X56" s="96"/>
      <c r="Y56" s="96"/>
      <c r="Z56" s="96"/>
      <c r="AA56" s="96"/>
      <c r="AB56" s="96"/>
      <c r="AC56" s="96"/>
      <c r="AD56" s="96"/>
      <c r="AE56" s="1"/>
      <c r="AF56" s="9"/>
      <c r="AG56" s="9"/>
    </row>
    <row x14ac:dyDescent="0.25" r="57" customHeight="1" ht="15">
      <c r="A57" s="1"/>
      <c r="B57" s="1"/>
      <c r="C57" s="51" t="s">
        <v>47</v>
      </c>
      <c r="D57" s="95"/>
      <c r="E57" s="96"/>
      <c r="F57" s="96">
        <v>0</v>
      </c>
      <c r="G57" s="53">
        <f>+N57</f>
      </c>
      <c r="H57" s="97"/>
      <c r="I57" s="98"/>
      <c r="J57" s="53">
        <f>+P57</f>
      </c>
      <c r="K57" s="96">
        <v>0</v>
      </c>
      <c r="L57" s="96">
        <v>0</v>
      </c>
      <c r="M57" s="96">
        <v>0</v>
      </c>
      <c r="N57" s="96">
        <v>0</v>
      </c>
      <c r="O57" s="96">
        <v>0</v>
      </c>
      <c r="P57" s="96">
        <v>0</v>
      </c>
      <c r="Q57" s="96">
        <v>0</v>
      </c>
      <c r="R57" s="96">
        <v>0</v>
      </c>
      <c r="S57" s="96">
        <v>0</v>
      </c>
      <c r="T57" s="96">
        <v>0</v>
      </c>
      <c r="U57" s="96">
        <v>0</v>
      </c>
      <c r="V57" s="96">
        <v>0</v>
      </c>
      <c r="W57" s="96">
        <v>0</v>
      </c>
      <c r="X57" s="96"/>
      <c r="Y57" s="96"/>
      <c r="Z57" s="96"/>
      <c r="AA57" s="96"/>
      <c r="AB57" s="96"/>
      <c r="AC57" s="96"/>
      <c r="AD57" s="96"/>
      <c r="AE57" s="1"/>
      <c r="AF57" s="9"/>
      <c r="AG57" s="9"/>
    </row>
    <row x14ac:dyDescent="0.25" r="58" customHeight="1" ht="15">
      <c r="A58" s="1"/>
      <c r="B58" s="1"/>
      <c r="C58" s="51" t="s">
        <v>48</v>
      </c>
      <c r="D58" s="95"/>
      <c r="E58" s="96"/>
      <c r="F58" s="96">
        <v>0</v>
      </c>
      <c r="G58" s="53">
        <f>+N58</f>
      </c>
      <c r="H58" s="97"/>
      <c r="I58" s="98"/>
      <c r="J58" s="53">
        <f>+P58</f>
      </c>
      <c r="K58" s="96">
        <v>0</v>
      </c>
      <c r="L58" s="96">
        <v>0</v>
      </c>
      <c r="M58" s="96">
        <v>0</v>
      </c>
      <c r="N58" s="96">
        <v>0</v>
      </c>
      <c r="O58" s="96">
        <v>0</v>
      </c>
      <c r="P58" s="96">
        <v>0</v>
      </c>
      <c r="Q58" s="96">
        <v>0</v>
      </c>
      <c r="R58" s="96">
        <v>0</v>
      </c>
      <c r="S58" s="96">
        <v>0</v>
      </c>
      <c r="T58" s="96">
        <v>0</v>
      </c>
      <c r="U58" s="96">
        <v>0</v>
      </c>
      <c r="V58" s="96">
        <v>0</v>
      </c>
      <c r="W58" s="96">
        <v>0</v>
      </c>
      <c r="X58" s="96"/>
      <c r="Y58" s="96"/>
      <c r="Z58" s="96"/>
      <c r="AA58" s="96"/>
      <c r="AB58" s="96"/>
      <c r="AC58" s="96"/>
      <c r="AD58" s="96"/>
      <c r="AE58" s="1"/>
      <c r="AF58" s="9"/>
      <c r="AG58" s="9"/>
    </row>
    <row x14ac:dyDescent="0.25" r="59" customHeight="1" ht="15">
      <c r="A59" s="1"/>
      <c r="B59" s="1"/>
      <c r="C59" s="51" t="s">
        <v>49</v>
      </c>
      <c r="D59" s="95"/>
      <c r="E59" s="96"/>
      <c r="F59" s="96">
        <v>0</v>
      </c>
      <c r="G59" s="53">
        <f>+N59</f>
      </c>
      <c r="H59" s="97"/>
      <c r="I59" s="98"/>
      <c r="J59" s="53">
        <f>+P59</f>
      </c>
      <c r="K59" s="96">
        <v>0</v>
      </c>
      <c r="L59" s="96">
        <v>0</v>
      </c>
      <c r="M59" s="96">
        <v>0</v>
      </c>
      <c r="N59" s="96">
        <v>0</v>
      </c>
      <c r="O59" s="96">
        <v>0</v>
      </c>
      <c r="P59" s="96">
        <v>0</v>
      </c>
      <c r="Q59" s="96">
        <v>0</v>
      </c>
      <c r="R59" s="96">
        <v>0</v>
      </c>
      <c r="S59" s="96">
        <v>0</v>
      </c>
      <c r="T59" s="96">
        <v>0</v>
      </c>
      <c r="U59" s="96">
        <v>0</v>
      </c>
      <c r="V59" s="96">
        <v>0</v>
      </c>
      <c r="W59" s="96">
        <v>0</v>
      </c>
      <c r="X59" s="96"/>
      <c r="Y59" s="96"/>
      <c r="Z59" s="96"/>
      <c r="AA59" s="96"/>
      <c r="AB59" s="96"/>
      <c r="AC59" s="96"/>
      <c r="AD59" s="96"/>
      <c r="AE59" s="1"/>
      <c r="AF59" s="9"/>
      <c r="AG59" s="9"/>
    </row>
    <row x14ac:dyDescent="0.25" r="60" customHeight="1" ht="15">
      <c r="A60" s="1"/>
      <c r="B60" s="1"/>
      <c r="C60" s="51" t="s">
        <v>50</v>
      </c>
      <c r="D60" s="95"/>
      <c r="E60" s="96"/>
      <c r="F60" s="96">
        <v>-1.122479</v>
      </c>
      <c r="G60" s="53">
        <f>+N60</f>
      </c>
      <c r="H60" s="97"/>
      <c r="I60" s="98"/>
      <c r="J60" s="53">
        <f>+P60</f>
      </c>
      <c r="K60" s="96">
        <v>0</v>
      </c>
      <c r="L60" s="96">
        <v>0</v>
      </c>
      <c r="M60" s="96">
        <v>0</v>
      </c>
      <c r="N60" s="96">
        <v>0</v>
      </c>
      <c r="O60" s="96">
        <v>0</v>
      </c>
      <c r="P60" s="96">
        <v>0</v>
      </c>
      <c r="Q60" s="96">
        <v>0</v>
      </c>
      <c r="R60" s="96">
        <v>0</v>
      </c>
      <c r="S60" s="96">
        <v>0</v>
      </c>
      <c r="T60" s="96">
        <v>0</v>
      </c>
      <c r="U60" s="96">
        <v>0</v>
      </c>
      <c r="V60" s="96">
        <v>0</v>
      </c>
      <c r="W60" s="96">
        <v>0</v>
      </c>
      <c r="X60" s="96"/>
      <c r="Y60" s="96"/>
      <c r="Z60" s="96"/>
      <c r="AA60" s="96"/>
      <c r="AB60" s="96"/>
      <c r="AC60" s="96"/>
      <c r="AD60" s="96"/>
      <c r="AE60" s="1"/>
      <c r="AF60" s="9"/>
      <c r="AG60" s="9"/>
    </row>
    <row x14ac:dyDescent="0.25" r="61" customHeight="1" ht="15">
      <c r="A61" s="1"/>
      <c r="B61" s="1"/>
      <c r="C61" s="51" t="s">
        <v>51</v>
      </c>
      <c r="D61" s="95"/>
      <c r="E61" s="96"/>
      <c r="F61" s="96">
        <v>0.093814</v>
      </c>
      <c r="G61" s="53">
        <f>+N61</f>
      </c>
      <c r="H61" s="97"/>
      <c r="I61" s="98"/>
      <c r="J61" s="53">
        <f>+P61</f>
      </c>
      <c r="K61" s="96">
        <v>0.094965</v>
      </c>
      <c r="L61" s="96">
        <v>0.096543</v>
      </c>
      <c r="M61" s="96">
        <v>0.09777</v>
      </c>
      <c r="N61" s="96">
        <v>0.099099</v>
      </c>
      <c r="O61" s="96">
        <v>0.011277</v>
      </c>
      <c r="P61" s="96">
        <v>0.003401</v>
      </c>
      <c r="Q61" s="96">
        <v>1.17035</v>
      </c>
      <c r="R61" s="96">
        <v>9.482232</v>
      </c>
      <c r="S61" s="96">
        <v>0</v>
      </c>
      <c r="T61" s="96">
        <v>0</v>
      </c>
      <c r="U61" s="96">
        <v>0</v>
      </c>
      <c r="V61" s="96">
        <v>0</v>
      </c>
      <c r="W61" s="96">
        <v>0</v>
      </c>
      <c r="X61" s="96"/>
      <c r="Y61" s="96"/>
      <c r="Z61" s="96"/>
      <c r="AA61" s="96"/>
      <c r="AB61" s="96"/>
      <c r="AC61" s="96"/>
      <c r="AD61" s="96"/>
      <c r="AE61" s="1"/>
      <c r="AF61" s="9"/>
      <c r="AG61" s="9"/>
    </row>
    <row x14ac:dyDescent="0.25" r="62" customHeight="1" ht="15">
      <c r="A62" s="12"/>
      <c r="B62" s="12"/>
      <c r="C62" s="55" t="s">
        <v>52</v>
      </c>
      <c r="D62" s="57">
        <f>SUM(D52:D61)</f>
      </c>
      <c r="E62" s="56">
        <f>SUM(E52:E61)</f>
      </c>
      <c r="F62" s="56">
        <f>SUM(F52:F61)</f>
      </c>
      <c r="G62" s="58">
        <f>SUM(G52:G61)</f>
      </c>
      <c r="H62" s="98"/>
      <c r="I62" s="98"/>
      <c r="J62" s="58">
        <f>SUM(J52:J61)</f>
      </c>
      <c r="K62" s="56">
        <f>SUM(K52:K61)</f>
      </c>
      <c r="L62" s="56">
        <f>SUM(L52:L61)</f>
      </c>
      <c r="M62" s="56">
        <f>SUM(M52:M61)</f>
      </c>
      <c r="N62" s="56">
        <f>SUM(N52:N61)</f>
      </c>
      <c r="O62" s="56">
        <f>SUM(O52:O61)</f>
      </c>
      <c r="P62" s="56">
        <f>SUM(P52:P61)</f>
      </c>
      <c r="Q62" s="56">
        <f>SUM(Q52:Q61)</f>
      </c>
      <c r="R62" s="56">
        <f>SUM(R52:R61)</f>
      </c>
      <c r="S62" s="56">
        <f>SUM(S52:S61)</f>
      </c>
      <c r="T62" s="56">
        <f>SUM(T52:T61)</f>
      </c>
      <c r="U62" s="56">
        <f>SUM(U52:U61)</f>
      </c>
      <c r="V62" s="56">
        <f>SUM(V52:V61)</f>
      </c>
      <c r="W62" s="56">
        <f>SUM(W52:W61)</f>
      </c>
      <c r="X62" s="56">
        <f>SUM(X52:X61)</f>
      </c>
      <c r="Y62" s="56">
        <f>SUM(Y52:Y61)</f>
      </c>
      <c r="Z62" s="56">
        <f>SUM(Z52:Z61)</f>
      </c>
      <c r="AA62" s="56">
        <f>SUM(AA52:AA61)</f>
      </c>
      <c r="AB62" s="56">
        <f>SUM(AB52:AB61)</f>
      </c>
      <c r="AC62" s="56">
        <f>SUM(AC52:AC61)</f>
      </c>
      <c r="AD62" s="56">
        <f>SUM(AD52:AD61)</f>
      </c>
      <c r="AE62" s="12"/>
      <c r="AF62" s="9"/>
      <c r="AG62" s="9"/>
    </row>
    <row x14ac:dyDescent="0.25" r="63" customHeight="1" ht="15">
      <c r="A63" s="1"/>
      <c r="B63" s="1"/>
      <c r="C63" s="51"/>
      <c r="D63" s="77"/>
      <c r="E63" s="54"/>
      <c r="F63" s="54"/>
      <c r="G63" s="53"/>
      <c r="H63" s="97"/>
      <c r="I63" s="98"/>
      <c r="J63" s="53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1"/>
      <c r="AF63" s="9"/>
      <c r="AG63" s="9"/>
    </row>
    <row x14ac:dyDescent="0.25" r="64" customHeight="1" ht="15">
      <c r="A64" s="1"/>
      <c r="B64" s="1"/>
      <c r="C64" s="51" t="s">
        <v>53</v>
      </c>
      <c r="D64" s="95"/>
      <c r="E64" s="96"/>
      <c r="F64" s="96">
        <v>0</v>
      </c>
      <c r="G64" s="53">
        <f>+N64</f>
      </c>
      <c r="H64" s="97"/>
      <c r="I64" s="98"/>
      <c r="J64" s="53">
        <f>+P64</f>
      </c>
      <c r="K64" s="109">
        <v>0</v>
      </c>
      <c r="L64" s="109">
        <v>0</v>
      </c>
      <c r="M64" s="109">
        <v>0</v>
      </c>
      <c r="N64" s="109">
        <v>0</v>
      </c>
      <c r="O64" s="109">
        <v>0</v>
      </c>
      <c r="P64" s="109">
        <v>0</v>
      </c>
      <c r="Q64" s="109">
        <v>0</v>
      </c>
      <c r="R64" s="109">
        <v>0</v>
      </c>
      <c r="S64" s="109">
        <v>0</v>
      </c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"/>
      <c r="AF64" s="9"/>
      <c r="AG64" s="9"/>
    </row>
    <row x14ac:dyDescent="0.25" r="65" customHeight="1" ht="15">
      <c r="A65" s="1"/>
      <c r="B65" s="1"/>
      <c r="C65" s="51" t="s">
        <v>54</v>
      </c>
      <c r="D65" s="95"/>
      <c r="E65" s="96"/>
      <c r="F65" s="109">
        <f>F48-F62</f>
      </c>
      <c r="G65" s="53">
        <f>+N65</f>
      </c>
      <c r="H65" s="97"/>
      <c r="I65" s="98"/>
      <c r="J65" s="53">
        <f>+P65</f>
      </c>
      <c r="K65" s="109">
        <v>57.738908</v>
      </c>
      <c r="L65" s="109">
        <v>56.22830700000003</v>
      </c>
      <c r="M65" s="109">
        <v>54.400512</v>
      </c>
      <c r="N65" s="109">
        <v>17.256759</v>
      </c>
      <c r="O65" s="109">
        <v>17.803291</v>
      </c>
      <c r="P65" s="109">
        <f>P48-P62</f>
      </c>
      <c r="Q65" s="109">
        <f>Q48-Q62</f>
      </c>
      <c r="R65" s="109">
        <f>R48-R62</f>
      </c>
      <c r="S65" s="109">
        <f>S48-S62</f>
      </c>
      <c r="T65" s="109">
        <v>-63.467825</v>
      </c>
      <c r="U65" s="109">
        <v>-65.403008</v>
      </c>
      <c r="V65" s="109">
        <v>-70.75749</v>
      </c>
      <c r="W65" s="109">
        <v>-76.169511</v>
      </c>
      <c r="X65" s="109"/>
      <c r="Y65" s="109"/>
      <c r="Z65" s="109"/>
      <c r="AA65" s="109"/>
      <c r="AB65" s="109"/>
      <c r="AC65" s="109"/>
      <c r="AD65" s="109"/>
      <c r="AE65" s="1"/>
      <c r="AF65" s="9"/>
      <c r="AG65" s="9"/>
    </row>
    <row x14ac:dyDescent="0.25" r="66" customHeight="1" ht="15">
      <c r="A66" s="12"/>
      <c r="B66" s="12"/>
      <c r="C66" s="102" t="s">
        <v>55</v>
      </c>
      <c r="D66" s="110">
        <f>SUM(D62:D65)</f>
      </c>
      <c r="E66" s="70">
        <f>SUM(E62:E65)</f>
      </c>
      <c r="F66" s="70">
        <f>SUM(F62:F65)</f>
      </c>
      <c r="G66" s="104">
        <f>SUM(G62:G65)</f>
      </c>
      <c r="H66" s="111"/>
      <c r="I66" s="112"/>
      <c r="J66" s="104">
        <f>SUM(J62:J65)</f>
      </c>
      <c r="K66" s="70">
        <f>SUM(K62:K65)</f>
      </c>
      <c r="L66" s="70">
        <f>SUM(L62:L65)</f>
      </c>
      <c r="M66" s="70">
        <f>SUM(M62:M65)</f>
      </c>
      <c r="N66" s="70">
        <f>SUM(N62:N65)</f>
      </c>
      <c r="O66" s="70">
        <f>SUM(O62:O65)</f>
      </c>
      <c r="P66" s="70">
        <f>SUM(P62:P65)</f>
      </c>
      <c r="Q66" s="70">
        <f>SUM(Q62:Q65)</f>
      </c>
      <c r="R66" s="70">
        <f>SUM(R62:R65)</f>
      </c>
      <c r="S66" s="70">
        <f>SUM(S62:S65)</f>
      </c>
      <c r="T66" s="70">
        <f>SUM(T62:T65)</f>
      </c>
      <c r="U66" s="70">
        <f>SUM(U62:U65)</f>
      </c>
      <c r="V66" s="70">
        <f>SUM(V62:V65)</f>
      </c>
      <c r="W66" s="70">
        <f>SUM(W62:W65)</f>
      </c>
      <c r="X66" s="70">
        <f>SUM(X62:X65)</f>
      </c>
      <c r="Y66" s="70">
        <f>SUM(Y62:Y65)</f>
      </c>
      <c r="Z66" s="70">
        <f>SUM(Z62:Z65)</f>
      </c>
      <c r="AA66" s="70">
        <f>SUM(AA62:AA65)</f>
      </c>
      <c r="AB66" s="70">
        <f>SUM(AB62:AB65)</f>
      </c>
      <c r="AC66" s="70">
        <f>SUM(AC62:AC65)</f>
      </c>
      <c r="AD66" s="70">
        <f>SUM(AD62:AD65)</f>
      </c>
      <c r="AE66" s="12"/>
      <c r="AF66" s="9"/>
      <c r="AG66" s="9"/>
    </row>
    <row x14ac:dyDescent="0.25" r="67" customHeight="1" ht="15">
      <c r="A67" s="113"/>
      <c r="B67" s="113"/>
      <c r="C67" s="114" t="s">
        <v>56</v>
      </c>
      <c r="D67" s="115">
        <f>+D66=D48</f>
      </c>
      <c r="E67" s="116">
        <f>+E66=E48</f>
      </c>
      <c r="F67" s="116">
        <f>+F66=F48</f>
      </c>
      <c r="G67" s="117">
        <f>+G66=G48</f>
      </c>
      <c r="H67" s="118"/>
      <c r="I67" s="98"/>
      <c r="J67" s="117"/>
      <c r="K67" s="116">
        <f>+ROUND(K66,1)=ROUND(K48,1)</f>
      </c>
      <c r="L67" s="116">
        <f>+L66=L48</f>
      </c>
      <c r="M67" s="116">
        <f>+M66=M48</f>
      </c>
      <c r="N67" s="116">
        <f>+N66=N48</f>
      </c>
      <c r="O67" s="116">
        <f>+ROUND(O66,1)=ROUND(O48,1)</f>
      </c>
      <c r="P67" s="116">
        <f>+P66=P48</f>
      </c>
      <c r="Q67" s="116">
        <f>+Q66=Q48</f>
      </c>
      <c r="R67" s="116">
        <f>+R66=R48</f>
      </c>
      <c r="S67" s="116">
        <f>+S66=S48</f>
      </c>
      <c r="T67" s="119">
        <f>+T66=T48</f>
      </c>
      <c r="U67" s="119">
        <f>+U66=U48</f>
      </c>
      <c r="V67" s="116">
        <f>+V66=V48</f>
      </c>
      <c r="W67" s="119">
        <f>+ROUND(W66,3)=ROUND(W48,3)</f>
      </c>
      <c r="X67" s="116">
        <f>+X66=X48</f>
      </c>
      <c r="Y67" s="116">
        <f>+Y66=Y48</f>
      </c>
      <c r="Z67" s="116">
        <f>+Z66=Z48</f>
      </c>
      <c r="AA67" s="116">
        <f>+AA66=AA48</f>
      </c>
      <c r="AB67" s="116">
        <f>+AB66=AB48</f>
      </c>
      <c r="AC67" s="116">
        <f>+AC66=AC48</f>
      </c>
      <c r="AD67" s="116">
        <f>+AD66=AD48</f>
      </c>
      <c r="AE67" s="113"/>
      <c r="AF67" s="9"/>
      <c r="AG67" s="9"/>
    </row>
    <row x14ac:dyDescent="0.25" r="68" customHeight="1" ht="15">
      <c r="A68" s="1"/>
      <c r="B68" s="1"/>
      <c r="C68" s="51"/>
      <c r="D68" s="80"/>
      <c r="E68" s="81"/>
      <c r="F68" s="81"/>
      <c r="G68" s="120"/>
      <c r="H68" s="97"/>
      <c r="I68" s="98"/>
      <c r="J68" s="120"/>
      <c r="K68" s="81"/>
      <c r="L68" s="81"/>
      <c r="M68" s="81"/>
      <c r="N68" s="81"/>
      <c r="O68" s="81"/>
      <c r="P68" s="81"/>
      <c r="Q68" s="81"/>
      <c r="R68" s="81"/>
      <c r="S68" s="81"/>
      <c r="T68" s="82"/>
      <c r="U68" s="82"/>
      <c r="V68" s="81"/>
      <c r="W68" s="82"/>
      <c r="X68" s="81"/>
      <c r="Y68" s="81"/>
      <c r="Z68" s="81"/>
      <c r="AA68" s="81"/>
      <c r="AB68" s="81"/>
      <c r="AC68" s="81"/>
      <c r="AD68" s="81"/>
      <c r="AE68" s="1"/>
      <c r="AF68" s="9"/>
      <c r="AG68" s="9"/>
    </row>
    <row x14ac:dyDescent="0.25" r="69" customHeight="1" ht="16.95">
      <c r="A69" s="1"/>
      <c r="B69" s="1"/>
      <c r="C69" s="45" t="s">
        <v>57</v>
      </c>
      <c r="D69" s="46"/>
      <c r="E69" s="46"/>
      <c r="F69" s="46"/>
      <c r="G69" s="47"/>
      <c r="H69" s="48"/>
      <c r="I69" s="49"/>
      <c r="J69" s="47"/>
      <c r="K69" s="46"/>
      <c r="L69" s="46"/>
      <c r="M69" s="46"/>
      <c r="N69" s="46"/>
      <c r="O69" s="46"/>
      <c r="P69" s="46"/>
      <c r="Q69" s="46"/>
      <c r="R69" s="46"/>
      <c r="S69" s="46"/>
      <c r="T69" s="50"/>
      <c r="U69" s="50"/>
      <c r="V69" s="46"/>
      <c r="W69" s="50"/>
      <c r="X69" s="46"/>
      <c r="Y69" s="46"/>
      <c r="Z69" s="46"/>
      <c r="AA69" s="46"/>
      <c r="AB69" s="46"/>
      <c r="AC69" s="46"/>
      <c r="AD69" s="46"/>
      <c r="AE69" s="1"/>
      <c r="AF69" s="9"/>
      <c r="AG69" s="9"/>
    </row>
    <row x14ac:dyDescent="0.25" r="70" customHeight="1" ht="15">
      <c r="A70" s="1"/>
      <c r="B70" s="1"/>
      <c r="C70" s="55" t="s">
        <v>58</v>
      </c>
      <c r="D70" s="121"/>
      <c r="E70" s="94"/>
      <c r="F70" s="94"/>
      <c r="G70" s="122"/>
      <c r="H70" s="121"/>
      <c r="I70" s="94"/>
      <c r="J70" s="122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1"/>
      <c r="AF70" s="9"/>
      <c r="AG70" s="9"/>
    </row>
    <row x14ac:dyDescent="0.25" r="71" customHeight="1" ht="15">
      <c r="A71" s="1"/>
      <c r="B71" s="1"/>
      <c r="C71" s="123" t="s">
        <v>59</v>
      </c>
      <c r="D71" s="124"/>
      <c r="E71" s="125"/>
      <c r="F71" s="126"/>
      <c r="G71" s="127"/>
      <c r="H71" s="128"/>
      <c r="I71" s="126"/>
      <c r="J71" s="127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  <c r="AA71" s="129"/>
      <c r="AB71" s="129"/>
      <c r="AC71" s="129"/>
      <c r="AD71" s="129"/>
      <c r="AE71" s="1"/>
      <c r="AF71" s="59" t="s">
        <v>60</v>
      </c>
      <c r="AG71" s="59" t="s">
        <v>61</v>
      </c>
    </row>
    <row x14ac:dyDescent="0.25" r="72" customHeight="1" ht="15">
      <c r="A72" s="1"/>
      <c r="B72" s="1"/>
      <c r="C72" s="51" t="s">
        <v>62</v>
      </c>
      <c r="D72" s="130"/>
      <c r="E72" s="131"/>
      <c r="F72" s="94"/>
      <c r="G72" s="122"/>
      <c r="H72" s="121"/>
      <c r="I72" s="94"/>
      <c r="J72" s="122"/>
      <c r="K72" s="54">
        <f>+K34</f>
      </c>
      <c r="L72" s="54">
        <f>+L34</f>
      </c>
      <c r="M72" s="54">
        <f>+M34</f>
      </c>
      <c r="N72" s="54">
        <f>+N34</f>
      </c>
      <c r="O72" s="54">
        <f>+O34</f>
      </c>
      <c r="P72" s="54">
        <f>+P34</f>
      </c>
      <c r="Q72" s="54">
        <f>+Q34</f>
      </c>
      <c r="R72" s="54">
        <f>+R34</f>
      </c>
      <c r="S72" s="54">
        <f>+S34</f>
      </c>
      <c r="T72" s="54">
        <f>+T34</f>
      </c>
      <c r="U72" s="54">
        <f>+U34</f>
      </c>
      <c r="V72" s="54">
        <f>+V34</f>
      </c>
      <c r="W72" s="54">
        <f>+W34</f>
      </c>
      <c r="X72" s="54">
        <f>+X34</f>
      </c>
      <c r="Y72" s="54">
        <f>+Y34</f>
      </c>
      <c r="Z72" s="54">
        <f>+Z34</f>
      </c>
      <c r="AA72" s="54">
        <f>+AA34</f>
      </c>
      <c r="AB72" s="54">
        <f>+AB34</f>
      </c>
      <c r="AC72" s="54">
        <f>+AC34</f>
      </c>
      <c r="AD72" s="54">
        <f>+AD34</f>
      </c>
      <c r="AE72" s="1"/>
      <c r="AF72" s="9"/>
      <c r="AG72" s="9"/>
    </row>
    <row x14ac:dyDescent="0.25" r="73" customHeight="1" ht="15">
      <c r="A73" s="1"/>
      <c r="B73" s="1"/>
      <c r="C73" s="51" t="s">
        <v>63</v>
      </c>
      <c r="D73" s="130"/>
      <c r="E73" s="131"/>
      <c r="F73" s="94"/>
      <c r="G73" s="122"/>
      <c r="H73" s="121"/>
      <c r="I73" s="94"/>
      <c r="J73" s="122"/>
      <c r="K73" s="54">
        <f>+K29</f>
      </c>
      <c r="L73" s="54">
        <f>+L29</f>
      </c>
      <c r="M73" s="54">
        <f>+M29</f>
      </c>
      <c r="N73" s="54">
        <f>+N29</f>
      </c>
      <c r="O73" s="54">
        <f>+O29</f>
      </c>
      <c r="P73" s="54">
        <f>+P29</f>
      </c>
      <c r="Q73" s="54">
        <f>+Q29</f>
      </c>
      <c r="R73" s="54">
        <f>+R29</f>
      </c>
      <c r="S73" s="54">
        <f>+S29</f>
      </c>
      <c r="T73" s="54">
        <f>+T29</f>
      </c>
      <c r="U73" s="54">
        <f>+U29</f>
      </c>
      <c r="V73" s="54">
        <f>+V29</f>
      </c>
      <c r="W73" s="54">
        <f>+W29</f>
      </c>
      <c r="X73" s="54">
        <f>+X29</f>
      </c>
      <c r="Y73" s="54">
        <f>+Y29</f>
      </c>
      <c r="Z73" s="54">
        <f>+Z29</f>
      </c>
      <c r="AA73" s="54">
        <f>+AA29</f>
      </c>
      <c r="AB73" s="54">
        <f>+AB29</f>
      </c>
      <c r="AC73" s="54">
        <f>+AC29</f>
      </c>
      <c r="AD73" s="54">
        <f>+AD29</f>
      </c>
      <c r="AE73" s="1"/>
      <c r="AF73" s="9"/>
      <c r="AG73" s="9"/>
    </row>
    <row x14ac:dyDescent="0.25" r="74" customHeight="1" ht="15">
      <c r="A74" s="1"/>
      <c r="B74" s="1"/>
      <c r="C74" s="51" t="s">
        <v>64</v>
      </c>
      <c r="D74" s="130"/>
      <c r="E74" s="131"/>
      <c r="F74" s="94"/>
      <c r="G74" s="122"/>
      <c r="H74" s="121"/>
      <c r="I74" s="94"/>
      <c r="J74" s="122"/>
      <c r="K74" s="54">
        <f>IF(K71="","",IF(K72&lt;K71,"Yes","No"))</f>
      </c>
      <c r="L74" s="54">
        <f>IF(L71="","",IF(L72&lt;L71,"Yes","No"))</f>
      </c>
      <c r="M74" s="54">
        <f>IF(M71="","",IF(M72&lt;M71,"Yes","No"))</f>
      </c>
      <c r="N74" s="54">
        <f>IF(N71="","",IF(N72&lt;N71,"Yes","No"))</f>
      </c>
      <c r="O74" s="54">
        <f>IF(O71="","",IF(O72&lt;O71,"Yes","No"))</f>
      </c>
      <c r="P74" s="54">
        <f>IF(P71="","",IF(P72&lt;P71,"Yes","No"))</f>
      </c>
      <c r="Q74" s="54">
        <f>IF(Q71="","",IF(Q72&lt;Q71,"Yes","No"))</f>
      </c>
      <c r="R74" s="54">
        <f>IF(R71="","",IF(R72&lt;R71,"Yes","No"))</f>
      </c>
      <c r="S74" s="54">
        <f>IF(S71="","",IF(S72&lt;S71,"Yes","No"))</f>
      </c>
      <c r="T74" s="54">
        <f>IF(T71="","",IF(T72&lt;T71,"Yes","No"))</f>
      </c>
      <c r="U74" s="54">
        <f>IF(U71="","",IF(U72&lt;U71,"Yes","No"))</f>
      </c>
      <c r="V74" s="54">
        <f>IF(V71="","",IF(V72&lt;V71,"Yes","No"))</f>
      </c>
      <c r="W74" s="54">
        <f>IF(W71="","",IF(W72&lt;W71,"Yes","No"))</f>
      </c>
      <c r="X74" s="54">
        <f>IF(X71="","",IF(X72&lt;X71,"Yes","No"))</f>
      </c>
      <c r="Y74" s="54">
        <f>IF(Y71="","",IF(Y72&lt;Y71,"Yes","No"))</f>
      </c>
      <c r="Z74" s="54">
        <f>IF(Z71="","",IF(Z72&lt;Z71,"Yes","No"))</f>
      </c>
      <c r="AA74" s="54">
        <f>IF(AA71="","",IF(AA72&lt;AA71,"Yes","No"))</f>
      </c>
      <c r="AB74" s="54">
        <f>IF(AB71="","",IF(AB72&lt;AB71,"Yes","No"))</f>
      </c>
      <c r="AC74" s="54">
        <f>IF(AC71="","",IF(AC72&lt;AC71,"Yes","No"))</f>
      </c>
      <c r="AD74" s="54">
        <f>IF(AD71="","",IF(AD72&lt;AD71,"Yes","No"))</f>
      </c>
      <c r="AE74" s="1"/>
      <c r="AF74" s="59" t="s">
        <v>65</v>
      </c>
      <c r="AG74" s="9"/>
    </row>
    <row x14ac:dyDescent="0.25" r="75" customHeight="1" ht="15">
      <c r="A75" s="1"/>
      <c r="B75" s="1"/>
      <c r="C75" s="69" t="s">
        <v>66</v>
      </c>
      <c r="D75" s="132"/>
      <c r="E75" s="133"/>
      <c r="F75" s="134"/>
      <c r="G75" s="135"/>
      <c r="H75" s="136"/>
      <c r="I75" s="134"/>
      <c r="J75" s="135"/>
      <c r="K75" s="137">
        <f>IFERROR(K25-((SUM(K54:K56)-K39)/K71), "")</f>
      </c>
      <c r="L75" s="137">
        <f>IFERROR(L25-((SUM(L54:L56)-L39)/L71), "")</f>
      </c>
      <c r="M75" s="137">
        <f>IFERROR(M25-((SUM(M54:M56)-M39)/M71), "")</f>
      </c>
      <c r="N75" s="137">
        <f>IFERROR(N25-((SUM(N54:N56)-N39)/N71), "")</f>
      </c>
      <c r="O75" s="137">
        <f>IFERROR(O25-((SUM(O54:O56)-O39)/O71), "")</f>
      </c>
      <c r="P75" s="137">
        <f>IFERROR(P25-((SUM(P54:P56)-P39)/P71), "")</f>
      </c>
      <c r="Q75" s="137">
        <f>IFERROR(Q25-((SUM(Q54:Q56)-Q39)/Q71), "")</f>
      </c>
      <c r="R75" s="137">
        <f>IFERROR(R25-((SUM(R54:R56)-R39)/R71), "")</f>
      </c>
      <c r="S75" s="137">
        <f>IFERROR(S25-((SUM(S54:S56)-S39)/S71), "")</f>
      </c>
      <c r="T75" s="137">
        <f>IFERROR(T25-((SUM(T54:T56)-T39)/T71), "")</f>
      </c>
      <c r="U75" s="137">
        <f>IFERROR(U25-((SUM(U54:U56)-U39)/U71), "")</f>
      </c>
      <c r="V75" s="137">
        <f>IFERROR(V25-((SUM(V54:V56)-V39)/V71), "")</f>
      </c>
      <c r="W75" s="137">
        <f>IFERROR(W25-((SUM(W54:W56)-W39)/W71), "")</f>
      </c>
      <c r="X75" s="137">
        <f>IFERROR(X25-((SUM(X54:X56)-X39)/X71), "")</f>
      </c>
      <c r="Y75" s="137">
        <f>IFERROR(Y25-((SUM(Y54:Y56)-Y39)/Y71), "")</f>
      </c>
      <c r="Z75" s="137">
        <f>IFERROR(Z25-((SUM(Z54:Z56)-Z39)/Z71), "")</f>
      </c>
      <c r="AA75" s="137">
        <f>IFERROR(AA25-((SUM(AA54:AA56)-AA39)/AA71), "")</f>
      </c>
      <c r="AB75" s="137">
        <f>IFERROR(AB25-((SUM(AB54:AB56)-AB39)/AB71), "")</f>
      </c>
      <c r="AC75" s="137">
        <f>IFERROR(AC25-((SUM(AC54:AC56)-AC39)/AC71), "")</f>
      </c>
      <c r="AD75" s="137">
        <f>IFERROR(AD25-((SUM(AD54:AD56)-AD39)/AD71), "")</f>
      </c>
      <c r="AE75" s="1"/>
      <c r="AF75" s="59" t="s">
        <v>59</v>
      </c>
      <c r="AG75" s="9"/>
    </row>
    <row x14ac:dyDescent="0.25" r="76" customHeight="1" ht="15">
      <c r="A76" s="1"/>
      <c r="B76" s="1"/>
      <c r="C76" s="51"/>
      <c r="D76" s="130"/>
      <c r="E76" s="131"/>
      <c r="F76" s="94"/>
      <c r="G76" s="122"/>
      <c r="H76" s="121"/>
      <c r="I76" s="94"/>
      <c r="J76" s="122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1"/>
      <c r="AF76" s="59" t="s">
        <v>67</v>
      </c>
      <c r="AG76" s="9"/>
    </row>
    <row x14ac:dyDescent="0.25" r="77" customHeight="1" ht="15">
      <c r="A77" s="1"/>
      <c r="B77" s="1"/>
      <c r="C77" s="55" t="s">
        <v>68</v>
      </c>
      <c r="D77" s="130"/>
      <c r="E77" s="131"/>
      <c r="F77" s="94"/>
      <c r="G77" s="122"/>
      <c r="H77" s="121"/>
      <c r="I77" s="94"/>
      <c r="J77" s="122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1"/>
      <c r="AF77" s="59" t="s">
        <v>69</v>
      </c>
      <c r="AG77" s="9"/>
    </row>
    <row x14ac:dyDescent="0.25" r="78" customHeight="1" ht="15">
      <c r="A78" s="1"/>
      <c r="B78" s="1"/>
      <c r="C78" s="123" t="s">
        <v>65</v>
      </c>
      <c r="D78" s="124"/>
      <c r="E78" s="125"/>
      <c r="F78" s="126">
        <v>4.75</v>
      </c>
      <c r="G78" s="127"/>
      <c r="H78" s="128"/>
      <c r="I78" s="126"/>
      <c r="J78" s="127"/>
      <c r="K78" s="129">
        <v>4.75</v>
      </c>
      <c r="L78" s="129">
        <v>4.75</v>
      </c>
      <c r="M78" s="129">
        <v>4.5</v>
      </c>
      <c r="N78" s="129">
        <v>4.5</v>
      </c>
      <c r="O78" s="129">
        <v>4.5</v>
      </c>
      <c r="P78" s="129">
        <v>4.25</v>
      </c>
      <c r="Q78" s="129">
        <v>4.25</v>
      </c>
      <c r="R78" s="129">
        <v>5.75</v>
      </c>
      <c r="S78" s="129">
        <v>5.75</v>
      </c>
      <c r="T78" s="129">
        <v>5.75</v>
      </c>
      <c r="U78" s="129">
        <v>5.25</v>
      </c>
      <c r="V78" s="129"/>
      <c r="W78" s="129">
        <v>8.25</v>
      </c>
      <c r="X78" s="129"/>
      <c r="Y78" s="129"/>
      <c r="Z78" s="129"/>
      <c r="AA78" s="129"/>
      <c r="AB78" s="129"/>
      <c r="AC78" s="129"/>
      <c r="AD78" s="129"/>
      <c r="AE78" s="1"/>
      <c r="AF78" s="59" t="s">
        <v>70</v>
      </c>
      <c r="AG78" s="9"/>
    </row>
    <row x14ac:dyDescent="0.25" r="79" customHeight="1" ht="15">
      <c r="A79" s="1"/>
      <c r="B79" s="1"/>
      <c r="C79" s="51" t="s">
        <v>62</v>
      </c>
      <c r="D79" s="130"/>
      <c r="E79" s="131"/>
      <c r="F79" s="94"/>
      <c r="G79" s="122"/>
      <c r="H79" s="121"/>
      <c r="I79" s="94"/>
      <c r="J79" s="122"/>
      <c r="K79" s="54">
        <f>+K35</f>
      </c>
      <c r="L79" s="54">
        <f>+L35</f>
      </c>
      <c r="M79" s="54">
        <f>+M35</f>
      </c>
      <c r="N79" s="54">
        <f>+N35</f>
      </c>
      <c r="O79" s="54">
        <f>+O35</f>
      </c>
      <c r="P79" s="54">
        <f>+P35</f>
      </c>
      <c r="Q79" s="54">
        <f>+Q35</f>
      </c>
      <c r="R79" s="54">
        <f>+R35</f>
      </c>
      <c r="S79" s="54">
        <f>+S35</f>
      </c>
      <c r="T79" s="54">
        <f>+T35</f>
      </c>
      <c r="U79" s="54">
        <f>+U35</f>
      </c>
      <c r="V79" s="54">
        <f>+V35</f>
      </c>
      <c r="W79" s="54">
        <f>+W35</f>
      </c>
      <c r="X79" s="54">
        <f>+X35</f>
      </c>
      <c r="Y79" s="54">
        <f>+Y35</f>
      </c>
      <c r="Z79" s="54">
        <f>+Z35</f>
      </c>
      <c r="AA79" s="54">
        <f>+AA35</f>
      </c>
      <c r="AB79" s="54">
        <f>+AB35</f>
      </c>
      <c r="AC79" s="54">
        <f>+AC35</f>
      </c>
      <c r="AD79" s="54">
        <f>+AD35</f>
      </c>
      <c r="AE79" s="1"/>
      <c r="AF79" s="9"/>
      <c r="AG79" s="9"/>
    </row>
    <row x14ac:dyDescent="0.25" r="80" customHeight="1" ht="15">
      <c r="A80" s="1"/>
      <c r="B80" s="1"/>
      <c r="C80" s="51" t="s">
        <v>63</v>
      </c>
      <c r="D80" s="130"/>
      <c r="E80" s="131"/>
      <c r="F80" s="94"/>
      <c r="G80" s="122"/>
      <c r="H80" s="121"/>
      <c r="I80" s="94"/>
      <c r="J80" s="122"/>
      <c r="K80" s="54">
        <f>+K30</f>
      </c>
      <c r="L80" s="54">
        <f>+L30</f>
      </c>
      <c r="M80" s="54">
        <f>+M30</f>
      </c>
      <c r="N80" s="54">
        <f>+N30</f>
      </c>
      <c r="O80" s="54">
        <f>+O30</f>
      </c>
      <c r="P80" s="54">
        <f>+P30</f>
      </c>
      <c r="Q80" s="54">
        <f>+Q30</f>
      </c>
      <c r="R80" s="54">
        <f>+R30</f>
      </c>
      <c r="S80" s="54">
        <f>+S30</f>
      </c>
      <c r="T80" s="54">
        <f>+T30</f>
      </c>
      <c r="U80" s="54">
        <f>+U30</f>
      </c>
      <c r="V80" s="54">
        <f>+V30</f>
      </c>
      <c r="W80" s="54">
        <f>+W30</f>
      </c>
      <c r="X80" s="54">
        <f>+X30</f>
      </c>
      <c r="Y80" s="54">
        <f>+Y30</f>
      </c>
      <c r="Z80" s="54">
        <f>+Z30</f>
      </c>
      <c r="AA80" s="54">
        <f>+AA30</f>
      </c>
      <c r="AB80" s="54">
        <f>+AB30</f>
      </c>
      <c r="AC80" s="54">
        <f>+AC30</f>
      </c>
      <c r="AD80" s="54">
        <f>+AD30</f>
      </c>
      <c r="AE80" s="1"/>
      <c r="AF80" s="9"/>
      <c r="AG80" s="9"/>
    </row>
    <row x14ac:dyDescent="0.25" r="81" customHeight="1" ht="15">
      <c r="A81" s="1"/>
      <c r="B81" s="1"/>
      <c r="C81" s="51" t="s">
        <v>64</v>
      </c>
      <c r="D81" s="130"/>
      <c r="E81" s="131"/>
      <c r="F81" s="94"/>
      <c r="G81" s="122"/>
      <c r="H81" s="121"/>
      <c r="I81" s="94"/>
      <c r="J81" s="122"/>
      <c r="K81" s="54">
        <f>IF(K78="","",IF(K79&lt;K78,"Yes","No"))</f>
      </c>
      <c r="L81" s="54">
        <f>IF(L78="","",IF(L79&lt;L78,"Yes","No"))</f>
      </c>
      <c r="M81" s="54">
        <f>IF(M78="","",IF(M79&lt;M78,"Yes","No"))</f>
      </c>
      <c r="N81" s="54">
        <f>IF(N78="","",IF(N79&lt;N78,"Yes","No"))</f>
      </c>
      <c r="O81" s="54">
        <f>IF(O78="","",IF(O79&lt;O78,"Yes","No"))</f>
      </c>
      <c r="P81" s="54">
        <f>IF(P78="","",IF(P79&lt;P78,"Yes","No"))</f>
      </c>
      <c r="Q81" s="54">
        <f>IF(Q78="","",IF(Q79&lt;Q78,"Yes","No"))</f>
      </c>
      <c r="R81" s="54">
        <f>IF(R78="","",IF(R79&lt;R78,"Yes","No"))</f>
      </c>
      <c r="S81" s="54">
        <f>IF(S78="","",IF(S79&lt;S78,"Yes","No"))</f>
      </c>
      <c r="T81" s="84">
        <f>IF(T78="","",IF(T79&lt;T78,"Yes","No"))</f>
      </c>
      <c r="U81" s="84">
        <f>IF(U78="","",IF(U79&lt;U78,"Yes","No"))</f>
      </c>
      <c r="V81" s="54">
        <f>IF(V78="","",IF(V79&lt;V78,"Yes","No"))</f>
      </c>
      <c r="W81" s="84">
        <f>IF(W78="","",IF(W79&lt;W78,"Yes","No"))</f>
      </c>
      <c r="X81" s="54">
        <f>IF(X78="","",IF(X79&lt;X78,"Yes","No"))</f>
      </c>
      <c r="Y81" s="54">
        <f>IF(Y78="","",IF(Y79&lt;Y78,"Yes","No"))</f>
      </c>
      <c r="Z81" s="54">
        <f>IF(Z78="","",IF(Z79&lt;Z78,"Yes","No"))</f>
      </c>
      <c r="AA81" s="54">
        <f>IF(AA78="","",IF(AA79&lt;AA78,"Yes","No"))</f>
      </c>
      <c r="AB81" s="54">
        <f>IF(AB78="","",IF(AB79&lt;AB78,"Yes","No"))</f>
      </c>
      <c r="AC81" s="54">
        <f>IF(AC78="","",IF(AC79&lt;AC78,"Yes","No"))</f>
      </c>
      <c r="AD81" s="54">
        <f>IF(AD78="","",IF(AD79&lt;AD78,"Yes","No"))</f>
      </c>
      <c r="AE81" s="1"/>
      <c r="AF81" s="59" t="s">
        <v>71</v>
      </c>
      <c r="AG81" s="9"/>
    </row>
    <row x14ac:dyDescent="0.25" r="82" customHeight="1" ht="15">
      <c r="A82" s="1"/>
      <c r="B82" s="1"/>
      <c r="C82" s="69" t="s">
        <v>66</v>
      </c>
      <c r="D82" s="132"/>
      <c r="E82" s="133"/>
      <c r="F82" s="134"/>
      <c r="G82" s="135"/>
      <c r="H82" s="136"/>
      <c r="I82" s="134"/>
      <c r="J82" s="135"/>
      <c r="K82" s="137">
        <f>IFERROR(K25-((SUM(K54:K60)-K39)/K78),"")</f>
      </c>
      <c r="L82" s="137">
        <f>IFERROR(L25-((SUM(L54:L60)-L39)/L78),"")</f>
      </c>
      <c r="M82" s="137">
        <f>IFERROR(M25-((SUM(M54:M60)-M39)/M78),"")</f>
      </c>
      <c r="N82" s="137">
        <f>IFERROR(N25-((SUM(N54:N60)-N39)/N78),"")</f>
      </c>
      <c r="O82" s="137">
        <f>IFERROR(O25-((SUM(O54:O60)-O39)/O78),"")</f>
      </c>
      <c r="P82" s="137">
        <f>IFERROR(P25-((SUM(P54:P60)-P39)/P78),"")</f>
      </c>
      <c r="Q82" s="137">
        <f>IFERROR(Q25-((SUM(Q54:Q60)-Q39)/Q78),"")</f>
      </c>
      <c r="R82" s="137">
        <f>IFERROR(R25-((SUM(R54:R60)-R39)/R78),"")</f>
      </c>
      <c r="S82" s="137">
        <f>IFERROR(S25-((SUM(S54:S60)-S39)/S78),"")</f>
      </c>
      <c r="T82" s="137">
        <f>IFERROR(T25-((SUM(T54:T60)-T39)/T78),"")</f>
      </c>
      <c r="U82" s="137">
        <f>IFERROR(U25-((SUM(U54:U60)-U39)/U78),"")</f>
      </c>
      <c r="V82" s="137">
        <f>IFERROR(V25-((SUM(V54:V60)-V39)/V78),"")</f>
      </c>
      <c r="W82" s="137">
        <f>IFERROR(W25-((SUM(W54:W60)-W39)/W78),"")</f>
      </c>
      <c r="X82" s="137">
        <f>IFERROR(X25-((SUM(X54:X60)-X39)/X78),"")</f>
      </c>
      <c r="Y82" s="137">
        <f>IFERROR(Y25-((SUM(Y54:Y60)-Y39)/Y78),"")</f>
      </c>
      <c r="Z82" s="137">
        <f>IFERROR(Z25-((SUM(Z54:Z60)-Z39)/Z78),"")</f>
      </c>
      <c r="AA82" s="137">
        <f>IFERROR(AA25-((SUM(AA54:AA60)-AA39)/AA78),"")</f>
      </c>
      <c r="AB82" s="137">
        <f>IFERROR(AB25-((SUM(AB54:AB60)-AB39)/AB78),"")</f>
      </c>
      <c r="AC82" s="137">
        <f>IFERROR(AC25-((SUM(AC54:AC60)-AC39)/AC78),"")</f>
      </c>
      <c r="AD82" s="137">
        <f>IFERROR(AD25-((SUM(AD54:AD60)-AD39)/AD78),"")</f>
      </c>
      <c r="AE82" s="1"/>
      <c r="AF82" s="9"/>
      <c r="AG82" s="9"/>
    </row>
    <row x14ac:dyDescent="0.25" r="83" customHeight="1" ht="15">
      <c r="A83" s="1"/>
      <c r="B83" s="1"/>
      <c r="C83" s="51"/>
      <c r="D83" s="130"/>
      <c r="E83" s="131"/>
      <c r="F83" s="94"/>
      <c r="G83" s="122"/>
      <c r="H83" s="121"/>
      <c r="I83" s="94"/>
      <c r="J83" s="122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1"/>
      <c r="AF83" s="9"/>
      <c r="AG83" s="9"/>
    </row>
    <row x14ac:dyDescent="0.25" r="84" customHeight="1" ht="15">
      <c r="A84" s="1"/>
      <c r="B84" s="1"/>
      <c r="C84" s="55" t="s">
        <v>72</v>
      </c>
      <c r="D84" s="121"/>
      <c r="E84" s="94"/>
      <c r="F84" s="94"/>
      <c r="G84" s="122"/>
      <c r="H84" s="121"/>
      <c r="I84" s="94"/>
      <c r="J84" s="122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1"/>
      <c r="AF84" s="9"/>
      <c r="AG84" s="9"/>
    </row>
    <row x14ac:dyDescent="0.25" r="85" customHeight="1" ht="15">
      <c r="A85" s="1"/>
      <c r="B85" s="1"/>
      <c r="C85" s="123" t="s">
        <v>30</v>
      </c>
      <c r="D85" s="124"/>
      <c r="E85" s="125"/>
      <c r="F85" s="126"/>
      <c r="G85" s="127"/>
      <c r="H85" s="128"/>
      <c r="I85" s="126"/>
      <c r="J85" s="127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"/>
      <c r="AF85" s="9"/>
      <c r="AG85" s="9"/>
    </row>
    <row x14ac:dyDescent="0.25" r="86" customHeight="1" ht="15">
      <c r="A86" s="1"/>
      <c r="B86" s="1"/>
      <c r="C86" s="51" t="s">
        <v>62</v>
      </c>
      <c r="D86" s="89"/>
      <c r="E86" s="90"/>
      <c r="F86" s="94"/>
      <c r="G86" s="122"/>
      <c r="H86" s="121"/>
      <c r="I86" s="94"/>
      <c r="J86" s="122"/>
      <c r="K86" s="96">
        <f>+K36</f>
      </c>
      <c r="L86" s="96">
        <f>+L36</f>
      </c>
      <c r="M86" s="96">
        <f>+M36</f>
      </c>
      <c r="N86" s="96">
        <f>+N36</f>
      </c>
      <c r="O86" s="96">
        <f>+O36</f>
      </c>
      <c r="P86" s="96">
        <f>+P36</f>
      </c>
      <c r="Q86" s="96">
        <f>+Q36</f>
      </c>
      <c r="R86" s="96">
        <f>+R36</f>
      </c>
      <c r="S86" s="96">
        <f>+S36</f>
      </c>
      <c r="T86" s="96">
        <f>+T36</f>
      </c>
      <c r="U86" s="96">
        <f>+U36</f>
      </c>
      <c r="V86" s="96">
        <f>+V36</f>
      </c>
      <c r="W86" s="96">
        <f>+W36</f>
      </c>
      <c r="X86" s="96">
        <f>+X36</f>
      </c>
      <c r="Y86" s="96">
        <f>+Y36</f>
      </c>
      <c r="Z86" s="96">
        <f>+Z36</f>
      </c>
      <c r="AA86" s="96">
        <f>+AA36</f>
      </c>
      <c r="AB86" s="96">
        <f>+AB36</f>
      </c>
      <c r="AC86" s="96">
        <f>+AC36</f>
      </c>
      <c r="AD86" s="96">
        <f>+AD36</f>
      </c>
      <c r="AE86" s="1"/>
      <c r="AF86" s="9"/>
      <c r="AG86" s="9"/>
    </row>
    <row x14ac:dyDescent="0.25" r="87" customHeight="1" ht="15">
      <c r="A87" s="1"/>
      <c r="B87" s="1"/>
      <c r="C87" s="69" t="s">
        <v>64</v>
      </c>
      <c r="D87" s="132"/>
      <c r="E87" s="133"/>
      <c r="F87" s="134"/>
      <c r="G87" s="135"/>
      <c r="H87" s="136"/>
      <c r="I87" s="134"/>
      <c r="J87" s="135"/>
      <c r="K87" s="137">
        <f>IF(K85="","",IF(K86&lt;K85,"Yes","No"))</f>
      </c>
      <c r="L87" s="137">
        <f>IF(L85="","",IF(L86&lt;L85,"Yes","No"))</f>
      </c>
      <c r="M87" s="137">
        <f>IF(M85="","",IF(M86&lt;M85,"Yes","No"))</f>
      </c>
      <c r="N87" s="137">
        <f>IF(N85="","",IF(N86&lt;N85,"Yes","No"))</f>
      </c>
      <c r="O87" s="137">
        <f>IF(O85="","",IF(O86&lt;O85,"Yes","No"))</f>
      </c>
      <c r="P87" s="137">
        <f>IF(P85="","",IF(P86&lt;P85,"Yes","No"))</f>
      </c>
      <c r="Q87" s="137">
        <f>IF(Q85="","",IF(Q86&lt;Q85,"Yes","No"))</f>
      </c>
      <c r="R87" s="137">
        <f>IF(R85="","",IF(R86&lt;R85,"Yes","No"))</f>
      </c>
      <c r="S87" s="137">
        <f>IF(S85="","",IF(S86&lt;S85,"Yes","No"))</f>
      </c>
      <c r="T87" s="137">
        <f>IF(T85="","",IF(T86&lt;T85,"Yes","No"))</f>
      </c>
      <c r="U87" s="137">
        <f>IF(U85="","",IF(U86&lt;U85,"Yes","No"))</f>
      </c>
      <c r="V87" s="137">
        <f>IF(V85="","",IF(V86&lt;V85,"Yes","No"))</f>
      </c>
      <c r="W87" s="137">
        <f>IF(W85="","",IF(W86&lt;W85,"Yes","No"))</f>
      </c>
      <c r="X87" s="137">
        <f>IF(X85="","",IF(X86&lt;X85,"Yes","No"))</f>
      </c>
      <c r="Y87" s="137">
        <f>IF(Y85="","",IF(Y86&lt;Y85,"Yes","No"))</f>
      </c>
      <c r="Z87" s="137">
        <f>IF(Z85="","",IF(Z86&lt;Z85,"Yes","No"))</f>
      </c>
      <c r="AA87" s="137">
        <f>IF(AA85="","",IF(AA86&lt;AA85,"Yes","No"))</f>
      </c>
      <c r="AB87" s="137">
        <f>IF(AB85="","",IF(AB86&lt;AB85,"Yes","No"))</f>
      </c>
      <c r="AC87" s="137">
        <f>IF(AC85="","",IF(AC86&lt;AC85,"Yes","No"))</f>
      </c>
      <c r="AD87" s="137">
        <f>IF(AD85="","",IF(AD86&lt;AD85,"Yes","No"))</f>
      </c>
      <c r="AE87" s="1"/>
      <c r="AF87" s="9"/>
      <c r="AG87" s="9"/>
    </row>
    <row x14ac:dyDescent="0.25" r="88" customHeight="1" ht="15">
      <c r="A88" s="1"/>
      <c r="B88" s="1"/>
      <c r="C88" s="51"/>
      <c r="D88" s="130"/>
      <c r="E88" s="131"/>
      <c r="F88" s="94"/>
      <c r="G88" s="122"/>
      <c r="H88" s="121"/>
      <c r="I88" s="94"/>
      <c r="J88" s="122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1"/>
      <c r="AF88" s="9"/>
      <c r="AG88" s="9"/>
    </row>
    <row x14ac:dyDescent="0.25" r="89" customHeight="1" ht="15">
      <c r="A89" s="1"/>
      <c r="B89" s="1"/>
      <c r="C89" s="55" t="s">
        <v>73</v>
      </c>
      <c r="D89" s="121"/>
      <c r="E89" s="94"/>
      <c r="F89" s="94"/>
      <c r="G89" s="122"/>
      <c r="H89" s="121"/>
      <c r="I89" s="94"/>
      <c r="J89" s="122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1"/>
      <c r="AF89" s="9"/>
      <c r="AG89" s="9"/>
    </row>
    <row x14ac:dyDescent="0.25" r="90" customHeight="1" ht="15">
      <c r="A90" s="1"/>
      <c r="B90" s="1"/>
      <c r="C90" s="123" t="s">
        <v>69</v>
      </c>
      <c r="D90" s="124"/>
      <c r="E90" s="125"/>
      <c r="F90" s="126"/>
      <c r="G90" s="127"/>
      <c r="H90" s="128"/>
      <c r="I90" s="126"/>
      <c r="J90" s="127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  <c r="AA90" s="129"/>
      <c r="AB90" s="129"/>
      <c r="AC90" s="129"/>
      <c r="AD90" s="129"/>
      <c r="AE90" s="1"/>
      <c r="AF90" s="9"/>
      <c r="AG90" s="9"/>
    </row>
    <row x14ac:dyDescent="0.25" r="91" customHeight="1" ht="15">
      <c r="A91" s="1"/>
      <c r="B91" s="1"/>
      <c r="C91" s="51" t="s">
        <v>62</v>
      </c>
      <c r="D91" s="89"/>
      <c r="E91" s="90"/>
      <c r="F91" s="94"/>
      <c r="G91" s="122"/>
      <c r="H91" s="121"/>
      <c r="I91" s="94"/>
      <c r="J91" s="122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1"/>
      <c r="AF91" s="9"/>
      <c r="AG91" s="9"/>
    </row>
    <row x14ac:dyDescent="0.25" r="92" customHeight="1" ht="15">
      <c r="A92" s="1"/>
      <c r="B92" s="1"/>
      <c r="C92" s="69" t="s">
        <v>64</v>
      </c>
      <c r="D92" s="132"/>
      <c r="E92" s="133"/>
      <c r="F92" s="134"/>
      <c r="G92" s="135"/>
      <c r="H92" s="136"/>
      <c r="I92" s="134"/>
      <c r="J92" s="135"/>
      <c r="K92" s="137">
        <f>IF(K90="","",IF(K49&lt;K90,"Yes","No"))</f>
      </c>
      <c r="L92" s="137">
        <f>IF(L90="","",IF(L49&lt;L90,"Yes","No"))</f>
      </c>
      <c r="M92" s="137">
        <f>IF(M90="","",IF(M49&lt;M90,"Yes","No"))</f>
      </c>
      <c r="N92" s="137">
        <f>IF(N90="","",IF(N49&lt;N90,"Yes","No"))</f>
      </c>
      <c r="O92" s="137">
        <f>IF(O90="","",IF(O49&lt;O90,"Yes","No"))</f>
      </c>
      <c r="P92" s="137">
        <f>IF(P90="","",IF(P49&lt;P90,"Yes","No"))</f>
      </c>
      <c r="Q92" s="137">
        <f>IF(Q90="","",IF(Q49&lt;Q90,"Yes","No"))</f>
      </c>
      <c r="R92" s="137">
        <f>IF(R90="","",IF(R49&lt;R90,"Yes","No"))</f>
      </c>
      <c r="S92" s="137">
        <f>IF(S90="","",IF(S49&lt;S90,"Yes","No"))</f>
      </c>
      <c r="T92" s="137">
        <f>IF(T90="","",IF(T49&lt;T90,"Yes","No"))</f>
      </c>
      <c r="U92" s="137">
        <f>IF(U90="","",IF(U49&lt;U90,"Yes","No"))</f>
      </c>
      <c r="V92" s="137">
        <f>IF(V90="","",IF(V49&lt;V90,"Yes","No"))</f>
      </c>
      <c r="W92" s="137">
        <f>IF(W90="","",IF(W49&lt;W90,"Yes","No"))</f>
      </c>
      <c r="X92" s="137">
        <f>IF(X90="","",IF(X49&lt;X90,"Yes","No"))</f>
      </c>
      <c r="Y92" s="137">
        <f>IF(Y90="","",IF(Y49&lt;Y90,"Yes","No"))</f>
      </c>
      <c r="Z92" s="137">
        <f>IF(Z90="","",IF(Z49&lt;Z90,"Yes","No"))</f>
      </c>
      <c r="AA92" s="137">
        <f>IF(AA90="","",IF(AA49&lt;AA90,"Yes","No"))</f>
      </c>
      <c r="AB92" s="137">
        <f>IF(AB90="","",IF(AB49&lt;AB90,"Yes","No"))</f>
      </c>
      <c r="AC92" s="137">
        <f>IF(AC90="","",IF(AC49&lt;AC90,"Yes","No"))</f>
      </c>
      <c r="AD92" s="137">
        <f>IF(AD90="","",IF(AD49&lt;AD90,"Yes","No"))</f>
      </c>
      <c r="AE92" s="1"/>
      <c r="AF92" s="9"/>
      <c r="AG92" s="9"/>
    </row>
    <row x14ac:dyDescent="0.25" r="93" customHeight="1" ht="15">
      <c r="A93" s="1"/>
      <c r="B93" s="1"/>
      <c r="C93" s="51"/>
      <c r="D93" s="130"/>
      <c r="E93" s="131"/>
      <c r="F93" s="94"/>
      <c r="G93" s="122"/>
      <c r="H93" s="121"/>
      <c r="I93" s="94"/>
      <c r="J93" s="122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1"/>
      <c r="AF93" s="9"/>
      <c r="AG93" s="9"/>
    </row>
    <row x14ac:dyDescent="0.25" r="94" customHeight="1" ht="15">
      <c r="A94" s="1"/>
      <c r="B94" s="1"/>
      <c r="C94" s="55" t="s">
        <v>74</v>
      </c>
      <c r="D94" s="121"/>
      <c r="E94" s="94"/>
      <c r="F94" s="94"/>
      <c r="G94" s="122"/>
      <c r="H94" s="121"/>
      <c r="I94" s="94"/>
      <c r="J94" s="122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1"/>
      <c r="AF94" s="9"/>
      <c r="AG94" s="9"/>
    </row>
    <row x14ac:dyDescent="0.25" r="95" customHeight="1" ht="15">
      <c r="A95" s="1"/>
      <c r="B95" s="1"/>
      <c r="C95" s="123" t="s">
        <v>70</v>
      </c>
      <c r="D95" s="124"/>
      <c r="E95" s="125"/>
      <c r="F95" s="126"/>
      <c r="G95" s="127"/>
      <c r="H95" s="128"/>
      <c r="I95" s="126"/>
      <c r="J95" s="127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"/>
      <c r="AF95" s="9"/>
      <c r="AG95" s="9"/>
    </row>
    <row x14ac:dyDescent="0.25" r="96" customHeight="1" ht="15">
      <c r="A96" s="1"/>
      <c r="B96" s="1"/>
      <c r="C96" s="51" t="s">
        <v>62</v>
      </c>
      <c r="D96" s="89"/>
      <c r="E96" s="90"/>
      <c r="F96" s="94"/>
      <c r="G96" s="122"/>
      <c r="H96" s="121"/>
      <c r="I96" s="94"/>
      <c r="J96" s="122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1"/>
      <c r="AF96" s="9"/>
      <c r="AG96" s="9"/>
    </row>
    <row x14ac:dyDescent="0.25" r="97" customHeight="1" ht="15">
      <c r="A97" s="1"/>
      <c r="B97" s="1"/>
      <c r="C97" s="51" t="s">
        <v>64</v>
      </c>
      <c r="D97" s="130"/>
      <c r="E97" s="131"/>
      <c r="F97" s="94"/>
      <c r="G97" s="122"/>
      <c r="H97" s="121"/>
      <c r="I97" s="94"/>
      <c r="J97" s="122"/>
      <c r="K97" s="54">
        <f>IF(K95="","",IF(K54&lt;K95,"Yes","No"))</f>
      </c>
      <c r="L97" s="54">
        <f>IF(L95="","",IF(L54&lt;L95,"Yes","No"))</f>
      </c>
      <c r="M97" s="54">
        <f>IF(M95="","",IF(M54&lt;M95,"Yes","No"))</f>
      </c>
      <c r="N97" s="54">
        <f>IF(N95="","",IF(N54&lt;N95,"Yes","No"))</f>
      </c>
      <c r="O97" s="54">
        <f>IF(O95="","",IF(O54&lt;O95,"Yes","No"))</f>
      </c>
      <c r="P97" s="54">
        <f>IF(P95="","",IF(P54&lt;P95,"Yes","No"))</f>
      </c>
      <c r="Q97" s="54">
        <f>IF(Q95="","",IF(Q54&lt;Q95,"Yes","No"))</f>
      </c>
      <c r="R97" s="54">
        <f>IF(R95="","",IF(R54&lt;R95,"Yes","No"))</f>
      </c>
      <c r="S97" s="54">
        <f>IF(S95="","",IF(S54&lt;S95,"Yes","No"))</f>
      </c>
      <c r="T97" s="54">
        <f>IF(T95="","",IF(T54&lt;T95,"Yes","No"))</f>
      </c>
      <c r="U97" s="54">
        <f>IF(U95="","",IF(U54&lt;U95,"Yes","No"))</f>
      </c>
      <c r="V97" s="54">
        <f>IF(V95="","",IF(V54&lt;V95,"Yes","No"))</f>
      </c>
      <c r="W97" s="54">
        <f>IF(W95="","",IF(W54&lt;W95,"Yes","No"))</f>
      </c>
      <c r="X97" s="54">
        <f>IF(X95="","",IF(X54&lt;X95,"Yes","No"))</f>
      </c>
      <c r="Y97" s="54">
        <f>IF(Y95="","",IF(Y54&lt;Y95,"Yes","No"))</f>
      </c>
      <c r="Z97" s="54">
        <f>IF(Z95="","",IF(Z54&lt;Z95,"Yes","No"))</f>
      </c>
      <c r="AA97" s="54">
        <f>IF(AA95="","",IF(AA54&lt;AA95,"Yes","No"))</f>
      </c>
      <c r="AB97" s="54">
        <f>IF(AB95="","",IF(AB54&lt;AB95,"Yes","No"))</f>
      </c>
      <c r="AC97" s="54">
        <f>IF(AC95="","",IF(AC54&lt;AC95,"Yes","No"))</f>
      </c>
      <c r="AD97" s="54">
        <f>IF(AD95="","",IF(AD54&lt;AD95,"Yes","No"))</f>
      </c>
      <c r="AE97" s="1"/>
      <c r="AF97" s="9"/>
      <c r="AG97" s="9"/>
    </row>
    <row x14ac:dyDescent="0.25" r="98" customHeight="1" ht="15">
      <c r="A98" s="1"/>
      <c r="B98" s="1"/>
      <c r="C98" s="51"/>
      <c r="D98" s="130"/>
      <c r="E98" s="131"/>
      <c r="F98" s="94"/>
      <c r="G98" s="122"/>
      <c r="H98" s="121"/>
      <c r="I98" s="94"/>
      <c r="J98" s="122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1"/>
      <c r="AF98" s="9"/>
      <c r="AG98" s="9"/>
    </row>
    <row x14ac:dyDescent="0.25" r="99" customHeight="1" ht="16.95">
      <c r="A99" s="1"/>
      <c r="B99" s="1"/>
      <c r="C99" s="45" t="s">
        <v>75</v>
      </c>
      <c r="D99" s="46"/>
      <c r="E99" s="46"/>
      <c r="F99" s="46"/>
      <c r="G99" s="47"/>
      <c r="H99" s="48"/>
      <c r="I99" s="49"/>
      <c r="J99" s="47"/>
      <c r="K99" s="46"/>
      <c r="L99" s="46"/>
      <c r="M99" s="46"/>
      <c r="N99" s="46"/>
      <c r="O99" s="46"/>
      <c r="P99" s="46"/>
      <c r="Q99" s="46"/>
      <c r="R99" s="46"/>
      <c r="S99" s="46"/>
      <c r="T99" s="50"/>
      <c r="U99" s="50"/>
      <c r="V99" s="46"/>
      <c r="W99" s="50"/>
      <c r="X99" s="46"/>
      <c r="Y99" s="46"/>
      <c r="Z99" s="46"/>
      <c r="AA99" s="46"/>
      <c r="AB99" s="46"/>
      <c r="AC99" s="46"/>
      <c r="AD99" s="46"/>
      <c r="AE99" s="1"/>
      <c r="AF99" s="9"/>
      <c r="AG99" s="9"/>
    </row>
    <row x14ac:dyDescent="0.25" r="100" customHeight="1" ht="15">
      <c r="A100" s="1"/>
      <c r="B100" s="1"/>
      <c r="C100" s="55"/>
      <c r="D100" s="121"/>
      <c r="E100" s="94"/>
      <c r="F100" s="94"/>
      <c r="G100" s="122"/>
      <c r="H100" s="121"/>
      <c r="I100" s="94"/>
      <c r="J100" s="122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1"/>
      <c r="AF100" s="9"/>
      <c r="AG100" s="9"/>
    </row>
    <row x14ac:dyDescent="0.25" r="101" customHeight="1" ht="15">
      <c r="A101" s="1"/>
      <c r="B101" s="1"/>
      <c r="C101" s="51" t="s">
        <v>76</v>
      </c>
      <c r="D101" s="89"/>
      <c r="E101" s="90"/>
      <c r="F101" s="94"/>
      <c r="G101" s="122"/>
      <c r="H101" s="121"/>
      <c r="I101" s="94"/>
      <c r="J101" s="122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1"/>
      <c r="AF101" s="9"/>
      <c r="AG101" s="9"/>
    </row>
    <row x14ac:dyDescent="0.25" r="102" customHeight="1" ht="15">
      <c r="A102" s="1"/>
      <c r="B102" s="1"/>
      <c r="C102" s="51" t="s">
        <v>77</v>
      </c>
      <c r="D102" s="89"/>
      <c r="E102" s="90"/>
      <c r="F102" s="94"/>
      <c r="G102" s="122"/>
      <c r="H102" s="121"/>
      <c r="I102" s="94"/>
      <c r="J102" s="122"/>
      <c r="K102" s="91"/>
      <c r="L102" s="91"/>
      <c r="M102" s="91"/>
      <c r="N102" s="91"/>
      <c r="O102" s="91"/>
      <c r="P102" s="91"/>
      <c r="Q102" s="91"/>
      <c r="R102" s="91"/>
      <c r="S102" s="91"/>
      <c r="T102" s="91">
        <v>28.99896</v>
      </c>
      <c r="U102" s="91">
        <v>24.921662</v>
      </c>
      <c r="V102" s="91"/>
      <c r="W102" s="91">
        <v>22.300021</v>
      </c>
      <c r="X102" s="91"/>
      <c r="Y102" s="91"/>
      <c r="Z102" s="91"/>
      <c r="AA102" s="91"/>
      <c r="AB102" s="91"/>
      <c r="AC102" s="91"/>
      <c r="AD102" s="91"/>
      <c r="AE102" s="1"/>
      <c r="AF102" s="9"/>
      <c r="AG102" s="9"/>
    </row>
    <row x14ac:dyDescent="0.25" r="103" customHeight="1" ht="15">
      <c r="A103" s="1"/>
      <c r="B103" s="1"/>
      <c r="C103" s="51"/>
      <c r="D103" s="89"/>
      <c r="E103" s="90"/>
      <c r="F103" s="94"/>
      <c r="G103" s="122"/>
      <c r="H103" s="121"/>
      <c r="I103" s="94"/>
      <c r="J103" s="122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1"/>
      <c r="AF103" s="9"/>
      <c r="AG103" s="9"/>
    </row>
    <row x14ac:dyDescent="0.25" r="104" customHeight="1" ht="15">
      <c r="A104" s="1"/>
      <c r="B104" s="1"/>
      <c r="C104" s="51"/>
      <c r="D104" s="89"/>
      <c r="E104" s="90"/>
      <c r="F104" s="94"/>
      <c r="G104" s="122"/>
      <c r="H104" s="121"/>
      <c r="I104" s="94"/>
      <c r="J104" s="122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1"/>
      <c r="AF104" s="9"/>
      <c r="AG104" s="9"/>
    </row>
    <row x14ac:dyDescent="0.25" r="105" customHeight="1" ht="15">
      <c r="A105" s="1"/>
      <c r="B105" s="1"/>
      <c r="C105" s="51"/>
      <c r="D105" s="89"/>
      <c r="E105" s="90"/>
      <c r="F105" s="94"/>
      <c r="G105" s="122"/>
      <c r="H105" s="121"/>
      <c r="I105" s="94"/>
      <c r="J105" s="122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1"/>
      <c r="AF105" s="9"/>
      <c r="AG105" s="9"/>
    </row>
    <row x14ac:dyDescent="0.25" r="106" customHeight="1" ht="15">
      <c r="A106" s="1"/>
      <c r="B106" s="1"/>
      <c r="C106" s="51"/>
      <c r="D106" s="89"/>
      <c r="E106" s="90"/>
      <c r="F106" s="94"/>
      <c r="G106" s="122"/>
      <c r="H106" s="121"/>
      <c r="I106" s="94"/>
      <c r="J106" s="122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1"/>
      <c r="AF106" s="9"/>
      <c r="AG106" s="9"/>
    </row>
    <row x14ac:dyDescent="0.25" r="107" customHeight="1" ht="15">
      <c r="A107" s="1"/>
      <c r="B107" s="1"/>
      <c r="C107" s="51"/>
      <c r="D107" s="89"/>
      <c r="E107" s="90"/>
      <c r="F107" s="94"/>
      <c r="G107" s="122"/>
      <c r="H107" s="121"/>
      <c r="I107" s="94"/>
      <c r="J107" s="122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1"/>
      <c r="AF107" s="9"/>
      <c r="AG107" s="9"/>
    </row>
    <row x14ac:dyDescent="0.25" r="108" customHeight="1" ht="15">
      <c r="A108" s="1"/>
      <c r="B108" s="1"/>
      <c r="C108" s="51"/>
      <c r="D108" s="89"/>
      <c r="E108" s="90"/>
      <c r="F108" s="94"/>
      <c r="G108" s="122"/>
      <c r="H108" s="121"/>
      <c r="I108" s="94"/>
      <c r="J108" s="122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1"/>
      <c r="AF108" s="9"/>
      <c r="AG108" s="9"/>
    </row>
    <row x14ac:dyDescent="0.25" r="109" customHeight="1" ht="15">
      <c r="A109" s="1"/>
      <c r="B109" s="1"/>
      <c r="C109" s="51"/>
      <c r="D109" s="89"/>
      <c r="E109" s="90"/>
      <c r="F109" s="94"/>
      <c r="G109" s="122"/>
      <c r="H109" s="121"/>
      <c r="I109" s="94"/>
      <c r="J109" s="122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1"/>
      <c r="AF109" s="9"/>
      <c r="AG109" s="9"/>
    </row>
    <row x14ac:dyDescent="0.25" r="110" customHeight="1" ht="15">
      <c r="A110" s="1"/>
      <c r="B110" s="1"/>
      <c r="C110" s="51"/>
      <c r="D110" s="89"/>
      <c r="E110" s="90"/>
      <c r="F110" s="94"/>
      <c r="G110" s="122"/>
      <c r="H110" s="121"/>
      <c r="I110" s="94"/>
      <c r="J110" s="122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1"/>
      <c r="AF110" s="9"/>
      <c r="AG110" s="9"/>
    </row>
    <row x14ac:dyDescent="0.25" r="111" customHeight="1" ht="15">
      <c r="A111" s="1"/>
      <c r="B111" s="1"/>
      <c r="C111" s="51"/>
      <c r="D111" s="89"/>
      <c r="E111" s="90"/>
      <c r="F111" s="94"/>
      <c r="G111" s="122"/>
      <c r="H111" s="121"/>
      <c r="I111" s="94"/>
      <c r="J111" s="122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"/>
      <c r="AF111" s="9"/>
      <c r="AG111" s="9"/>
    </row>
    <row x14ac:dyDescent="0.25" r="112" customHeight="1" ht="16.95">
      <c r="A112" s="1"/>
      <c r="B112" s="1"/>
      <c r="C112" s="45" t="s">
        <v>78</v>
      </c>
      <c r="D112" s="46"/>
      <c r="E112" s="46"/>
      <c r="F112" s="46"/>
      <c r="G112" s="47"/>
      <c r="H112" s="48"/>
      <c r="I112" s="49"/>
      <c r="J112" s="47"/>
      <c r="K112" s="46"/>
      <c r="L112" s="46"/>
      <c r="M112" s="46"/>
      <c r="N112" s="46"/>
      <c r="O112" s="46"/>
      <c r="P112" s="46"/>
      <c r="Q112" s="46"/>
      <c r="R112" s="46"/>
      <c r="S112" s="46"/>
      <c r="T112" s="50"/>
      <c r="U112" s="50"/>
      <c r="V112" s="46"/>
      <c r="W112" s="50"/>
      <c r="X112" s="46"/>
      <c r="Y112" s="46"/>
      <c r="Z112" s="46"/>
      <c r="AA112" s="46"/>
      <c r="AB112" s="46"/>
      <c r="AC112" s="46"/>
      <c r="AD112" s="46"/>
      <c r="AE112" s="1"/>
      <c r="AF112" s="9"/>
      <c r="AG112" s="9"/>
    </row>
    <row x14ac:dyDescent="0.25" r="113" customHeight="1" ht="15">
      <c r="A113" s="1"/>
      <c r="B113" s="1"/>
      <c r="C113" s="139"/>
      <c r="D113" s="140"/>
      <c r="E113" s="141"/>
      <c r="F113" s="141"/>
      <c r="G113" s="142"/>
      <c r="H113" s="140"/>
      <c r="I113" s="141"/>
      <c r="J113" s="142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"/>
      <c r="AF113" s="9"/>
      <c r="AG113" s="9"/>
    </row>
    <row x14ac:dyDescent="0.25" r="114" customHeight="1" ht="15">
      <c r="A114" s="1"/>
      <c r="B114" s="1"/>
      <c r="C114" s="139"/>
      <c r="D114" s="140"/>
      <c r="E114" s="141"/>
      <c r="F114" s="141"/>
      <c r="G114" s="142"/>
      <c r="H114" s="140"/>
      <c r="I114" s="141"/>
      <c r="J114" s="142"/>
      <c r="K114" s="141"/>
      <c r="L114" s="14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"/>
      <c r="AF114" s="9"/>
      <c r="AG114" s="9"/>
    </row>
    <row x14ac:dyDescent="0.25" r="115" customHeight="1" ht="15">
      <c r="A115" s="1"/>
      <c r="B115" s="1"/>
      <c r="C115" s="143"/>
      <c r="D115" s="144"/>
      <c r="E115" s="145"/>
      <c r="F115" s="145"/>
      <c r="G115" s="146"/>
      <c r="H115" s="144"/>
      <c r="I115" s="145"/>
      <c r="J115" s="146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  <c r="AB115" s="145"/>
      <c r="AC115" s="145"/>
      <c r="AD115" s="145"/>
      <c r="AE115" s="1"/>
      <c r="AF115" s="9"/>
      <c r="AG115" s="9"/>
    </row>
    <row x14ac:dyDescent="0.25" r="116" customHeight="1" ht="15">
      <c r="A116" s="1"/>
      <c r="B116" s="1"/>
      <c r="C116" s="147"/>
      <c r="D116" s="4"/>
      <c r="E116" s="4"/>
      <c r="F116" s="4"/>
      <c r="G116" s="4"/>
      <c r="H116" s="10"/>
      <c r="I116" s="10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11"/>
      <c r="U116" s="11"/>
      <c r="V116" s="4"/>
      <c r="W116" s="11"/>
      <c r="X116" s="4"/>
      <c r="Y116" s="4"/>
      <c r="Z116" s="4"/>
      <c r="AA116" s="4"/>
      <c r="AB116" s="4"/>
      <c r="AC116" s="4"/>
      <c r="AD116" s="4"/>
      <c r="AE116" s="1"/>
      <c r="AF116" s="9"/>
      <c r="AG116" s="9"/>
    </row>
    <row x14ac:dyDescent="0.25" r="117" customHeight="1" ht="18.75">
      <c r="A117" s="1"/>
      <c r="B117" s="1"/>
      <c r="C117" s="147"/>
      <c r="D117" s="4"/>
      <c r="E117" s="4"/>
      <c r="F117" s="4"/>
      <c r="G117" s="4"/>
      <c r="H117" s="10"/>
      <c r="I117" s="10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11"/>
      <c r="U117" s="11"/>
      <c r="V117" s="4"/>
      <c r="W117" s="11"/>
      <c r="X117" s="4"/>
      <c r="Y117" s="4"/>
      <c r="Z117" s="4"/>
      <c r="AA117" s="4"/>
      <c r="AB117" s="4"/>
      <c r="AC117" s="4"/>
      <c r="AD117" s="4"/>
      <c r="AE117" s="1"/>
      <c r="AF117" s="9"/>
      <c r="AG117" s="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ATG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2024-07-30T10:56:25.564Z</dcterms:created>
  <dcterms:modified xsi:type="dcterms:W3CDTF">2024-07-30T10:56:25.564Z</dcterms:modified>
</cp:coreProperties>
</file>