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divieso\Desktop\Reutilizacion de aceite\"/>
    </mc:Choice>
  </mc:AlternateContent>
  <xr:revisionPtr revIDLastSave="0" documentId="13_ncr:1_{E5A6E571-4BFA-43EA-9511-FF0DC21275AC}" xr6:coauthVersionLast="46" xr6:coauthVersionMax="46" xr10:uidLastSave="{00000000-0000-0000-0000-000000000000}"/>
  <bookViews>
    <workbookView xWindow="-120" yWindow="-120" windowWidth="20730" windowHeight="11160" tabRatio="833" firstSheet="3" activeTab="9" xr2:uid="{00000000-000D-0000-FFFF-FFFF00000000}"/>
  </bookViews>
  <sheets>
    <sheet name="Introducción" sheetId="1" r:id="rId1"/>
    <sheet name="Costo de Ventas" sheetId="3" r:id="rId2"/>
    <sheet name="Inventarios" sheetId="10" r:id="rId3"/>
    <sheet name="Ingresos" sheetId="2" r:id="rId4"/>
    <sheet name="Gastos Fijos" sheetId="4" r:id="rId5"/>
    <sheet name="Salarios" sheetId="5" r:id="rId6"/>
    <sheet name="Inversiones" sheetId="6" r:id="rId7"/>
    <sheet name="Cobranzas y pagos" sheetId="7" state="hidden" r:id="rId8"/>
    <sheet name="Extraordinarios" sheetId="8" r:id="rId9"/>
    <sheet name="Impuestos" sheetId="9" r:id="rId10"/>
    <sheet name="Financiamiento" sheetId="11" r:id="rId11"/>
    <sheet name="Valores de Inicio" sheetId="12" r:id="rId12"/>
    <sheet name="Resumen" sheetId="13" r:id="rId13"/>
    <sheet name="Graficos" sheetId="14" r:id="rId14"/>
    <sheet name="Flujo de Caja" sheetId="15" r:id="rId15"/>
    <sheet name="Estado Resultados" sheetId="16" r:id="rId16"/>
    <sheet name="Balance" sheetId="17" r:id="rId17"/>
    <sheet name="Flujo Caja Acumulado" sheetId="18" r:id="rId18"/>
    <sheet name="Indices" sheetId="19" r:id="rId19"/>
    <sheet name="Hoja1" sheetId="20" r:id="rId20"/>
  </sheets>
  <calcPr calcId="181029"/>
</workbook>
</file>

<file path=xl/calcChain.xml><?xml version="1.0" encoding="utf-8"?>
<calcChain xmlns="http://schemas.openxmlformats.org/spreadsheetml/2006/main">
  <c r="B13" i="9" l="1"/>
  <c r="AD10" i="4"/>
  <c r="AC10" i="4"/>
  <c r="Z10" i="4"/>
  <c r="Y10" i="4"/>
  <c r="AB10" i="4"/>
  <c r="X10" i="4"/>
  <c r="O10" i="4"/>
  <c r="B10" i="4"/>
  <c r="L10" i="4"/>
  <c r="M10" i="4"/>
  <c r="K10" i="4"/>
  <c r="AA5" i="3"/>
  <c r="M5" i="3"/>
  <c r="L5" i="3"/>
  <c r="C10" i="4"/>
  <c r="D10" i="4"/>
  <c r="E10" i="4"/>
  <c r="F10" i="4"/>
  <c r="G10" i="4"/>
  <c r="H10" i="4"/>
  <c r="I10" i="4"/>
  <c r="J10" i="4"/>
  <c r="T20" i="11"/>
  <c r="B5" i="3"/>
  <c r="AC6" i="3" l="1"/>
  <c r="AB6" i="3"/>
  <c r="AA6" i="3"/>
  <c r="AA7" i="3"/>
  <c r="AA8" i="3"/>
  <c r="AA9" i="3"/>
  <c r="AA10" i="3"/>
  <c r="AA12" i="3"/>
  <c r="Z6" i="3"/>
  <c r="Z7" i="3"/>
  <c r="Z8" i="3"/>
  <c r="Z9" i="3"/>
  <c r="Z10" i="3"/>
  <c r="Z12" i="3"/>
  <c r="Z5" i="3"/>
  <c r="X6" i="3"/>
  <c r="X7" i="3"/>
  <c r="X8" i="3"/>
  <c r="X9" i="3"/>
  <c r="Y9" i="3" s="1"/>
  <c r="X10" i="3"/>
  <c r="X12" i="3"/>
  <c r="X5" i="3"/>
  <c r="Y6" i="3"/>
  <c r="Y7" i="3"/>
  <c r="Y8" i="3"/>
  <c r="Y10" i="3"/>
  <c r="Y12" i="3"/>
  <c r="Y5" i="3"/>
  <c r="Q6" i="3"/>
  <c r="R6" i="3" s="1"/>
  <c r="S6" i="3" s="1"/>
  <c r="T6" i="3" s="1"/>
  <c r="U6" i="3" s="1"/>
  <c r="V6" i="3" s="1"/>
  <c r="W6" i="3" s="1"/>
  <c r="P6" i="3"/>
  <c r="Q7" i="3"/>
  <c r="R7" i="3"/>
  <c r="S7" i="3"/>
  <c r="T7" i="3"/>
  <c r="U7" i="3" s="1"/>
  <c r="V7" i="3" s="1"/>
  <c r="W7" i="3" s="1"/>
  <c r="P7" i="3"/>
  <c r="P9" i="3"/>
  <c r="Q9" i="3" s="1"/>
  <c r="R9" i="3" s="1"/>
  <c r="S9" i="3" s="1"/>
  <c r="T9" i="3" s="1"/>
  <c r="U9" i="3" s="1"/>
  <c r="V9" i="3" s="1"/>
  <c r="W9" i="3" s="1"/>
  <c r="P10" i="3"/>
  <c r="Q10" i="3" s="1"/>
  <c r="R10" i="3" s="1"/>
  <c r="S10" i="3" s="1"/>
  <c r="T10" i="3" s="1"/>
  <c r="U10" i="3" s="1"/>
  <c r="V10" i="3" s="1"/>
  <c r="W10" i="3" s="1"/>
  <c r="P12" i="3"/>
  <c r="Q12" i="3" s="1"/>
  <c r="R12" i="3" s="1"/>
  <c r="S12" i="3" s="1"/>
  <c r="T12" i="3" s="1"/>
  <c r="U12" i="3" s="1"/>
  <c r="V12" i="3" s="1"/>
  <c r="W12" i="3" s="1"/>
  <c r="Q8" i="3"/>
  <c r="R8" i="3" s="1"/>
  <c r="S8" i="3" s="1"/>
  <c r="T8" i="3" s="1"/>
  <c r="U8" i="3" s="1"/>
  <c r="V8" i="3" s="1"/>
  <c r="W8" i="3" s="1"/>
  <c r="P8" i="3"/>
  <c r="O7" i="3"/>
  <c r="O8" i="3"/>
  <c r="O9" i="3"/>
  <c r="O10" i="3"/>
  <c r="O12" i="3"/>
  <c r="O6" i="3"/>
  <c r="N7" i="3"/>
  <c r="N8" i="3"/>
  <c r="N9" i="3"/>
  <c r="N10" i="3"/>
  <c r="N12" i="3"/>
  <c r="N6" i="3"/>
  <c r="M12" i="3"/>
  <c r="M10" i="3"/>
  <c r="M9" i="3"/>
  <c r="M8" i="3"/>
  <c r="M7" i="3"/>
  <c r="M6" i="3"/>
  <c r="L6" i="3"/>
  <c r="L7" i="3"/>
  <c r="L8" i="3"/>
  <c r="L9" i="3"/>
  <c r="L10" i="3"/>
  <c r="L12" i="3"/>
  <c r="D12" i="4" l="1"/>
  <c r="E12" i="4"/>
  <c r="F12" i="4"/>
  <c r="G12" i="4"/>
  <c r="H12" i="4"/>
  <c r="I12" i="4"/>
  <c r="J12" i="4"/>
  <c r="C12" i="4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3" i="5"/>
  <c r="C9" i="5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D11" i="4"/>
  <c r="E11" i="4"/>
  <c r="F11" i="4"/>
  <c r="G11" i="4"/>
  <c r="H11" i="4"/>
  <c r="I11" i="4"/>
  <c r="J11" i="4"/>
  <c r="K11" i="4" s="1"/>
  <c r="L11" i="4" s="1"/>
  <c r="C11" i="4"/>
  <c r="D4" i="2"/>
  <c r="E4" i="2"/>
  <c r="F4" i="2"/>
  <c r="G4" i="2"/>
  <c r="H4" i="2"/>
  <c r="I4" i="2"/>
  <c r="J4" i="2"/>
  <c r="C4" i="2"/>
  <c r="AA13" i="5" l="1"/>
  <c r="P9" i="5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/>
  <c r="M11" i="4"/>
  <c r="O3" i="3" l="1"/>
  <c r="N3" i="3"/>
  <c r="C3" i="2"/>
  <c r="F3" i="2"/>
  <c r="G3" i="2"/>
  <c r="J3" i="2"/>
  <c r="N3" i="6"/>
  <c r="B15" i="6"/>
  <c r="K4" i="2"/>
  <c r="B13" i="3"/>
  <c r="K12" i="3"/>
  <c r="B9" i="6"/>
  <c r="C14" i="5"/>
  <c r="D14" i="5"/>
  <c r="E14" i="5"/>
  <c r="F14" i="5"/>
  <c r="G14" i="5"/>
  <c r="H14" i="5"/>
  <c r="I14" i="5"/>
  <c r="J14" i="5"/>
  <c r="B14" i="5"/>
  <c r="C10" i="5"/>
  <c r="D10" i="5"/>
  <c r="E10" i="5"/>
  <c r="F10" i="5"/>
  <c r="G10" i="5"/>
  <c r="H10" i="5"/>
  <c r="I10" i="5"/>
  <c r="J10" i="5"/>
  <c r="K10" i="5"/>
  <c r="B10" i="5"/>
  <c r="K4" i="5"/>
  <c r="K14" i="5" s="1"/>
  <c r="K12" i="4"/>
  <c r="S12" i="4" s="1"/>
  <c r="AD6" i="4"/>
  <c r="AC6" i="4"/>
  <c r="AB6" i="4"/>
  <c r="Y6" i="4"/>
  <c r="Z6" i="4"/>
  <c r="X6" i="4"/>
  <c r="Q6" i="4"/>
  <c r="R6" i="4"/>
  <c r="S6" i="4"/>
  <c r="T6" i="4"/>
  <c r="U6" i="4"/>
  <c r="V6" i="4"/>
  <c r="W6" i="4"/>
  <c r="P6" i="4"/>
  <c r="O6" i="4"/>
  <c r="M6" i="4"/>
  <c r="L6" i="4"/>
  <c r="K6" i="4"/>
  <c r="AD7" i="4"/>
  <c r="AC7" i="4"/>
  <c r="AB7" i="4"/>
  <c r="Z7" i="4"/>
  <c r="Y7" i="4"/>
  <c r="X7" i="4"/>
  <c r="P7" i="4"/>
  <c r="Q7" i="4"/>
  <c r="R7" i="4"/>
  <c r="S7" i="4"/>
  <c r="T7" i="4"/>
  <c r="U7" i="4"/>
  <c r="V7" i="4"/>
  <c r="W7" i="4"/>
  <c r="O7" i="4"/>
  <c r="M7" i="4"/>
  <c r="L7" i="4"/>
  <c r="K7" i="4"/>
  <c r="AD3" i="4"/>
  <c r="AC3" i="4"/>
  <c r="AB3" i="4"/>
  <c r="Z3" i="4"/>
  <c r="Y3" i="4"/>
  <c r="X3" i="4"/>
  <c r="Q3" i="4"/>
  <c r="R3" i="4"/>
  <c r="S3" i="4"/>
  <c r="T3" i="4"/>
  <c r="U3" i="4"/>
  <c r="V3" i="4"/>
  <c r="W3" i="4"/>
  <c r="P3" i="4"/>
  <c r="O3" i="4"/>
  <c r="M3" i="4"/>
  <c r="L3" i="4"/>
  <c r="K3" i="4"/>
  <c r="D3" i="2"/>
  <c r="E3" i="2"/>
  <c r="H3" i="2"/>
  <c r="I3" i="2"/>
  <c r="B3" i="2"/>
  <c r="B5" i="2" s="1"/>
  <c r="AB7" i="3"/>
  <c r="AC7" i="3" s="1"/>
  <c r="AB8" i="3"/>
  <c r="AD8" i="3" s="1"/>
  <c r="AB9" i="3"/>
  <c r="AC9" i="3" s="1"/>
  <c r="AB10" i="3"/>
  <c r="AC10" i="3" s="1"/>
  <c r="AB5" i="3"/>
  <c r="AD5" i="3" s="1"/>
  <c r="D11" i="3"/>
  <c r="E11" i="3"/>
  <c r="F11" i="3"/>
  <c r="G11" i="3"/>
  <c r="H11" i="3"/>
  <c r="I11" i="3"/>
  <c r="J11" i="3"/>
  <c r="K11" i="3" s="1"/>
  <c r="L11" i="3" s="1"/>
  <c r="M11" i="3" s="1"/>
  <c r="O11" i="3" s="1"/>
  <c r="C11" i="3"/>
  <c r="D10" i="3"/>
  <c r="E10" i="3"/>
  <c r="F10" i="3"/>
  <c r="G10" i="3"/>
  <c r="H10" i="3"/>
  <c r="I10" i="3"/>
  <c r="J10" i="3"/>
  <c r="K10" i="3" s="1"/>
  <c r="C10" i="3"/>
  <c r="D9" i="3"/>
  <c r="E9" i="3"/>
  <c r="F9" i="3"/>
  <c r="G9" i="3"/>
  <c r="H9" i="3"/>
  <c r="I9" i="3"/>
  <c r="J9" i="3"/>
  <c r="C9" i="3"/>
  <c r="D8" i="3"/>
  <c r="E8" i="3"/>
  <c r="F8" i="3"/>
  <c r="G8" i="3"/>
  <c r="H8" i="3"/>
  <c r="I8" i="3"/>
  <c r="J8" i="3"/>
  <c r="K8" i="3" s="1"/>
  <c r="C8" i="3"/>
  <c r="D7" i="3"/>
  <c r="E7" i="3"/>
  <c r="F7" i="3"/>
  <c r="G7" i="3"/>
  <c r="H7" i="3"/>
  <c r="I7" i="3"/>
  <c r="J7" i="3"/>
  <c r="K7" i="3" s="1"/>
  <c r="C7" i="3"/>
  <c r="D6" i="3"/>
  <c r="E6" i="3"/>
  <c r="F6" i="3"/>
  <c r="G6" i="3"/>
  <c r="H6" i="3"/>
  <c r="I6" i="3"/>
  <c r="J6" i="3"/>
  <c r="K6" i="3" s="1"/>
  <c r="C6" i="3"/>
  <c r="D5" i="3"/>
  <c r="E5" i="3"/>
  <c r="F5" i="3"/>
  <c r="G5" i="3"/>
  <c r="H5" i="3"/>
  <c r="I5" i="3"/>
  <c r="J5" i="3"/>
  <c r="K5" i="3" s="1"/>
  <c r="C5" i="3"/>
  <c r="N5" i="3"/>
  <c r="M12" i="4" l="1"/>
  <c r="O12" i="4"/>
  <c r="T12" i="4"/>
  <c r="N11" i="3"/>
  <c r="N13" i="3" s="1"/>
  <c r="P11" i="3"/>
  <c r="Q11" i="3" s="1"/>
  <c r="R11" i="3" s="1"/>
  <c r="S11" i="3" s="1"/>
  <c r="T11" i="3" s="1"/>
  <c r="U11" i="3" s="1"/>
  <c r="V11" i="3" s="1"/>
  <c r="W11" i="3" s="1"/>
  <c r="X11" i="3" s="1"/>
  <c r="I13" i="3"/>
  <c r="H13" i="3"/>
  <c r="D13" i="3"/>
  <c r="C13" i="3"/>
  <c r="E13" i="3"/>
  <c r="G13" i="3"/>
  <c r="F13" i="3"/>
  <c r="M4" i="2"/>
  <c r="O4" i="2" s="1"/>
  <c r="R12" i="4"/>
  <c r="V12" i="4"/>
  <c r="Q12" i="4"/>
  <c r="L12" i="4"/>
  <c r="U12" i="4"/>
  <c r="L4" i="5"/>
  <c r="M4" i="5"/>
  <c r="P11" i="4"/>
  <c r="T11" i="4"/>
  <c r="O11" i="4"/>
  <c r="Q11" i="4"/>
  <c r="U11" i="4"/>
  <c r="R11" i="4"/>
  <c r="V11" i="4"/>
  <c r="S11" i="4"/>
  <c r="W11" i="4"/>
  <c r="X11" i="4" s="1"/>
  <c r="L4" i="2"/>
  <c r="U13" i="3"/>
  <c r="M13" i="3"/>
  <c r="L13" i="3"/>
  <c r="T13" i="3"/>
  <c r="O13" i="3"/>
  <c r="V13" i="3"/>
  <c r="J13" i="3"/>
  <c r="P3" i="3"/>
  <c r="Q3" i="3" s="1"/>
  <c r="R3" i="3" s="1"/>
  <c r="S3" i="3" s="1"/>
  <c r="T3" i="3" s="1"/>
  <c r="U3" i="3" s="1"/>
  <c r="V3" i="3" s="1"/>
  <c r="W3" i="3" s="1"/>
  <c r="X3" i="3" s="1"/>
  <c r="Y3" i="3" s="1"/>
  <c r="Z3" i="3" s="1"/>
  <c r="AC5" i="3"/>
  <c r="AC8" i="3"/>
  <c r="AD7" i="3"/>
  <c r="AD10" i="3"/>
  <c r="AD6" i="3"/>
  <c r="K9" i="3"/>
  <c r="K13" i="3" s="1"/>
  <c r="AD9" i="3"/>
  <c r="P12" i="4"/>
  <c r="W12" i="4"/>
  <c r="X12" i="4" s="1"/>
  <c r="Y11" i="3" l="1"/>
  <c r="Z11" i="3"/>
  <c r="S13" i="3"/>
  <c r="R13" i="3"/>
  <c r="P13" i="3"/>
  <c r="Q13" i="3"/>
  <c r="R4" i="2"/>
  <c r="S4" i="2"/>
  <c r="T4" i="2"/>
  <c r="V4" i="2"/>
  <c r="N4" i="2"/>
  <c r="U4" i="2"/>
  <c r="P4" i="2"/>
  <c r="W4" i="2"/>
  <c r="X4" i="2" s="1"/>
  <c r="Z4" i="2" s="1"/>
  <c r="Q4" i="2"/>
  <c r="Y12" i="4"/>
  <c r="AA12" i="4" s="1"/>
  <c r="AB12" i="4" s="1"/>
  <c r="AC12" i="4" s="1"/>
  <c r="AD12" i="4" s="1"/>
  <c r="Z12" i="4"/>
  <c r="AA3" i="3"/>
  <c r="AB3" i="3" s="1"/>
  <c r="AC3" i="3" s="1"/>
  <c r="AD3" i="3" s="1"/>
  <c r="Q4" i="5"/>
  <c r="U4" i="5"/>
  <c r="W4" i="5"/>
  <c r="M14" i="5"/>
  <c r="M15" i="5" s="1"/>
  <c r="O4" i="5"/>
  <c r="R4" i="5"/>
  <c r="V4" i="5"/>
  <c r="M10" i="5"/>
  <c r="N10" i="5" s="1"/>
  <c r="S4" i="5"/>
  <c r="P4" i="5"/>
  <c r="T4" i="5"/>
  <c r="L14" i="5"/>
  <c r="N14" i="5" s="1"/>
  <c r="L10" i="5"/>
  <c r="Z11" i="4"/>
  <c r="Y11" i="4"/>
  <c r="W13" i="3"/>
  <c r="A1" i="2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B7" i="2"/>
  <c r="A1" i="3"/>
  <c r="B1" i="3"/>
  <c r="C1" i="3" s="1"/>
  <c r="D1" i="3" s="1"/>
  <c r="E1" i="3" s="1"/>
  <c r="F1" i="3" s="1"/>
  <c r="G1" i="3" s="1"/>
  <c r="H1" i="3" s="1"/>
  <c r="I1" i="3" s="1"/>
  <c r="J1" i="3" s="1"/>
  <c r="K1" i="3"/>
  <c r="L1" i="3" s="1"/>
  <c r="M1" i="3" s="1"/>
  <c r="N1" i="3" s="1"/>
  <c r="A1" i="4"/>
  <c r="B1" i="4"/>
  <c r="C1" i="4" s="1"/>
  <c r="D1" i="4" s="1"/>
  <c r="E1" i="4" s="1"/>
  <c r="F1" i="4" s="1"/>
  <c r="G1" i="4" s="1"/>
  <c r="H1" i="4" s="1"/>
  <c r="I1" i="4" s="1"/>
  <c r="J1" i="4"/>
  <c r="K1" i="4" s="1"/>
  <c r="L1" i="4" s="1"/>
  <c r="M1" i="4" s="1"/>
  <c r="N3" i="4"/>
  <c r="AA3" i="4"/>
  <c r="B4" i="4"/>
  <c r="C4" i="4"/>
  <c r="D4" i="4"/>
  <c r="E4" i="4"/>
  <c r="F4" i="4"/>
  <c r="G4" i="4"/>
  <c r="H4" i="4"/>
  <c r="I4" i="4"/>
  <c r="J4" i="4"/>
  <c r="K4" i="4"/>
  <c r="L4" i="4"/>
  <c r="M4" i="4"/>
  <c r="O4" i="4"/>
  <c r="P4" i="4"/>
  <c r="Q4" i="4"/>
  <c r="R4" i="4"/>
  <c r="S4" i="4"/>
  <c r="T4" i="4"/>
  <c r="U4" i="4"/>
  <c r="V4" i="4"/>
  <c r="W4" i="4"/>
  <c r="X4" i="4"/>
  <c r="Y4" i="4"/>
  <c r="Z4" i="4"/>
  <c r="AB4" i="4"/>
  <c r="AC4" i="4"/>
  <c r="AD4" i="4"/>
  <c r="N6" i="4"/>
  <c r="AA6" i="4"/>
  <c r="N7" i="4"/>
  <c r="AA7" i="4"/>
  <c r="B8" i="4"/>
  <c r="C8" i="4"/>
  <c r="D8" i="4"/>
  <c r="E8" i="4"/>
  <c r="F8" i="4"/>
  <c r="G8" i="4"/>
  <c r="H8" i="4"/>
  <c r="I8" i="4"/>
  <c r="J8" i="4"/>
  <c r="K8" i="4"/>
  <c r="L8" i="4"/>
  <c r="M8" i="4"/>
  <c r="O8" i="4"/>
  <c r="P8" i="4"/>
  <c r="Q8" i="4"/>
  <c r="R8" i="4"/>
  <c r="S8" i="4"/>
  <c r="T8" i="4"/>
  <c r="U8" i="4"/>
  <c r="V8" i="4"/>
  <c r="W8" i="4"/>
  <c r="X8" i="4"/>
  <c r="Y8" i="4"/>
  <c r="Z8" i="4"/>
  <c r="AB8" i="4"/>
  <c r="AC8" i="4"/>
  <c r="AD8" i="4"/>
  <c r="N10" i="4"/>
  <c r="N11" i="4"/>
  <c r="N12" i="4"/>
  <c r="B13" i="4"/>
  <c r="C13" i="4"/>
  <c r="C15" i="4" s="1"/>
  <c r="C21" i="4" s="1"/>
  <c r="D13" i="4"/>
  <c r="E13" i="4"/>
  <c r="F13" i="4"/>
  <c r="F15" i="4" s="1"/>
  <c r="F21" i="4" s="1"/>
  <c r="F22" i="4" s="1"/>
  <c r="F26" i="7" s="1"/>
  <c r="F27" i="7" s="1"/>
  <c r="G13" i="4"/>
  <c r="G15" i="4" s="1"/>
  <c r="G21" i="4" s="1"/>
  <c r="G22" i="4" s="1"/>
  <c r="G26" i="7" s="1"/>
  <c r="G27" i="7" s="1"/>
  <c r="H13" i="4"/>
  <c r="I13" i="4"/>
  <c r="J13" i="4"/>
  <c r="K13" i="4"/>
  <c r="K15" i="4" s="1"/>
  <c r="K8" i="15" s="1"/>
  <c r="L13" i="4"/>
  <c r="M13" i="4"/>
  <c r="A1" i="5"/>
  <c r="B1" i="5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3" i="5"/>
  <c r="AA3" i="5"/>
  <c r="N4" i="5"/>
  <c r="B5" i="5"/>
  <c r="B7" i="5" s="1"/>
  <c r="C5" i="5"/>
  <c r="C7" i="5" s="1"/>
  <c r="D5" i="5"/>
  <c r="E5" i="5"/>
  <c r="F5" i="5"/>
  <c r="F7" i="5" s="1"/>
  <c r="G5" i="5"/>
  <c r="H5" i="5"/>
  <c r="H7" i="5" s="1"/>
  <c r="I5" i="5"/>
  <c r="I7" i="5" s="1"/>
  <c r="J5" i="5"/>
  <c r="J7" i="5" s="1"/>
  <c r="K5" i="5"/>
  <c r="K7" i="5" s="1"/>
  <c r="L5" i="5"/>
  <c r="L7" i="5" s="1"/>
  <c r="M5" i="5"/>
  <c r="M7" i="5" s="1"/>
  <c r="O5" i="5"/>
  <c r="O7" i="5" s="1"/>
  <c r="P5" i="5"/>
  <c r="Q5" i="5"/>
  <c r="Q7" i="5" s="1"/>
  <c r="R5" i="5"/>
  <c r="R7" i="5" s="1"/>
  <c r="S5" i="5"/>
  <c r="U5" i="5"/>
  <c r="U7" i="5" s="1"/>
  <c r="V5" i="5"/>
  <c r="V7" i="5" s="1"/>
  <c r="G7" i="5"/>
  <c r="S7" i="5"/>
  <c r="B11" i="5"/>
  <c r="C11" i="5"/>
  <c r="D11" i="5"/>
  <c r="E11" i="5"/>
  <c r="F11" i="5"/>
  <c r="G11" i="5"/>
  <c r="H11" i="5"/>
  <c r="I11" i="5"/>
  <c r="J11" i="5"/>
  <c r="K11" i="5"/>
  <c r="L11" i="5"/>
  <c r="B15" i="5"/>
  <c r="C15" i="5"/>
  <c r="D15" i="5"/>
  <c r="E15" i="5"/>
  <c r="F15" i="5"/>
  <c r="G15" i="5"/>
  <c r="H15" i="5"/>
  <c r="I15" i="5"/>
  <c r="J15" i="5"/>
  <c r="K15" i="5"/>
  <c r="B23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Q23" i="5"/>
  <c r="R23" i="5"/>
  <c r="S23" i="5"/>
  <c r="T23" i="5"/>
  <c r="U23" i="5"/>
  <c r="V23" i="5"/>
  <c r="W23" i="5"/>
  <c r="X23" i="5"/>
  <c r="Y23" i="5"/>
  <c r="Z23" i="5"/>
  <c r="AB23" i="5"/>
  <c r="AC23" i="5"/>
  <c r="AD23" i="5"/>
  <c r="B24" i="5"/>
  <c r="C24" i="5"/>
  <c r="C25" i="5" s="1"/>
  <c r="D24" i="5"/>
  <c r="E24" i="5"/>
  <c r="F24" i="5"/>
  <c r="G24" i="5"/>
  <c r="H24" i="5"/>
  <c r="I24" i="5"/>
  <c r="I25" i="5" s="1"/>
  <c r="J24" i="5"/>
  <c r="K24" i="5"/>
  <c r="L24" i="5"/>
  <c r="M24" i="5"/>
  <c r="M25" i="5" s="1"/>
  <c r="O24" i="5"/>
  <c r="P24" i="5"/>
  <c r="Q24" i="5"/>
  <c r="R24" i="5"/>
  <c r="S24" i="5"/>
  <c r="T24" i="5"/>
  <c r="U24" i="5"/>
  <c r="V24" i="5"/>
  <c r="V25" i="5" s="1"/>
  <c r="W24" i="5"/>
  <c r="X24" i="5"/>
  <c r="Y24" i="5"/>
  <c r="Y25" i="5" s="1"/>
  <c r="Z24" i="5"/>
  <c r="Z25" i="5" s="1"/>
  <c r="AB24" i="5"/>
  <c r="AC24" i="5"/>
  <c r="AD24" i="5"/>
  <c r="AD25" i="5" s="1"/>
  <c r="A1" i="6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AA3" i="6"/>
  <c r="B4" i="6"/>
  <c r="C4" i="6"/>
  <c r="D4" i="6"/>
  <c r="E4" i="6"/>
  <c r="F4" i="6"/>
  <c r="G4" i="6"/>
  <c r="H4" i="6"/>
  <c r="I4" i="6"/>
  <c r="J4" i="6"/>
  <c r="K4" i="6"/>
  <c r="L4" i="6"/>
  <c r="M4" i="6"/>
  <c r="O4" i="6"/>
  <c r="P4" i="6"/>
  <c r="Q4" i="6"/>
  <c r="R4" i="6"/>
  <c r="S4" i="6"/>
  <c r="T4" i="6"/>
  <c r="U4" i="6"/>
  <c r="V4" i="6"/>
  <c r="W4" i="6"/>
  <c r="X4" i="6"/>
  <c r="Y4" i="6"/>
  <c r="Z4" i="6"/>
  <c r="AB4" i="6"/>
  <c r="AC4" i="6"/>
  <c r="AD4" i="6"/>
  <c r="N6" i="6"/>
  <c r="AA6" i="6"/>
  <c r="C9" i="6"/>
  <c r="D9" i="6"/>
  <c r="E9" i="6"/>
  <c r="F9" i="6"/>
  <c r="G9" i="6"/>
  <c r="H9" i="6"/>
  <c r="I9" i="6"/>
  <c r="J9" i="6"/>
  <c r="K9" i="6"/>
  <c r="L9" i="6"/>
  <c r="M9" i="6"/>
  <c r="O9" i="6"/>
  <c r="P9" i="6"/>
  <c r="Q9" i="6"/>
  <c r="R9" i="6"/>
  <c r="S9" i="6"/>
  <c r="T9" i="6"/>
  <c r="U9" i="6"/>
  <c r="V9" i="6"/>
  <c r="W9" i="6"/>
  <c r="X9" i="6"/>
  <c r="Y9" i="6"/>
  <c r="Z9" i="6"/>
  <c r="AB9" i="6"/>
  <c r="AC9" i="6"/>
  <c r="AD9" i="6"/>
  <c r="N11" i="6"/>
  <c r="AA11" i="6"/>
  <c r="N12" i="6"/>
  <c r="AA12" i="6"/>
  <c r="N13" i="6"/>
  <c r="AA13" i="6"/>
  <c r="N14" i="6"/>
  <c r="AA14" i="6"/>
  <c r="C15" i="6"/>
  <c r="D15" i="6"/>
  <c r="E15" i="6"/>
  <c r="F15" i="6"/>
  <c r="G15" i="6"/>
  <c r="H15" i="6"/>
  <c r="I15" i="6"/>
  <c r="J15" i="6"/>
  <c r="K15" i="6"/>
  <c r="L15" i="6"/>
  <c r="M15" i="6"/>
  <c r="O15" i="6"/>
  <c r="P15" i="6"/>
  <c r="Q15" i="6"/>
  <c r="R15" i="6"/>
  <c r="S15" i="6"/>
  <c r="T15" i="6"/>
  <c r="U15" i="6"/>
  <c r="V15" i="6"/>
  <c r="W15" i="6"/>
  <c r="X15" i="6"/>
  <c r="Y15" i="6"/>
  <c r="Z15" i="6"/>
  <c r="AB15" i="6"/>
  <c r="AC15" i="6"/>
  <c r="AD15" i="6"/>
  <c r="B20" i="6"/>
  <c r="B21" i="6" s="1"/>
  <c r="A21" i="6"/>
  <c r="B23" i="6"/>
  <c r="A24" i="6"/>
  <c r="B26" i="6"/>
  <c r="C26" i="6" s="1"/>
  <c r="B27" i="6"/>
  <c r="C27" i="6" s="1"/>
  <c r="B28" i="6"/>
  <c r="C28" i="6" s="1"/>
  <c r="D28" i="6" s="1"/>
  <c r="B29" i="6"/>
  <c r="C29" i="6" s="1"/>
  <c r="A30" i="6"/>
  <c r="A1" i="7"/>
  <c r="B1" i="7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A1" i="8"/>
  <c r="B1" i="8"/>
  <c r="C1" i="8" s="1"/>
  <c r="D1" i="8" s="1"/>
  <c r="E1" i="8"/>
  <c r="F1" i="8" s="1"/>
  <c r="G1" i="8" s="1"/>
  <c r="H1" i="8" s="1"/>
  <c r="I1" i="8" s="1"/>
  <c r="J1" i="8" s="1"/>
  <c r="K1" i="8" s="1"/>
  <c r="L1" i="8" s="1"/>
  <c r="M1" i="8" s="1"/>
  <c r="A1" i="9"/>
  <c r="B1" i="9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2" i="9"/>
  <c r="AA12" i="9"/>
  <c r="A1" i="10"/>
  <c r="B1" i="10"/>
  <c r="C1" i="10" s="1"/>
  <c r="D1" i="10" s="1"/>
  <c r="E1" i="10"/>
  <c r="F1" i="10" s="1"/>
  <c r="G1" i="10" s="1"/>
  <c r="H1" i="10" s="1"/>
  <c r="I1" i="10" s="1"/>
  <c r="J1" i="10" s="1"/>
  <c r="K1" i="10" s="1"/>
  <c r="L1" i="10" s="1"/>
  <c r="M1" i="10" s="1"/>
  <c r="A1" i="11"/>
  <c r="B1" i="11"/>
  <c r="C1" i="11" s="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4" i="11"/>
  <c r="N23" i="15" s="1"/>
  <c r="AA4" i="11"/>
  <c r="AA23" i="15" s="1"/>
  <c r="N5" i="11"/>
  <c r="N24" i="15" s="1"/>
  <c r="AA5" i="11"/>
  <c r="B6" i="11"/>
  <c r="B29" i="11" s="1"/>
  <c r="C6" i="11"/>
  <c r="D6" i="11"/>
  <c r="D29" i="11" s="1"/>
  <c r="E6" i="11"/>
  <c r="E29" i="11" s="1"/>
  <c r="F6" i="11"/>
  <c r="F29" i="11" s="1"/>
  <c r="G6" i="11"/>
  <c r="H6" i="11"/>
  <c r="H29" i="11"/>
  <c r="I6" i="11"/>
  <c r="J6" i="11"/>
  <c r="J29" i="11"/>
  <c r="K6" i="11"/>
  <c r="K29" i="11" s="1"/>
  <c r="L6" i="11"/>
  <c r="L29" i="11" s="1"/>
  <c r="M6" i="11"/>
  <c r="M29" i="11" s="1"/>
  <c r="O6" i="11"/>
  <c r="P6" i="11"/>
  <c r="Q6" i="11"/>
  <c r="Q29" i="11" s="1"/>
  <c r="R6" i="11"/>
  <c r="R29" i="11" s="1"/>
  <c r="S6" i="11"/>
  <c r="T6" i="11"/>
  <c r="T29" i="11"/>
  <c r="U6" i="11"/>
  <c r="V6" i="11"/>
  <c r="V29" i="11"/>
  <c r="W6" i="11"/>
  <c r="W29" i="11" s="1"/>
  <c r="X6" i="11"/>
  <c r="X29" i="11" s="1"/>
  <c r="Y6" i="11"/>
  <c r="Y29" i="11" s="1"/>
  <c r="Z6" i="11"/>
  <c r="Z29" i="11" s="1"/>
  <c r="AB6" i="11"/>
  <c r="AB29" i="11" s="1"/>
  <c r="AC6" i="11"/>
  <c r="AC29" i="11" s="1"/>
  <c r="AD6" i="11"/>
  <c r="AD29" i="11" s="1"/>
  <c r="N10" i="11"/>
  <c r="AA10" i="11"/>
  <c r="N11" i="11"/>
  <c r="AA11" i="11"/>
  <c r="B12" i="11"/>
  <c r="C12" i="11"/>
  <c r="D12" i="11" s="1"/>
  <c r="E12" i="11"/>
  <c r="F12" i="11" s="1"/>
  <c r="G12" i="11" s="1"/>
  <c r="H12" i="11" s="1"/>
  <c r="I12" i="11" s="1"/>
  <c r="J12" i="11" s="1"/>
  <c r="K12" i="11" s="1"/>
  <c r="L12" i="11" s="1"/>
  <c r="M12" i="11" s="1"/>
  <c r="N12" i="11"/>
  <c r="AA12" i="11" s="1"/>
  <c r="AB12" i="11" s="1"/>
  <c r="AC12" i="11" s="1"/>
  <c r="AD12" i="11" s="1"/>
  <c r="O12" i="11"/>
  <c r="P12" i="11" s="1"/>
  <c r="Q12" i="11" s="1"/>
  <c r="R12" i="11" s="1"/>
  <c r="S12" i="11" s="1"/>
  <c r="T12" i="11" s="1"/>
  <c r="U12" i="11"/>
  <c r="V12" i="11" s="1"/>
  <c r="W12" i="11" s="1"/>
  <c r="X12" i="11" s="1"/>
  <c r="Y12" i="11" s="1"/>
  <c r="Z12" i="11" s="1"/>
  <c r="N14" i="11"/>
  <c r="N27" i="15" s="1"/>
  <c r="AA14" i="11"/>
  <c r="N18" i="11"/>
  <c r="AA18" i="11"/>
  <c r="N19" i="11"/>
  <c r="AA19" i="11"/>
  <c r="AA28" i="15" s="1"/>
  <c r="B20" i="11"/>
  <c r="C20" i="11" s="1"/>
  <c r="D20" i="11" s="1"/>
  <c r="E20" i="11" s="1"/>
  <c r="F20" i="11" s="1"/>
  <c r="G20" i="11" s="1"/>
  <c r="H20" i="11" s="1"/>
  <c r="I20" i="11" s="1"/>
  <c r="J20" i="11" s="1"/>
  <c r="K20" i="11" s="1"/>
  <c r="L20" i="11" s="1"/>
  <c r="M20" i="11" s="1"/>
  <c r="N22" i="11"/>
  <c r="AA22" i="11"/>
  <c r="N26" i="11"/>
  <c r="N31" i="15" s="1"/>
  <c r="AA26" i="11"/>
  <c r="G29" i="11"/>
  <c r="I29" i="11"/>
  <c r="S29" i="11"/>
  <c r="U29" i="11"/>
  <c r="A1" i="12"/>
  <c r="B1" i="12"/>
  <c r="C1" i="12" s="1"/>
  <c r="D1" i="12" s="1"/>
  <c r="E1" i="12" s="1"/>
  <c r="F1" i="12" s="1"/>
  <c r="G1" i="12" s="1"/>
  <c r="H1" i="12" s="1"/>
  <c r="I1" i="12" s="1"/>
  <c r="J1" i="12" s="1"/>
  <c r="K1" i="12" s="1"/>
  <c r="L1" i="12" s="1"/>
  <c r="M1" i="12" s="1"/>
  <c r="B11" i="12"/>
  <c r="B15" i="12"/>
  <c r="B20" i="12"/>
  <c r="B23" i="12"/>
  <c r="B36" i="12"/>
  <c r="B38" i="12"/>
  <c r="C38" i="12"/>
  <c r="D38" i="12" s="1"/>
  <c r="E38" i="12" s="1"/>
  <c r="F38" i="12" s="1"/>
  <c r="G38" i="12" s="1"/>
  <c r="H38" i="12"/>
  <c r="I38" i="12" s="1"/>
  <c r="J38" i="12" s="1"/>
  <c r="K38" i="12" s="1"/>
  <c r="L38" i="12" s="1"/>
  <c r="M38" i="12" s="1"/>
  <c r="N38" i="12" s="1"/>
  <c r="O38" i="12" s="1"/>
  <c r="P38" i="12" s="1"/>
  <c r="Q38" i="12" s="1"/>
  <c r="R38" i="12" s="1"/>
  <c r="S38" i="12" s="1"/>
  <c r="T38" i="12" s="1"/>
  <c r="U38" i="12" s="1"/>
  <c r="V38" i="12" s="1"/>
  <c r="W38" i="12" s="1"/>
  <c r="X38" i="12" s="1"/>
  <c r="Y38" i="12" s="1"/>
  <c r="Z38" i="12" s="1"/>
  <c r="AA38" i="12" s="1"/>
  <c r="AB38" i="12" s="1"/>
  <c r="AC38" i="12" s="1"/>
  <c r="AD38" i="12" s="1"/>
  <c r="N37" i="12"/>
  <c r="AA37" i="12"/>
  <c r="N43" i="12"/>
  <c r="AA43" i="12"/>
  <c r="B48" i="12"/>
  <c r="B50" i="12"/>
  <c r="C50" i="12" s="1"/>
  <c r="D50" i="12" s="1"/>
  <c r="E50" i="12" s="1"/>
  <c r="F50" i="12" s="1"/>
  <c r="G50" i="12" s="1"/>
  <c r="H50" i="12" s="1"/>
  <c r="I50" i="12" s="1"/>
  <c r="J50" i="12" s="1"/>
  <c r="K50" i="12" s="1"/>
  <c r="L50" i="12" s="1"/>
  <c r="M50" i="12" s="1"/>
  <c r="N50" i="12" s="1"/>
  <c r="O50" i="12" s="1"/>
  <c r="P50" i="12" s="1"/>
  <c r="Q50" i="12" s="1"/>
  <c r="R50" i="12" s="1"/>
  <c r="S50" i="12" s="1"/>
  <c r="T50" i="12" s="1"/>
  <c r="U50" i="12" s="1"/>
  <c r="V50" i="12" s="1"/>
  <c r="W50" i="12" s="1"/>
  <c r="X50" i="12" s="1"/>
  <c r="Y50" i="12" s="1"/>
  <c r="Z50" i="12" s="1"/>
  <c r="AA50" i="12" s="1"/>
  <c r="AB50" i="12" s="1"/>
  <c r="AC50" i="12" s="1"/>
  <c r="AD50" i="12" s="1"/>
  <c r="N49" i="12"/>
  <c r="AA49" i="12"/>
  <c r="B54" i="12"/>
  <c r="B57" i="12"/>
  <c r="C57" i="12" s="1"/>
  <c r="D57" i="12" s="1"/>
  <c r="E57" i="12" s="1"/>
  <c r="F57" i="12" s="1"/>
  <c r="G57" i="12" s="1"/>
  <c r="H57" i="12" s="1"/>
  <c r="I57" i="12" s="1"/>
  <c r="J57" i="12" s="1"/>
  <c r="K57" i="12" s="1"/>
  <c r="L57" i="12" s="1"/>
  <c r="M57" i="12" s="1"/>
  <c r="N57" i="12" s="1"/>
  <c r="O57" i="12" s="1"/>
  <c r="P57" i="12" s="1"/>
  <c r="Q57" i="12" s="1"/>
  <c r="R57" i="12" s="1"/>
  <c r="S57" i="12" s="1"/>
  <c r="T57" i="12" s="1"/>
  <c r="U57" i="12" s="1"/>
  <c r="V57" i="12" s="1"/>
  <c r="W57" i="12" s="1"/>
  <c r="X57" i="12" s="1"/>
  <c r="Y57" i="12" s="1"/>
  <c r="Z57" i="12" s="1"/>
  <c r="AA57" i="12" s="1"/>
  <c r="AB57" i="12" s="1"/>
  <c r="AC57" i="12" s="1"/>
  <c r="AD57" i="12" s="1"/>
  <c r="N55" i="12"/>
  <c r="AA55" i="12"/>
  <c r="AA27" i="15" s="1"/>
  <c r="N56" i="12"/>
  <c r="AA56" i="12"/>
  <c r="B61" i="12"/>
  <c r="B64" i="12"/>
  <c r="C64" i="12" s="1"/>
  <c r="D64" i="12" s="1"/>
  <c r="E64" i="12" s="1"/>
  <c r="F64" i="12" s="1"/>
  <c r="G64" i="12" s="1"/>
  <c r="H64" i="12" s="1"/>
  <c r="I64" i="12" s="1"/>
  <c r="J64" i="12" s="1"/>
  <c r="K64" i="12" s="1"/>
  <c r="L64" i="12" s="1"/>
  <c r="M64" i="12" s="1"/>
  <c r="N64" i="12" s="1"/>
  <c r="O64" i="12" s="1"/>
  <c r="P64" i="12" s="1"/>
  <c r="Q64" i="12" s="1"/>
  <c r="R64" i="12" s="1"/>
  <c r="S64" i="12" s="1"/>
  <c r="T64" i="12" s="1"/>
  <c r="U64" i="12" s="1"/>
  <c r="V64" i="12" s="1"/>
  <c r="W64" i="12" s="1"/>
  <c r="X64" i="12" s="1"/>
  <c r="Y64" i="12" s="1"/>
  <c r="Z64" i="12" s="1"/>
  <c r="AA64" i="12" s="1"/>
  <c r="AB64" i="12" s="1"/>
  <c r="AC64" i="12" s="1"/>
  <c r="AD64" i="12" s="1"/>
  <c r="N62" i="12"/>
  <c r="AA62" i="12"/>
  <c r="N63" i="12"/>
  <c r="AA63" i="12"/>
  <c r="B1" i="13"/>
  <c r="B3" i="13"/>
  <c r="B5" i="13"/>
  <c r="C6" i="13"/>
  <c r="B8" i="13"/>
  <c r="C9" i="13"/>
  <c r="B11" i="13"/>
  <c r="C12" i="13"/>
  <c r="B14" i="13"/>
  <c r="C15" i="13"/>
  <c r="C16" i="13"/>
  <c r="C17" i="13"/>
  <c r="C18" i="13"/>
  <c r="C19" i="13"/>
  <c r="C20" i="13"/>
  <c r="C21" i="13"/>
  <c r="C22" i="13"/>
  <c r="C23" i="13"/>
  <c r="B25" i="13"/>
  <c r="C26" i="13"/>
  <c r="C27" i="13"/>
  <c r="C28" i="13"/>
  <c r="C29" i="13"/>
  <c r="C30" i="13"/>
  <c r="C31" i="13"/>
  <c r="C32" i="13"/>
  <c r="D40" i="13"/>
  <c r="D25" i="14" s="1"/>
  <c r="D41" i="13"/>
  <c r="D42" i="13"/>
  <c r="D43" i="13"/>
  <c r="D62" i="14" s="1"/>
  <c r="D44" i="13"/>
  <c r="D45" i="13"/>
  <c r="B119" i="14" s="1"/>
  <c r="D46" i="13"/>
  <c r="D47" i="13"/>
  <c r="D160" i="14" s="1"/>
  <c r="D50" i="13"/>
  <c r="D51" i="13"/>
  <c r="D52" i="13"/>
  <c r="D53" i="13"/>
  <c r="D54" i="13"/>
  <c r="D56" i="13"/>
  <c r="D57" i="13"/>
  <c r="D60" i="13"/>
  <c r="D61" i="13"/>
  <c r="D62" i="13"/>
  <c r="D63" i="13"/>
  <c r="B2" i="14"/>
  <c r="B25" i="14"/>
  <c r="B43" i="14"/>
  <c r="D43" i="14"/>
  <c r="B62" i="14"/>
  <c r="B100" i="14"/>
  <c r="D100" i="14"/>
  <c r="B141" i="14"/>
  <c r="D141" i="14"/>
  <c r="B160" i="14"/>
  <c r="A1" i="15"/>
  <c r="B1" i="15"/>
  <c r="C1" i="15" s="1"/>
  <c r="N38" i="13" s="1"/>
  <c r="B3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B23" i="15"/>
  <c r="B22" i="17" s="1"/>
  <c r="C23" i="15"/>
  <c r="D23" i="15"/>
  <c r="E23" i="15"/>
  <c r="E25" i="15" s="1"/>
  <c r="F23" i="15"/>
  <c r="G23" i="15"/>
  <c r="H23" i="15"/>
  <c r="I23" i="15"/>
  <c r="I25" i="15" s="1"/>
  <c r="J23" i="15"/>
  <c r="K23" i="15"/>
  <c r="L23" i="15"/>
  <c r="L25" i="15" s="1"/>
  <c r="M23" i="15"/>
  <c r="O23" i="15"/>
  <c r="P23" i="15"/>
  <c r="Q23" i="15"/>
  <c r="R23" i="15"/>
  <c r="R25" i="15" s="1"/>
  <c r="S23" i="15"/>
  <c r="T23" i="15"/>
  <c r="U23" i="15"/>
  <c r="V23" i="15"/>
  <c r="W23" i="15"/>
  <c r="X23" i="15"/>
  <c r="Y23" i="15"/>
  <c r="Z23" i="15"/>
  <c r="AB23" i="15"/>
  <c r="AC23" i="15"/>
  <c r="AD23" i="15"/>
  <c r="B24" i="15"/>
  <c r="C24" i="15"/>
  <c r="D24" i="15"/>
  <c r="D25" i="15"/>
  <c r="E24" i="15"/>
  <c r="F24" i="15"/>
  <c r="G24" i="15"/>
  <c r="H24" i="15"/>
  <c r="H25" i="15" s="1"/>
  <c r="I24" i="15"/>
  <c r="J24" i="15"/>
  <c r="K24" i="15"/>
  <c r="L24" i="15"/>
  <c r="M24" i="15"/>
  <c r="O24" i="15"/>
  <c r="P24" i="15"/>
  <c r="P25" i="15" s="1"/>
  <c r="Q24" i="15"/>
  <c r="R24" i="15"/>
  <c r="S24" i="15"/>
  <c r="T24" i="15"/>
  <c r="T25" i="15"/>
  <c r="U24" i="15"/>
  <c r="U25" i="15" s="1"/>
  <c r="V24" i="15"/>
  <c r="W24" i="15"/>
  <c r="X24" i="15"/>
  <c r="X25" i="15"/>
  <c r="Y24" i="15"/>
  <c r="Z24" i="15"/>
  <c r="Z25" i="15"/>
  <c r="AA24" i="15"/>
  <c r="AB24" i="15"/>
  <c r="AC24" i="15"/>
  <c r="AD24" i="15"/>
  <c r="AD25" i="15" s="1"/>
  <c r="AD33" i="15" s="1"/>
  <c r="K63" i="13" s="1"/>
  <c r="G25" i="15"/>
  <c r="K25" i="15"/>
  <c r="O25" i="15"/>
  <c r="Q25" i="15"/>
  <c r="S25" i="15"/>
  <c r="W25" i="15"/>
  <c r="Y25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O27" i="15"/>
  <c r="P27" i="15"/>
  <c r="Q27" i="15"/>
  <c r="R27" i="15"/>
  <c r="S27" i="15"/>
  <c r="S29" i="15" s="1"/>
  <c r="S33" i="15" s="1"/>
  <c r="T27" i="15"/>
  <c r="U27" i="15"/>
  <c r="V27" i="15"/>
  <c r="W27" i="15"/>
  <c r="X27" i="15"/>
  <c r="Y27" i="15"/>
  <c r="Z27" i="15"/>
  <c r="AB27" i="15"/>
  <c r="AC27" i="15"/>
  <c r="AD27" i="15"/>
  <c r="B28" i="15"/>
  <c r="B28" i="18" s="1"/>
  <c r="C28" i="15"/>
  <c r="D28" i="15"/>
  <c r="E28" i="15"/>
  <c r="E29" i="15" s="1"/>
  <c r="E33" i="15" s="1"/>
  <c r="F28" i="15"/>
  <c r="G28" i="15"/>
  <c r="G29" i="15" s="1"/>
  <c r="H28" i="15"/>
  <c r="I28" i="15"/>
  <c r="I29" i="15" s="1"/>
  <c r="J28" i="15"/>
  <c r="K28" i="15"/>
  <c r="L28" i="15"/>
  <c r="M28" i="15"/>
  <c r="M29" i="15" s="1"/>
  <c r="O28" i="15"/>
  <c r="O29" i="15" s="1"/>
  <c r="O33" i="15" s="1"/>
  <c r="P28" i="15"/>
  <c r="Q28" i="15"/>
  <c r="Q29" i="15" s="1"/>
  <c r="R28" i="15"/>
  <c r="S28" i="15"/>
  <c r="T28" i="15"/>
  <c r="U28" i="15"/>
  <c r="U29" i="15" s="1"/>
  <c r="U33" i="15" s="1"/>
  <c r="V28" i="15"/>
  <c r="V29" i="15" s="1"/>
  <c r="W28" i="15"/>
  <c r="W29" i="15"/>
  <c r="W33" i="15" s="1"/>
  <c r="X28" i="15"/>
  <c r="X29" i="15" s="1"/>
  <c r="Y28" i="15"/>
  <c r="Y29" i="15" s="1"/>
  <c r="Y33" i="15" s="1"/>
  <c r="Z28" i="15"/>
  <c r="AB28" i="15"/>
  <c r="AC28" i="15"/>
  <c r="AD28" i="15"/>
  <c r="F29" i="15"/>
  <c r="J29" i="15"/>
  <c r="AD29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1" i="16"/>
  <c r="B1" i="16"/>
  <c r="C1" i="16" s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B13" i="16"/>
  <c r="C13" i="16"/>
  <c r="D13" i="16"/>
  <c r="N13" i="16" s="1"/>
  <c r="E13" i="16"/>
  <c r="F13" i="16"/>
  <c r="G13" i="16"/>
  <c r="H13" i="16"/>
  <c r="I13" i="16"/>
  <c r="J13" i="16"/>
  <c r="K13" i="16"/>
  <c r="L13" i="16"/>
  <c r="M13" i="16"/>
  <c r="O13" i="16"/>
  <c r="P13" i="16"/>
  <c r="Q13" i="16"/>
  <c r="R13" i="16"/>
  <c r="S13" i="16"/>
  <c r="T13" i="16"/>
  <c r="AA13" i="16" s="1"/>
  <c r="U13" i="16"/>
  <c r="V13" i="16"/>
  <c r="W13" i="16"/>
  <c r="X13" i="16"/>
  <c r="Y13" i="16"/>
  <c r="Z13" i="16"/>
  <c r="AB13" i="16"/>
  <c r="AC13" i="16"/>
  <c r="AD13" i="16"/>
  <c r="B14" i="16"/>
  <c r="C14" i="16"/>
  <c r="D14" i="16"/>
  <c r="E14" i="16"/>
  <c r="F14" i="16"/>
  <c r="G14" i="16"/>
  <c r="N14" i="16" s="1"/>
  <c r="H14" i="16"/>
  <c r="I14" i="16"/>
  <c r="J14" i="16"/>
  <c r="K14" i="16"/>
  <c r="L14" i="16"/>
  <c r="M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B14" i="16"/>
  <c r="AC14" i="16"/>
  <c r="AD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B15" i="16"/>
  <c r="AC15" i="16"/>
  <c r="AD15" i="16"/>
  <c r="O19" i="16"/>
  <c r="P19" i="16" s="1"/>
  <c r="Q19" i="16" s="1"/>
  <c r="R19" i="16" s="1"/>
  <c r="S19" i="16" s="1"/>
  <c r="T19" i="16" s="1"/>
  <c r="U19" i="16" s="1"/>
  <c r="V19" i="16" s="1"/>
  <c r="W19" i="16" s="1"/>
  <c r="X19" i="16" s="1"/>
  <c r="Y19" i="16" s="1"/>
  <c r="Z19" i="16" s="1"/>
  <c r="AB19" i="16"/>
  <c r="AC19" i="16" s="1"/>
  <c r="AD19" i="16" s="1"/>
  <c r="A1" i="17"/>
  <c r="B1" i="17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B16" i="17"/>
  <c r="C16" i="17"/>
  <c r="D16" i="17"/>
  <c r="E16" i="17" s="1"/>
  <c r="F16" i="17" s="1"/>
  <c r="G16" i="17" s="1"/>
  <c r="H16" i="17" s="1"/>
  <c r="I16" i="17" s="1"/>
  <c r="J16" i="17" s="1"/>
  <c r="K16" i="17" s="1"/>
  <c r="L16" i="17" s="1"/>
  <c r="M16" i="17" s="1"/>
  <c r="N16" i="17" s="1"/>
  <c r="B19" i="17"/>
  <c r="B20" i="17" s="1"/>
  <c r="A1" i="18"/>
  <c r="B1" i="18"/>
  <c r="C1" i="18" s="1"/>
  <c r="D1" i="18" s="1"/>
  <c r="E1" i="18" s="1"/>
  <c r="F1" i="18" s="1"/>
  <c r="G1" i="18" s="1"/>
  <c r="H1" i="18" s="1"/>
  <c r="I1" i="18" s="1"/>
  <c r="J1" i="18" s="1"/>
  <c r="K1" i="18" s="1"/>
  <c r="L1" i="18" s="1"/>
  <c r="M1" i="18" s="1"/>
  <c r="H3" i="18"/>
  <c r="N3" i="18"/>
  <c r="AD3" i="18"/>
  <c r="B10" i="18"/>
  <c r="C10" i="18" s="1"/>
  <c r="D10" i="18" s="1"/>
  <c r="B24" i="18"/>
  <c r="C24" i="18" s="1"/>
  <c r="D24" i="18" s="1"/>
  <c r="B31" i="18"/>
  <c r="C31" i="18" s="1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R31" i="18" s="1"/>
  <c r="S31" i="18" s="1"/>
  <c r="T31" i="18" s="1"/>
  <c r="U31" i="18" s="1"/>
  <c r="V31" i="18" s="1"/>
  <c r="W31" i="18" s="1"/>
  <c r="X31" i="18" s="1"/>
  <c r="Y31" i="18" s="1"/>
  <c r="Z31" i="18" s="1"/>
  <c r="AA31" i="18" s="1"/>
  <c r="AB31" i="18" s="1"/>
  <c r="AC31" i="18" s="1"/>
  <c r="AD31" i="18" s="1"/>
  <c r="A1" i="19"/>
  <c r="B1" i="19"/>
  <c r="C1" i="19" s="1"/>
  <c r="D1" i="19" s="1"/>
  <c r="E1" i="19" s="1"/>
  <c r="F1" i="19" s="1"/>
  <c r="H4" i="19"/>
  <c r="I4" i="19"/>
  <c r="J4" i="19"/>
  <c r="K4" i="19"/>
  <c r="L4" i="19"/>
  <c r="H5" i="19"/>
  <c r="I5" i="19"/>
  <c r="J5" i="19"/>
  <c r="K5" i="19"/>
  <c r="L5" i="19"/>
  <c r="H6" i="19"/>
  <c r="I6" i="19"/>
  <c r="J6" i="19"/>
  <c r="K6" i="19"/>
  <c r="L6" i="19"/>
  <c r="H7" i="19"/>
  <c r="I7" i="19"/>
  <c r="J7" i="19"/>
  <c r="K7" i="19"/>
  <c r="L7" i="19"/>
  <c r="H10" i="19"/>
  <c r="I10" i="19"/>
  <c r="J10" i="19"/>
  <c r="K10" i="19"/>
  <c r="L10" i="19"/>
  <c r="H11" i="19"/>
  <c r="I11" i="19"/>
  <c r="J11" i="19"/>
  <c r="K11" i="19"/>
  <c r="L11" i="19"/>
  <c r="H12" i="19"/>
  <c r="I12" i="19"/>
  <c r="J12" i="19"/>
  <c r="K12" i="19"/>
  <c r="L12" i="19"/>
  <c r="H13" i="19"/>
  <c r="I13" i="19"/>
  <c r="J13" i="19"/>
  <c r="K13" i="19"/>
  <c r="L13" i="19"/>
  <c r="H16" i="19"/>
  <c r="I16" i="19"/>
  <c r="J16" i="19"/>
  <c r="K16" i="19"/>
  <c r="L16" i="19"/>
  <c r="H17" i="19"/>
  <c r="I17" i="19"/>
  <c r="J17" i="19"/>
  <c r="K17" i="19"/>
  <c r="L17" i="19"/>
  <c r="Q33" i="15"/>
  <c r="P29" i="11"/>
  <c r="P7" i="5"/>
  <c r="O1" i="4"/>
  <c r="P1" i="4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N1" i="4"/>
  <c r="B24" i="3"/>
  <c r="AA11" i="3" l="1"/>
  <c r="AB11" i="3" s="1"/>
  <c r="Y4" i="2"/>
  <c r="AA4" i="2" s="1"/>
  <c r="B10" i="2"/>
  <c r="B4" i="9" s="1"/>
  <c r="AB29" i="15"/>
  <c r="Z29" i="15"/>
  <c r="T29" i="15"/>
  <c r="P29" i="15"/>
  <c r="AA29" i="15"/>
  <c r="L29" i="15"/>
  <c r="I33" i="15"/>
  <c r="G33" i="15"/>
  <c r="D29" i="15"/>
  <c r="D33" i="15" s="1"/>
  <c r="C28" i="18"/>
  <c r="D28" i="18" s="1"/>
  <c r="B25" i="5"/>
  <c r="AB25" i="5"/>
  <c r="X25" i="5"/>
  <c r="T25" i="5"/>
  <c r="P25" i="5"/>
  <c r="AA23" i="5"/>
  <c r="W25" i="5"/>
  <c r="S25" i="5"/>
  <c r="AC4" i="2"/>
  <c r="AB4" i="2"/>
  <c r="AB4" i="10" s="1"/>
  <c r="AD4" i="2"/>
  <c r="C19" i="17"/>
  <c r="AA11" i="4"/>
  <c r="AB11" i="4" s="1"/>
  <c r="AC11" i="4" s="1"/>
  <c r="AD11" i="4" s="1"/>
  <c r="C17" i="5"/>
  <c r="C20" i="5" s="1"/>
  <c r="C29" i="5" s="1"/>
  <c r="T14" i="5"/>
  <c r="T15" i="5" s="1"/>
  <c r="T10" i="5"/>
  <c r="T11" i="5" s="1"/>
  <c r="V14" i="5"/>
  <c r="V15" i="5" s="1"/>
  <c r="V10" i="5"/>
  <c r="V11" i="5" s="1"/>
  <c r="W10" i="5"/>
  <c r="W11" i="5" s="1"/>
  <c r="W14" i="5"/>
  <c r="W15" i="5" s="1"/>
  <c r="X4" i="5"/>
  <c r="L15" i="5"/>
  <c r="N15" i="5" s="1"/>
  <c r="M11" i="5"/>
  <c r="N11" i="5" s="1"/>
  <c r="T5" i="5"/>
  <c r="T7" i="5" s="1"/>
  <c r="P10" i="5"/>
  <c r="P11" i="5" s="1"/>
  <c r="P14" i="5"/>
  <c r="P15" i="5" s="1"/>
  <c r="R14" i="5"/>
  <c r="R15" i="5" s="1"/>
  <c r="R10" i="5"/>
  <c r="R11" i="5" s="1"/>
  <c r="U10" i="5"/>
  <c r="U11" i="5" s="1"/>
  <c r="U14" i="5"/>
  <c r="U15" i="5" s="1"/>
  <c r="K17" i="5"/>
  <c r="K20" i="5" s="1"/>
  <c r="G17" i="5"/>
  <c r="G20" i="5" s="1"/>
  <c r="G29" i="5" s="1"/>
  <c r="W5" i="5"/>
  <c r="W7" i="5" s="1"/>
  <c r="S10" i="5"/>
  <c r="S11" i="5" s="1"/>
  <c r="S14" i="5"/>
  <c r="S15" i="5" s="1"/>
  <c r="O10" i="5"/>
  <c r="O14" i="5"/>
  <c r="Q10" i="5"/>
  <c r="Q11" i="5" s="1"/>
  <c r="Q14" i="5"/>
  <c r="Q15" i="5" s="1"/>
  <c r="H17" i="5"/>
  <c r="H20" i="5" s="1"/>
  <c r="B3" i="7"/>
  <c r="M15" i="4"/>
  <c r="M8" i="15" s="1"/>
  <c r="I15" i="4"/>
  <c r="I8" i="15" s="1"/>
  <c r="E15" i="4"/>
  <c r="E8" i="15" s="1"/>
  <c r="B13" i="2"/>
  <c r="B14" i="2" s="1"/>
  <c r="B6" i="7" s="1"/>
  <c r="B3" i="16"/>
  <c r="B5" i="15"/>
  <c r="X13" i="3"/>
  <c r="Y13" i="3"/>
  <c r="AB25" i="15"/>
  <c r="AB33" i="15" s="1"/>
  <c r="I63" i="13" s="1"/>
  <c r="T33" i="15"/>
  <c r="V25" i="15"/>
  <c r="V33" i="15"/>
  <c r="AA25" i="15"/>
  <c r="L33" i="15"/>
  <c r="J25" i="15"/>
  <c r="J33" i="15" s="1"/>
  <c r="F25" i="15"/>
  <c r="F33" i="15"/>
  <c r="B23" i="18"/>
  <c r="B25" i="15"/>
  <c r="N6" i="11"/>
  <c r="N25" i="15"/>
  <c r="B17" i="6"/>
  <c r="B41" i="7" s="1"/>
  <c r="C20" i="6"/>
  <c r="C21" i="6" s="1"/>
  <c r="D26" i="6"/>
  <c r="E26" i="6" s="1"/>
  <c r="S17" i="6"/>
  <c r="S35" i="6" s="1"/>
  <c r="J17" i="6"/>
  <c r="J19" i="15" s="1"/>
  <c r="D27" i="6"/>
  <c r="Y17" i="6"/>
  <c r="H17" i="6"/>
  <c r="Z17" i="6"/>
  <c r="Z19" i="15" s="1"/>
  <c r="X17" i="6"/>
  <c r="H35" i="6"/>
  <c r="AB17" i="6"/>
  <c r="AB19" i="15" s="1"/>
  <c r="I62" i="13" s="1"/>
  <c r="C30" i="6"/>
  <c r="C17" i="6"/>
  <c r="D29" i="6"/>
  <c r="E29" i="6" s="1"/>
  <c r="F29" i="6" s="1"/>
  <c r="E28" i="6"/>
  <c r="F28" i="6" s="1"/>
  <c r="X38" i="6"/>
  <c r="T17" i="6"/>
  <c r="U17" i="6"/>
  <c r="U38" i="6" s="1"/>
  <c r="S19" i="15"/>
  <c r="F17" i="6"/>
  <c r="H25" i="5"/>
  <c r="I17" i="5"/>
  <c r="I20" i="5" s="1"/>
  <c r="N24" i="5"/>
  <c r="F25" i="5"/>
  <c r="K25" i="5"/>
  <c r="G25" i="5"/>
  <c r="D17" i="5"/>
  <c r="AC25" i="5"/>
  <c r="U25" i="5"/>
  <c r="R25" i="5"/>
  <c r="O25" i="5"/>
  <c r="J25" i="5"/>
  <c r="Q25" i="5"/>
  <c r="E25" i="5"/>
  <c r="J17" i="5"/>
  <c r="J20" i="5" s="1"/>
  <c r="J32" i="7" s="1"/>
  <c r="F17" i="5"/>
  <c r="F20" i="5" s="1"/>
  <c r="E17" i="5"/>
  <c r="B17" i="5"/>
  <c r="B20" i="5" s="1"/>
  <c r="E7" i="5"/>
  <c r="F23" i="7"/>
  <c r="C18" i="4"/>
  <c r="N13" i="4"/>
  <c r="L15" i="4"/>
  <c r="L23" i="7" s="1"/>
  <c r="C8" i="15"/>
  <c r="H15" i="4"/>
  <c r="H23" i="7" s="1"/>
  <c r="C8" i="16"/>
  <c r="C23" i="7"/>
  <c r="J15" i="4"/>
  <c r="J23" i="7" s="1"/>
  <c r="B15" i="4"/>
  <c r="B8" i="16" s="1"/>
  <c r="K23" i="7"/>
  <c r="AA8" i="4"/>
  <c r="K21" i="4"/>
  <c r="K22" i="4" s="1"/>
  <c r="K26" i="7" s="1"/>
  <c r="K8" i="16"/>
  <c r="K18" i="4"/>
  <c r="C22" i="4"/>
  <c r="C26" i="7" s="1"/>
  <c r="C25" i="7" s="1"/>
  <c r="C20" i="4"/>
  <c r="G8" i="16"/>
  <c r="F8" i="15"/>
  <c r="N4" i="4"/>
  <c r="F18" i="4"/>
  <c r="F8" i="16"/>
  <c r="N1" i="11"/>
  <c r="O1" i="1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O1" i="16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N1" i="16"/>
  <c r="O1" i="10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N1" i="10"/>
  <c r="D1" i="15"/>
  <c r="O1" i="6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N1" i="6"/>
  <c r="N1" i="5"/>
  <c r="O1" i="5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O1" i="7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N1" i="7"/>
  <c r="O1" i="2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O1" i="3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B14" i="3"/>
  <c r="B16" i="3" s="1"/>
  <c r="B21" i="3"/>
  <c r="B18" i="3"/>
  <c r="B19" i="3" s="1"/>
  <c r="G25" i="7"/>
  <c r="G18" i="4"/>
  <c r="G23" i="7"/>
  <c r="G8" i="15"/>
  <c r="G20" i="4"/>
  <c r="G24" i="7" s="1"/>
  <c r="O1" i="18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N1" i="18"/>
  <c r="O1" i="9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N1" i="9"/>
  <c r="N1" i="8"/>
  <c r="O1" i="8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B25" i="3"/>
  <c r="B17" i="7" s="1"/>
  <c r="B18" i="7" s="1"/>
  <c r="O38" i="13"/>
  <c r="E1" i="15"/>
  <c r="B31" i="19"/>
  <c r="O16" i="17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O1" i="17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N1" i="17"/>
  <c r="N15" i="16"/>
  <c r="H29" i="15"/>
  <c r="F25" i="7"/>
  <c r="N1" i="12"/>
  <c r="O1" i="12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E24" i="18"/>
  <c r="AA14" i="16"/>
  <c r="N3" i="15"/>
  <c r="E3" i="18"/>
  <c r="I3" i="18"/>
  <c r="M3" i="18"/>
  <c r="Q3" i="18"/>
  <c r="U3" i="18"/>
  <c r="Y3" i="18"/>
  <c r="AC3" i="18"/>
  <c r="D3" i="18"/>
  <c r="J3" i="18"/>
  <c r="O3" i="18"/>
  <c r="T3" i="18"/>
  <c r="Z3" i="18"/>
  <c r="F3" i="18"/>
  <c r="K3" i="18"/>
  <c r="P3" i="18"/>
  <c r="V3" i="18"/>
  <c r="AA3" i="18"/>
  <c r="B3" i="18"/>
  <c r="G3" i="18"/>
  <c r="L3" i="18"/>
  <c r="R3" i="18"/>
  <c r="W3" i="18"/>
  <c r="AB3" i="18"/>
  <c r="B81" i="14"/>
  <c r="D81" i="14"/>
  <c r="C23" i="6"/>
  <c r="D23" i="6" s="1"/>
  <c r="D24" i="6" s="1"/>
  <c r="B24" i="6"/>
  <c r="Z41" i="7"/>
  <c r="X3" i="18"/>
  <c r="C3" i="18"/>
  <c r="AA15" i="16"/>
  <c r="AC29" i="15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AB28" i="18" s="1"/>
  <c r="AC28" i="18" s="1"/>
  <c r="AD28" i="18" s="1"/>
  <c r="P33" i="15"/>
  <c r="H33" i="15"/>
  <c r="C19" i="15"/>
  <c r="S3" i="18"/>
  <c r="B29" i="15"/>
  <c r="B27" i="18"/>
  <c r="B29" i="18" s="1"/>
  <c r="R29" i="15"/>
  <c r="R33" i="15" s="1"/>
  <c r="K29" i="15"/>
  <c r="K33" i="15" s="1"/>
  <c r="X33" i="15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B29" i="12"/>
  <c r="AC25" i="15"/>
  <c r="Z33" i="15"/>
  <c r="M25" i="15"/>
  <c r="M33" i="15" s="1"/>
  <c r="C25" i="15"/>
  <c r="C22" i="17"/>
  <c r="B42" i="12"/>
  <c r="B44" i="12" s="1"/>
  <c r="C44" i="12" s="1"/>
  <c r="D44" i="12" s="1"/>
  <c r="E44" i="12" s="1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AB44" i="12" s="1"/>
  <c r="AC44" i="12" s="1"/>
  <c r="AD44" i="12" s="1"/>
  <c r="B16" i="12"/>
  <c r="B27" i="12" s="1"/>
  <c r="B28" i="12" s="1"/>
  <c r="N28" i="15"/>
  <c r="N29" i="15" s="1"/>
  <c r="N20" i="11"/>
  <c r="C29" i="15"/>
  <c r="J41" i="7"/>
  <c r="Q17" i="6"/>
  <c r="Q35" i="6" s="1"/>
  <c r="L17" i="6"/>
  <c r="L35" i="6" s="1"/>
  <c r="L38" i="6"/>
  <c r="D25" i="5"/>
  <c r="N23" i="5"/>
  <c r="AA15" i="6"/>
  <c r="H41" i="7"/>
  <c r="H19" i="15"/>
  <c r="D17" i="6"/>
  <c r="D38" i="6" s="1"/>
  <c r="W17" i="6"/>
  <c r="E17" i="6"/>
  <c r="M38" i="13"/>
  <c r="O29" i="11"/>
  <c r="AA29" i="11" s="1"/>
  <c r="AA6" i="11"/>
  <c r="S41" i="7"/>
  <c r="P17" i="6"/>
  <c r="P35" i="6" s="1"/>
  <c r="N9" i="6"/>
  <c r="AD17" i="6"/>
  <c r="Y41" i="7"/>
  <c r="Y19" i="15"/>
  <c r="V17" i="6"/>
  <c r="V35" i="6" s="1"/>
  <c r="J35" i="6"/>
  <c r="G17" i="6"/>
  <c r="G38" i="6" s="1"/>
  <c r="AA4" i="4"/>
  <c r="D15" i="4"/>
  <c r="C29" i="11"/>
  <c r="N29" i="11" s="1"/>
  <c r="H38" i="6"/>
  <c r="H37" i="6" s="1"/>
  <c r="AB41" i="7"/>
  <c r="AB35" i="6"/>
  <c r="R17" i="6"/>
  <c r="R35" i="6" s="1"/>
  <c r="M17" i="6"/>
  <c r="S38" i="6"/>
  <c r="AA9" i="6"/>
  <c r="AC17" i="6"/>
  <c r="Y35" i="6"/>
  <c r="U35" i="6"/>
  <c r="U41" i="7"/>
  <c r="O17" i="6"/>
  <c r="AA4" i="6"/>
  <c r="I17" i="6"/>
  <c r="I35" i="6" s="1"/>
  <c r="Y38" i="6"/>
  <c r="B30" i="6"/>
  <c r="N15" i="6"/>
  <c r="Z38" i="6"/>
  <c r="Z37" i="6" s="1"/>
  <c r="AB38" i="6"/>
  <c r="AB37" i="6" s="1"/>
  <c r="AB42" i="7" s="1"/>
  <c r="K17" i="6"/>
  <c r="K35" i="6" s="1"/>
  <c r="N4" i="6"/>
  <c r="AA24" i="5"/>
  <c r="L25" i="5"/>
  <c r="D7" i="5"/>
  <c r="N5" i="5"/>
  <c r="F20" i="4"/>
  <c r="F24" i="7" s="1"/>
  <c r="N8" i="4"/>
  <c r="B23" i="3" l="1"/>
  <c r="AA33" i="15"/>
  <c r="H63" i="13" s="1"/>
  <c r="R17" i="5"/>
  <c r="T17" i="5"/>
  <c r="M17" i="5"/>
  <c r="M20" i="5" s="1"/>
  <c r="M7" i="15" s="1"/>
  <c r="W17" i="5"/>
  <c r="W20" i="5" s="1"/>
  <c r="B23" i="7"/>
  <c r="AC11" i="3"/>
  <c r="AD11" i="3"/>
  <c r="T20" i="5"/>
  <c r="T29" i="5" s="1"/>
  <c r="T30" i="5" s="1"/>
  <c r="T35" i="7" s="1"/>
  <c r="T36" i="7" s="1"/>
  <c r="B4" i="10"/>
  <c r="F26" i="6"/>
  <c r="G26" i="6" s="1"/>
  <c r="D20" i="6"/>
  <c r="D21" i="6" s="1"/>
  <c r="C20" i="17"/>
  <c r="D19" i="17"/>
  <c r="B33" i="15"/>
  <c r="B12" i="2"/>
  <c r="B4" i="7" s="1"/>
  <c r="B21" i="4"/>
  <c r="B20" i="4" s="1"/>
  <c r="I21" i="4"/>
  <c r="I20" i="4" s="1"/>
  <c r="AB13" i="4"/>
  <c r="AB15" i="4" s="1"/>
  <c r="AB23" i="7" s="1"/>
  <c r="U17" i="5"/>
  <c r="U20" i="5" s="1"/>
  <c r="V17" i="5"/>
  <c r="V20" i="5" s="1"/>
  <c r="V29" i="5" s="1"/>
  <c r="J21" i="4"/>
  <c r="J20" i="4" s="1"/>
  <c r="M23" i="7"/>
  <c r="M21" i="4"/>
  <c r="M22" i="4" s="1"/>
  <c r="M26" i="7" s="1"/>
  <c r="M27" i="7" s="1"/>
  <c r="E21" i="4"/>
  <c r="E22" i="4" s="1"/>
  <c r="E26" i="7" s="1"/>
  <c r="E27" i="7" s="1"/>
  <c r="E23" i="7"/>
  <c r="I18" i="4"/>
  <c r="I8" i="16"/>
  <c r="M8" i="16"/>
  <c r="I23" i="7"/>
  <c r="M18" i="4"/>
  <c r="B8" i="15"/>
  <c r="B8" i="18" s="1"/>
  <c r="C8" i="18" s="1"/>
  <c r="Q17" i="5"/>
  <c r="Q20" i="5" s="1"/>
  <c r="Q7" i="16" s="1"/>
  <c r="P17" i="5"/>
  <c r="P20" i="5" s="1"/>
  <c r="P7" i="16" s="1"/>
  <c r="H7" i="15"/>
  <c r="H32" i="7"/>
  <c r="O15" i="5"/>
  <c r="Z4" i="5"/>
  <c r="X10" i="5"/>
  <c r="X11" i="5" s="1"/>
  <c r="Y4" i="5"/>
  <c r="AA4" i="5" s="1"/>
  <c r="AB4" i="5" s="1"/>
  <c r="X14" i="5"/>
  <c r="X15" i="5" s="1"/>
  <c r="X5" i="5"/>
  <c r="X7" i="5" s="1"/>
  <c r="L17" i="5"/>
  <c r="L20" i="5" s="1"/>
  <c r="O11" i="5"/>
  <c r="S17" i="5"/>
  <c r="S20" i="5" s="1"/>
  <c r="S7" i="16" s="1"/>
  <c r="C27" i="7"/>
  <c r="E8" i="16"/>
  <c r="E18" i="4"/>
  <c r="B18" i="4"/>
  <c r="AC13" i="4"/>
  <c r="M40" i="13"/>
  <c r="B5" i="18"/>
  <c r="Z13" i="3"/>
  <c r="B38" i="6"/>
  <c r="B37" i="6" s="1"/>
  <c r="B19" i="15"/>
  <c r="B19" i="18" s="1"/>
  <c r="C19" i="18" s="1"/>
  <c r="B35" i="6"/>
  <c r="N33" i="15"/>
  <c r="G63" i="13" s="1"/>
  <c r="C23" i="18"/>
  <c r="B25" i="18"/>
  <c r="B33" i="18" s="1"/>
  <c r="D30" i="6"/>
  <c r="K38" i="6"/>
  <c r="Q38" i="6"/>
  <c r="E27" i="6"/>
  <c r="F27" i="6" s="1"/>
  <c r="Z35" i="6"/>
  <c r="J38" i="6"/>
  <c r="D35" i="6"/>
  <c r="X41" i="7"/>
  <c r="X19" i="15"/>
  <c r="G35" i="6"/>
  <c r="X35" i="6"/>
  <c r="G29" i="6"/>
  <c r="H29" i="6" s="1"/>
  <c r="U39" i="6"/>
  <c r="U44" i="7" s="1"/>
  <c r="U45" i="7" s="1"/>
  <c r="F35" i="6"/>
  <c r="F38" i="6"/>
  <c r="F39" i="6" s="1"/>
  <c r="F44" i="7" s="1"/>
  <c r="F41" i="7"/>
  <c r="F19" i="15"/>
  <c r="G28" i="6"/>
  <c r="H28" i="6" s="1"/>
  <c r="H26" i="6"/>
  <c r="I26" i="6" s="1"/>
  <c r="J26" i="6" s="1"/>
  <c r="K26" i="6" s="1"/>
  <c r="L26" i="6" s="1"/>
  <c r="T41" i="7"/>
  <c r="T19" i="15"/>
  <c r="X39" i="6"/>
  <c r="X44" i="7" s="1"/>
  <c r="X45" i="7" s="1"/>
  <c r="X43" i="7"/>
  <c r="X37" i="6"/>
  <c r="T35" i="6"/>
  <c r="T38" i="6"/>
  <c r="T39" i="6" s="1"/>
  <c r="T44" i="7" s="1"/>
  <c r="G27" i="6"/>
  <c r="H27" i="6" s="1"/>
  <c r="I27" i="6" s="1"/>
  <c r="U37" i="6"/>
  <c r="U19" i="15"/>
  <c r="C35" i="6"/>
  <c r="C41" i="7"/>
  <c r="C38" i="6"/>
  <c r="C37" i="6" s="1"/>
  <c r="M7" i="16"/>
  <c r="M29" i="5"/>
  <c r="M28" i="5" s="1"/>
  <c r="G32" i="7"/>
  <c r="H7" i="16"/>
  <c r="H29" i="5"/>
  <c r="H28" i="5" s="1"/>
  <c r="M32" i="7"/>
  <c r="F32" i="7"/>
  <c r="F7" i="15"/>
  <c r="F29" i="5"/>
  <c r="F7" i="16"/>
  <c r="F9" i="16" s="1"/>
  <c r="J29" i="5"/>
  <c r="J7" i="16"/>
  <c r="N25" i="5"/>
  <c r="J7" i="15"/>
  <c r="AA25" i="5"/>
  <c r="S29" i="5"/>
  <c r="S30" i="5" s="1"/>
  <c r="S35" i="7" s="1"/>
  <c r="S36" i="7" s="1"/>
  <c r="G7" i="15"/>
  <c r="G7" i="16"/>
  <c r="G9" i="16" s="1"/>
  <c r="B29" i="5"/>
  <c r="B30" i="5" s="1"/>
  <c r="B35" i="7" s="1"/>
  <c r="B36" i="7" s="1"/>
  <c r="G28" i="5"/>
  <c r="G30" i="5"/>
  <c r="G35" i="7" s="1"/>
  <c r="G36" i="7" s="1"/>
  <c r="I32" i="7"/>
  <c r="I7" i="16"/>
  <c r="I7" i="15"/>
  <c r="E20" i="5"/>
  <c r="I29" i="5"/>
  <c r="I30" i="5" s="1"/>
  <c r="I35" i="7" s="1"/>
  <c r="B32" i="7"/>
  <c r="B7" i="16"/>
  <c r="B9" i="16" s="1"/>
  <c r="B7" i="15"/>
  <c r="B7" i="18" s="1"/>
  <c r="L8" i="15"/>
  <c r="L18" i="4"/>
  <c r="C24" i="7"/>
  <c r="L21" i="4"/>
  <c r="L20" i="4" s="1"/>
  <c r="L8" i="16"/>
  <c r="AB8" i="16"/>
  <c r="H21" i="4"/>
  <c r="H22" i="4" s="1"/>
  <c r="H26" i="7" s="1"/>
  <c r="H27" i="7" s="1"/>
  <c r="H8" i="16"/>
  <c r="H18" i="4"/>
  <c r="H8" i="15"/>
  <c r="K20" i="4"/>
  <c r="K24" i="7" s="1"/>
  <c r="J18" i="4"/>
  <c r="J8" i="15"/>
  <c r="J8" i="16"/>
  <c r="B3" i="10"/>
  <c r="B6" i="15"/>
  <c r="B4" i="16"/>
  <c r="B5" i="16" s="1"/>
  <c r="B14" i="7"/>
  <c r="G39" i="6"/>
  <c r="G44" i="7" s="1"/>
  <c r="G45" i="7" s="1"/>
  <c r="T28" i="5"/>
  <c r="B16" i="7"/>
  <c r="C32" i="7"/>
  <c r="C7" i="16"/>
  <c r="C7" i="15"/>
  <c r="C28" i="5"/>
  <c r="K32" i="7"/>
  <c r="K7" i="15"/>
  <c r="K7" i="16"/>
  <c r="K9" i="16" s="1"/>
  <c r="K29" i="5"/>
  <c r="J39" i="6"/>
  <c r="J44" i="7" s="1"/>
  <c r="J45" i="7" s="1"/>
  <c r="K39" i="6"/>
  <c r="K44" i="7" s="1"/>
  <c r="K45" i="7" s="1"/>
  <c r="E41" i="7"/>
  <c r="E19" i="15"/>
  <c r="W41" i="7"/>
  <c r="W35" i="6"/>
  <c r="W19" i="15"/>
  <c r="Q39" i="6"/>
  <c r="Q44" i="7" s="1"/>
  <c r="Q45" i="7" s="1"/>
  <c r="AA20" i="11"/>
  <c r="AB20" i="11" s="1"/>
  <c r="AC20" i="11" s="1"/>
  <c r="AD20" i="11" s="1"/>
  <c r="O20" i="11"/>
  <c r="P20" i="11" s="1"/>
  <c r="Q20" i="11" s="1"/>
  <c r="R20" i="11" s="1"/>
  <c r="S20" i="11" s="1"/>
  <c r="U20" i="11" s="1"/>
  <c r="V20" i="11" s="1"/>
  <c r="W20" i="11" s="1"/>
  <c r="X20" i="11" s="1"/>
  <c r="Y20" i="11" s="1"/>
  <c r="Z20" i="11" s="1"/>
  <c r="F24" i="18"/>
  <c r="F1" i="15"/>
  <c r="P38" i="13"/>
  <c r="F30" i="6"/>
  <c r="K37" i="6"/>
  <c r="K42" i="7" s="1"/>
  <c r="K41" i="7"/>
  <c r="K19" i="15"/>
  <c r="I19" i="15"/>
  <c r="I41" i="7"/>
  <c r="R41" i="7"/>
  <c r="R19" i="15"/>
  <c r="H39" i="6"/>
  <c r="H44" i="7" s="1"/>
  <c r="H45" i="7" s="1"/>
  <c r="E38" i="6"/>
  <c r="E37" i="6" s="1"/>
  <c r="D22" i="17"/>
  <c r="AC33" i="15"/>
  <c r="J63" i="13" s="1"/>
  <c r="C27" i="18"/>
  <c r="B32" i="6"/>
  <c r="D20" i="5"/>
  <c r="D29" i="5" s="1"/>
  <c r="N7" i="5"/>
  <c r="Z39" i="6"/>
  <c r="Z44" i="7" s="1"/>
  <c r="Z45" i="7" s="1"/>
  <c r="Y39" i="6"/>
  <c r="Y44" i="7" s="1"/>
  <c r="Y45" i="7" s="1"/>
  <c r="Y37" i="6"/>
  <c r="S39" i="6"/>
  <c r="S44" i="7" s="1"/>
  <c r="S45" i="7" s="1"/>
  <c r="S37" i="6"/>
  <c r="R38" i="6"/>
  <c r="R37" i="6" s="1"/>
  <c r="P41" i="7"/>
  <c r="P19" i="15"/>
  <c r="P38" i="6"/>
  <c r="E35" i="6"/>
  <c r="D41" i="7"/>
  <c r="D37" i="6"/>
  <c r="D19" i="15"/>
  <c r="N17" i="6"/>
  <c r="I38" i="6"/>
  <c r="L41" i="7"/>
  <c r="L37" i="6"/>
  <c r="L19" i="15"/>
  <c r="R20" i="5"/>
  <c r="C33" i="15"/>
  <c r="E23" i="6"/>
  <c r="E24" i="6" s="1"/>
  <c r="C24" i="6"/>
  <c r="C32" i="6" s="1"/>
  <c r="AB16" i="17"/>
  <c r="C31" i="19"/>
  <c r="K27" i="7"/>
  <c r="K25" i="7"/>
  <c r="AC19" i="15"/>
  <c r="AC41" i="7"/>
  <c r="AC38" i="6"/>
  <c r="AC37" i="6" s="1"/>
  <c r="AC42" i="7" s="1"/>
  <c r="M19" i="15"/>
  <c r="M41" i="7"/>
  <c r="D23" i="7"/>
  <c r="D21" i="4"/>
  <c r="D8" i="15"/>
  <c r="D8" i="16"/>
  <c r="D18" i="4"/>
  <c r="N15" i="4"/>
  <c r="V41" i="7"/>
  <c r="V19" i="15"/>
  <c r="AD41" i="7"/>
  <c r="AD35" i="6"/>
  <c r="AD19" i="15"/>
  <c r="M38" i="6"/>
  <c r="M37" i="6" s="1"/>
  <c r="L39" i="6"/>
  <c r="L44" i="7" s="1"/>
  <c r="L45" i="7" s="1"/>
  <c r="AB43" i="7"/>
  <c r="AB39" i="6"/>
  <c r="AB44" i="7" s="1"/>
  <c r="O38" i="6"/>
  <c r="O37" i="6" s="1"/>
  <c r="O35" i="6"/>
  <c r="O41" i="7"/>
  <c r="O19" i="15"/>
  <c r="AA17" i="6"/>
  <c r="AC35" i="6"/>
  <c r="G37" i="6"/>
  <c r="G41" i="7"/>
  <c r="G19" i="15"/>
  <c r="V38" i="6"/>
  <c r="AD38" i="6"/>
  <c r="AD37" i="6" s="1"/>
  <c r="AD42" i="7" s="1"/>
  <c r="D39" i="6"/>
  <c r="D44" i="7" s="1"/>
  <c r="D45" i="7" s="1"/>
  <c r="W38" i="6"/>
  <c r="M35" i="6"/>
  <c r="Q41" i="7"/>
  <c r="Q19" i="15"/>
  <c r="Q37" i="6"/>
  <c r="J37" i="6"/>
  <c r="B7" i="7"/>
  <c r="B5" i="7"/>
  <c r="B15" i="7"/>
  <c r="C30" i="5"/>
  <c r="C35" i="7" s="1"/>
  <c r="C36" i="7" s="1"/>
  <c r="B6" i="18" l="1"/>
  <c r="E20" i="6"/>
  <c r="D32" i="6"/>
  <c r="D12" i="16" s="1"/>
  <c r="T32" i="7"/>
  <c r="T7" i="15"/>
  <c r="T7" i="16"/>
  <c r="B5" i="10"/>
  <c r="B16" i="15" s="1"/>
  <c r="B16" i="18" s="1"/>
  <c r="D20" i="17"/>
  <c r="E19" i="17"/>
  <c r="AD4" i="10"/>
  <c r="AC4" i="10"/>
  <c r="Q7" i="15"/>
  <c r="Q32" i="7"/>
  <c r="Q29" i="5"/>
  <c r="Q28" i="5" s="1"/>
  <c r="B22" i="4"/>
  <c r="B26" i="7" s="1"/>
  <c r="B24" i="7" s="1"/>
  <c r="X17" i="5"/>
  <c r="X20" i="5" s="1"/>
  <c r="X29" i="5" s="1"/>
  <c r="I22" i="4"/>
  <c r="I26" i="7" s="1"/>
  <c r="I27" i="7" s="1"/>
  <c r="AB21" i="4"/>
  <c r="AB25" i="7" s="1"/>
  <c r="AB18" i="4"/>
  <c r="I9" i="16"/>
  <c r="AB8" i="15"/>
  <c r="B39" i="6"/>
  <c r="B44" i="7" s="1"/>
  <c r="B45" i="7" s="1"/>
  <c r="B5" i="9"/>
  <c r="B6" i="9" s="1"/>
  <c r="B7" i="9" s="1"/>
  <c r="B8" i="9" s="1"/>
  <c r="P29" i="5"/>
  <c r="P28" i="5" s="1"/>
  <c r="P7" i="15"/>
  <c r="N17" i="5"/>
  <c r="P32" i="7"/>
  <c r="L22" i="4"/>
  <c r="L26" i="7" s="1"/>
  <c r="L27" i="7" s="1"/>
  <c r="J22" i="4"/>
  <c r="J26" i="7" s="1"/>
  <c r="J27" i="7" s="1"/>
  <c r="E20" i="4"/>
  <c r="E24" i="7" s="1"/>
  <c r="E25" i="7"/>
  <c r="M25" i="7"/>
  <c r="M20" i="4"/>
  <c r="M24" i="7" s="1"/>
  <c r="H20" i="4"/>
  <c r="H24" i="7" s="1"/>
  <c r="M9" i="16"/>
  <c r="S32" i="7"/>
  <c r="J9" i="16"/>
  <c r="H9" i="16"/>
  <c r="S7" i="15"/>
  <c r="AB10" i="5"/>
  <c r="AB11" i="5" s="1"/>
  <c r="AC4" i="5"/>
  <c r="AB14" i="5"/>
  <c r="AB15" i="5" s="1"/>
  <c r="AB5" i="5"/>
  <c r="AB7" i="5" s="1"/>
  <c r="W29" i="5"/>
  <c r="W28" i="5" s="1"/>
  <c r="W32" i="7"/>
  <c r="W7" i="15"/>
  <c r="W7" i="16"/>
  <c r="O17" i="5"/>
  <c r="L29" i="5"/>
  <c r="Y10" i="5"/>
  <c r="Y14" i="5"/>
  <c r="Y15" i="5" s="1"/>
  <c r="AA15" i="5" s="1"/>
  <c r="Y5" i="5"/>
  <c r="AA14" i="5"/>
  <c r="S28" i="5"/>
  <c r="S33" i="7" s="1"/>
  <c r="L32" i="7"/>
  <c r="L7" i="16"/>
  <c r="L9" i="16" s="1"/>
  <c r="L7" i="15"/>
  <c r="Z14" i="5"/>
  <c r="Z15" i="5" s="1"/>
  <c r="Z10" i="5"/>
  <c r="Z11" i="5" s="1"/>
  <c r="Z5" i="5"/>
  <c r="Z7" i="5" s="1"/>
  <c r="N8" i="16"/>
  <c r="AD13" i="4"/>
  <c r="AD15" i="4" s="1"/>
  <c r="AC15" i="4"/>
  <c r="AC21" i="4" s="1"/>
  <c r="D8" i="18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AA13" i="3"/>
  <c r="AB12" i="3"/>
  <c r="B9" i="17"/>
  <c r="C9" i="17" s="1"/>
  <c r="D9" i="17" s="1"/>
  <c r="D23" i="18"/>
  <c r="C25" i="18"/>
  <c r="I29" i="6"/>
  <c r="Q43" i="7"/>
  <c r="J43" i="7"/>
  <c r="Z43" i="7"/>
  <c r="G42" i="7"/>
  <c r="G30" i="6"/>
  <c r="J42" i="7"/>
  <c r="E30" i="6"/>
  <c r="X42" i="7"/>
  <c r="F37" i="6"/>
  <c r="F42" i="7" s="1"/>
  <c r="S43" i="7"/>
  <c r="J29" i="6"/>
  <c r="K29" i="6" s="1"/>
  <c r="L29" i="6" s="1"/>
  <c r="M29" i="6" s="1"/>
  <c r="N29" i="6" s="1"/>
  <c r="E21" i="6"/>
  <c r="F20" i="6"/>
  <c r="Y42" i="7"/>
  <c r="S42" i="7"/>
  <c r="Y43" i="7"/>
  <c r="T37" i="6"/>
  <c r="T42" i="7" s="1"/>
  <c r="T45" i="7"/>
  <c r="T43" i="7"/>
  <c r="U42" i="7"/>
  <c r="U43" i="7"/>
  <c r="F23" i="6"/>
  <c r="F24" i="6" s="1"/>
  <c r="H42" i="7"/>
  <c r="C39" i="6"/>
  <c r="C44" i="7" s="1"/>
  <c r="C45" i="7" s="1"/>
  <c r="I28" i="6"/>
  <c r="I30" i="6" s="1"/>
  <c r="H43" i="7"/>
  <c r="F43" i="7"/>
  <c r="F45" i="7"/>
  <c r="M30" i="5"/>
  <c r="M35" i="7" s="1"/>
  <c r="M36" i="7" s="1"/>
  <c r="H30" i="5"/>
  <c r="H35" i="7" s="1"/>
  <c r="H36" i="7" s="1"/>
  <c r="F30" i="5"/>
  <c r="F35" i="7" s="1"/>
  <c r="F36" i="7" s="1"/>
  <c r="J30" i="5"/>
  <c r="J35" i="7" s="1"/>
  <c r="J36" i="7" s="1"/>
  <c r="J28" i="5"/>
  <c r="C33" i="7"/>
  <c r="F28" i="5"/>
  <c r="F33" i="7" s="1"/>
  <c r="U32" i="7"/>
  <c r="U7" i="15"/>
  <c r="U7" i="16"/>
  <c r="S34" i="7"/>
  <c r="U29" i="5"/>
  <c r="C34" i="7"/>
  <c r="I28" i="5"/>
  <c r="I33" i="7" s="1"/>
  <c r="B34" i="7"/>
  <c r="C7" i="18"/>
  <c r="B28" i="5"/>
  <c r="B33" i="7" s="1"/>
  <c r="B37" i="7" s="1"/>
  <c r="B38" i="7" s="1"/>
  <c r="T33" i="7"/>
  <c r="T34" i="7"/>
  <c r="I34" i="7"/>
  <c r="I36" i="7"/>
  <c r="G34" i="7"/>
  <c r="G33" i="7"/>
  <c r="E7" i="15"/>
  <c r="E32" i="7"/>
  <c r="E7" i="16"/>
  <c r="E9" i="16" s="1"/>
  <c r="E29" i="5"/>
  <c r="H25" i="7"/>
  <c r="L24" i="7"/>
  <c r="M47" i="13"/>
  <c r="B10" i="16"/>
  <c r="I39" i="6"/>
  <c r="I44" i="7" s="1"/>
  <c r="I45" i="7" s="1"/>
  <c r="G24" i="18"/>
  <c r="K30" i="5"/>
  <c r="K35" i="7" s="1"/>
  <c r="K36" i="7" s="1"/>
  <c r="H30" i="6"/>
  <c r="B19" i="7"/>
  <c r="L43" i="7"/>
  <c r="R7" i="15"/>
  <c r="R7" i="16"/>
  <c r="R32" i="7"/>
  <c r="N41" i="7"/>
  <c r="N19" i="15"/>
  <c r="G62" i="13" s="1"/>
  <c r="D27" i="18"/>
  <c r="C29" i="18"/>
  <c r="I37" i="6"/>
  <c r="Q42" i="7"/>
  <c r="D28" i="5"/>
  <c r="D7" i="15"/>
  <c r="D32" i="7"/>
  <c r="D7" i="16"/>
  <c r="D9" i="16" s="1"/>
  <c r="B10" i="17"/>
  <c r="C10" i="17" s="1"/>
  <c r="D10" i="17" s="1"/>
  <c r="B12" i="16"/>
  <c r="E39" i="6"/>
  <c r="E44" i="7" s="1"/>
  <c r="E45" i="7" s="1"/>
  <c r="B8" i="7"/>
  <c r="K43" i="7"/>
  <c r="C9" i="16"/>
  <c r="G43" i="7"/>
  <c r="AD43" i="7"/>
  <c r="AD39" i="6"/>
  <c r="AD44" i="7" s="1"/>
  <c r="P39" i="6"/>
  <c r="P44" i="7" s="1"/>
  <c r="P45" i="7" s="1"/>
  <c r="P43" i="7"/>
  <c r="V30" i="5"/>
  <c r="V35" i="7" s="1"/>
  <c r="V36" i="7" s="1"/>
  <c r="D30" i="5"/>
  <c r="D35" i="7" s="1"/>
  <c r="D36" i="7" s="1"/>
  <c r="W39" i="6"/>
  <c r="W44" i="7" s="1"/>
  <c r="W45" i="7" s="1"/>
  <c r="V39" i="6"/>
  <c r="V44" i="7" s="1"/>
  <c r="V45" i="7" s="1"/>
  <c r="AB47" i="7"/>
  <c r="N23" i="7"/>
  <c r="N8" i="15"/>
  <c r="J27" i="6"/>
  <c r="K27" i="6" s="1"/>
  <c r="V28" i="5"/>
  <c r="V32" i="7"/>
  <c r="V7" i="16"/>
  <c r="V7" i="15"/>
  <c r="E22" i="17"/>
  <c r="B6" i="17"/>
  <c r="W37" i="6"/>
  <c r="D43" i="7"/>
  <c r="M39" i="6"/>
  <c r="M44" i="7" s="1"/>
  <c r="M45" i="7" s="1"/>
  <c r="K62" i="13"/>
  <c r="V37" i="6"/>
  <c r="D22" i="4"/>
  <c r="D26" i="7" s="1"/>
  <c r="D27" i="7" s="1"/>
  <c r="J62" i="13"/>
  <c r="R29" i="5"/>
  <c r="R28" i="5" s="1"/>
  <c r="L42" i="7"/>
  <c r="D19" i="18"/>
  <c r="E19" i="18" s="1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Q19" i="18" s="1"/>
  <c r="R19" i="18" s="1"/>
  <c r="S19" i="18" s="1"/>
  <c r="T19" i="18" s="1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AA19" i="15"/>
  <c r="H62" i="13" s="1"/>
  <c r="AA41" i="7"/>
  <c r="O39" i="6"/>
  <c r="O44" i="7" s="1"/>
  <c r="O45" i="7" s="1"/>
  <c r="O43" i="7"/>
  <c r="D20" i="4"/>
  <c r="AC43" i="7"/>
  <c r="AC39" i="6"/>
  <c r="AC44" i="7" s="1"/>
  <c r="AC16" i="17"/>
  <c r="D31" i="19"/>
  <c r="C12" i="16"/>
  <c r="D42" i="7"/>
  <c r="P37" i="6"/>
  <c r="R39" i="6"/>
  <c r="R44" i="7" s="1"/>
  <c r="R45" i="7" s="1"/>
  <c r="Z42" i="7"/>
  <c r="M26" i="6"/>
  <c r="G1" i="15"/>
  <c r="Q38" i="13"/>
  <c r="K28" i="5"/>
  <c r="N20" i="5"/>
  <c r="B43" i="7" l="1"/>
  <c r="P30" i="5"/>
  <c r="P35" i="7" s="1"/>
  <c r="P33" i="7" s="1"/>
  <c r="U46" i="7"/>
  <c r="B27" i="7"/>
  <c r="F28" i="7" s="1"/>
  <c r="F19" i="17"/>
  <c r="E20" i="17"/>
  <c r="B25" i="7"/>
  <c r="Q30" i="5"/>
  <c r="Q35" i="7" s="1"/>
  <c r="Q33" i="7" s="1"/>
  <c r="J25" i="7"/>
  <c r="I24" i="7"/>
  <c r="I25" i="7"/>
  <c r="AB20" i="4"/>
  <c r="AB24" i="7" s="1"/>
  <c r="AB22" i="4"/>
  <c r="AB26" i="7" s="1"/>
  <c r="AB29" i="7" s="1"/>
  <c r="L25" i="7"/>
  <c r="G23" i="6"/>
  <c r="G24" i="6" s="1"/>
  <c r="B42" i="7"/>
  <c r="J24" i="7"/>
  <c r="AB17" i="5"/>
  <c r="AB20" i="5" s="1"/>
  <c r="Y11" i="5"/>
  <c r="AA11" i="5" s="1"/>
  <c r="AA10" i="5"/>
  <c r="Z17" i="5"/>
  <c r="Z20" i="5" s="1"/>
  <c r="Y7" i="5"/>
  <c r="AA5" i="5"/>
  <c r="L28" i="5"/>
  <c r="L30" i="5"/>
  <c r="L35" i="7" s="1"/>
  <c r="W30" i="5"/>
  <c r="W35" i="7" s="1"/>
  <c r="W36" i="7" s="1"/>
  <c r="AC14" i="5"/>
  <c r="AC15" i="5" s="1"/>
  <c r="AD4" i="5"/>
  <c r="AC10" i="5"/>
  <c r="AC11" i="5" s="1"/>
  <c r="AC5" i="5"/>
  <c r="AC7" i="5" s="1"/>
  <c r="O20" i="5"/>
  <c r="X30" i="5"/>
  <c r="X35" i="7" s="1"/>
  <c r="X36" i="7" s="1"/>
  <c r="X7" i="16"/>
  <c r="X28" i="5"/>
  <c r="X32" i="7"/>
  <c r="X7" i="15"/>
  <c r="M33" i="7"/>
  <c r="Q34" i="7"/>
  <c r="C37" i="7"/>
  <c r="C38" i="7" s="1"/>
  <c r="M34" i="7"/>
  <c r="C33" i="18"/>
  <c r="AC20" i="4"/>
  <c r="AC24" i="7" s="1"/>
  <c r="AC22" i="4"/>
  <c r="AC26" i="7" s="1"/>
  <c r="AC25" i="7"/>
  <c r="AD18" i="4"/>
  <c r="AD23" i="7"/>
  <c r="AD8" i="15"/>
  <c r="AD8" i="16"/>
  <c r="AC23" i="7"/>
  <c r="AC8" i="16"/>
  <c r="AC8" i="15"/>
  <c r="AC18" i="4"/>
  <c r="AD21" i="4"/>
  <c r="H34" i="7"/>
  <c r="H33" i="7"/>
  <c r="AC12" i="3"/>
  <c r="AB13" i="3"/>
  <c r="B11" i="17"/>
  <c r="E23" i="18"/>
  <c r="D25" i="18"/>
  <c r="I42" i="7"/>
  <c r="W43" i="7"/>
  <c r="E32" i="6"/>
  <c r="E12" i="16" s="1"/>
  <c r="W42" i="7"/>
  <c r="W46" i="7" s="1"/>
  <c r="V43" i="7"/>
  <c r="M42" i="7"/>
  <c r="M46" i="7" s="1"/>
  <c r="J28" i="6"/>
  <c r="G46" i="7"/>
  <c r="E42" i="7"/>
  <c r="E46" i="7" s="1"/>
  <c r="V42" i="7"/>
  <c r="E43" i="7"/>
  <c r="F46" i="7" s="1"/>
  <c r="F21" i="6"/>
  <c r="F32" i="6" s="1"/>
  <c r="F12" i="16" s="1"/>
  <c r="G20" i="6"/>
  <c r="Z46" i="7"/>
  <c r="Y46" i="7"/>
  <c r="I46" i="7"/>
  <c r="AC47" i="7"/>
  <c r="J30" i="6"/>
  <c r="X46" i="7"/>
  <c r="C11" i="17"/>
  <c r="O42" i="7"/>
  <c r="K28" i="6"/>
  <c r="K30" i="6" s="1"/>
  <c r="C42" i="7"/>
  <c r="C46" i="7" s="1"/>
  <c r="R43" i="7"/>
  <c r="S46" i="7" s="1"/>
  <c r="AD47" i="7"/>
  <c r="C43" i="7"/>
  <c r="D46" i="7" s="1"/>
  <c r="P34" i="7"/>
  <c r="F34" i="7"/>
  <c r="J33" i="7"/>
  <c r="J34" i="7"/>
  <c r="U30" i="5"/>
  <c r="U35" i="7" s="1"/>
  <c r="U36" i="7" s="1"/>
  <c r="U28" i="5"/>
  <c r="D7" i="18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V33" i="7"/>
  <c r="K34" i="7"/>
  <c r="K33" i="7"/>
  <c r="E28" i="5"/>
  <c r="E30" i="5"/>
  <c r="E35" i="7" s="1"/>
  <c r="E36" i="7" s="1"/>
  <c r="N7" i="16"/>
  <c r="B28" i="7"/>
  <c r="B29" i="7" s="1"/>
  <c r="D24" i="7"/>
  <c r="D28" i="7" s="1"/>
  <c r="D25" i="7"/>
  <c r="O29" i="6"/>
  <c r="P29" i="6" s="1"/>
  <c r="Q29" i="6" s="1"/>
  <c r="E31" i="19"/>
  <c r="AD16" i="17"/>
  <c r="F31" i="19" s="1"/>
  <c r="AA43" i="7"/>
  <c r="AA44" i="7" s="1"/>
  <c r="L46" i="7"/>
  <c r="N26" i="6"/>
  <c r="D34" i="7"/>
  <c r="N9" i="16"/>
  <c r="D29" i="18"/>
  <c r="E27" i="18"/>
  <c r="B20" i="7"/>
  <c r="T46" i="7"/>
  <c r="N32" i="7"/>
  <c r="N7" i="15"/>
  <c r="K46" i="7"/>
  <c r="P42" i="7"/>
  <c r="P46" i="7" s="1"/>
  <c r="R30" i="5"/>
  <c r="R35" i="7" s="1"/>
  <c r="R36" i="7" s="1"/>
  <c r="V46" i="7"/>
  <c r="M43" i="7"/>
  <c r="F22" i="17"/>
  <c r="V34" i="7"/>
  <c r="H24" i="18"/>
  <c r="I43" i="7"/>
  <c r="J46" i="7" s="1"/>
  <c r="R38" i="13"/>
  <c r="H1" i="15"/>
  <c r="AC46" i="7"/>
  <c r="L27" i="6"/>
  <c r="B9" i="7"/>
  <c r="B14" i="9"/>
  <c r="Q46" i="7"/>
  <c r="D11" i="17"/>
  <c r="H46" i="7"/>
  <c r="R42" i="7"/>
  <c r="R46" i="7" s="1"/>
  <c r="B46" i="7"/>
  <c r="E9" i="17"/>
  <c r="D33" i="7"/>
  <c r="Q36" i="7" l="1"/>
  <c r="P36" i="7"/>
  <c r="G28" i="7"/>
  <c r="L28" i="7"/>
  <c r="M28" i="7"/>
  <c r="C28" i="7"/>
  <c r="H28" i="7"/>
  <c r="I28" i="7"/>
  <c r="K28" i="7"/>
  <c r="J28" i="7"/>
  <c r="F20" i="17"/>
  <c r="G19" i="17"/>
  <c r="N25" i="7"/>
  <c r="N26" i="7" s="1"/>
  <c r="H23" i="6"/>
  <c r="H24" i="6" s="1"/>
  <c r="E10" i="17"/>
  <c r="F10" i="17" s="1"/>
  <c r="Y17" i="5"/>
  <c r="AA17" i="5" s="1"/>
  <c r="AC29" i="7"/>
  <c r="AC28" i="7" s="1"/>
  <c r="C29" i="7"/>
  <c r="D29" i="7" s="1"/>
  <c r="X33" i="7"/>
  <c r="X34" i="7"/>
  <c r="Z7" i="15"/>
  <c r="Z32" i="7"/>
  <c r="Z7" i="16"/>
  <c r="AA7" i="5"/>
  <c r="W33" i="7"/>
  <c r="O29" i="5"/>
  <c r="O28" i="5" s="1"/>
  <c r="O32" i="7"/>
  <c r="O7" i="16"/>
  <c r="O7" i="15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AD14" i="5"/>
  <c r="AD15" i="5" s="1"/>
  <c r="AD10" i="5"/>
  <c r="AD11" i="5" s="1"/>
  <c r="AD5" i="5"/>
  <c r="AD7" i="5" s="1"/>
  <c r="L36" i="7"/>
  <c r="L34" i="7"/>
  <c r="AC17" i="5"/>
  <c r="AC20" i="5" s="1"/>
  <c r="L33" i="7"/>
  <c r="AB32" i="7"/>
  <c r="AB7" i="15"/>
  <c r="AB7" i="16"/>
  <c r="AB9" i="16" s="1"/>
  <c r="AB29" i="5"/>
  <c r="AB28" i="5" s="1"/>
  <c r="AB33" i="7" s="1"/>
  <c r="W34" i="7"/>
  <c r="Z29" i="5"/>
  <c r="D33" i="18"/>
  <c r="AD20" i="4"/>
  <c r="AD24" i="7" s="1"/>
  <c r="AD25" i="7"/>
  <c r="AD22" i="4"/>
  <c r="AD26" i="7" s="1"/>
  <c r="AD12" i="3"/>
  <c r="AD13" i="3" s="1"/>
  <c r="AC13" i="3"/>
  <c r="F23" i="18"/>
  <c r="E25" i="18"/>
  <c r="O46" i="7"/>
  <c r="AA46" i="7" s="1"/>
  <c r="N42" i="7"/>
  <c r="H20" i="6"/>
  <c r="I20" i="6" s="1"/>
  <c r="G21" i="6"/>
  <c r="G32" i="6" s="1"/>
  <c r="G12" i="16" s="1"/>
  <c r="I23" i="6"/>
  <c r="N43" i="7"/>
  <c r="N44" i="7" s="1"/>
  <c r="AD46" i="7"/>
  <c r="L28" i="6"/>
  <c r="M28" i="6" s="1"/>
  <c r="N28" i="6" s="1"/>
  <c r="J37" i="7"/>
  <c r="U33" i="7"/>
  <c r="E34" i="7"/>
  <c r="U34" i="7"/>
  <c r="I37" i="7"/>
  <c r="H37" i="7"/>
  <c r="G37" i="7"/>
  <c r="K37" i="7"/>
  <c r="E33" i="7"/>
  <c r="E37" i="7" s="1"/>
  <c r="E28" i="7"/>
  <c r="N24" i="7"/>
  <c r="B20" i="9"/>
  <c r="B17" i="9"/>
  <c r="I24" i="18"/>
  <c r="F9" i="17"/>
  <c r="B13" i="15"/>
  <c r="B11" i="7"/>
  <c r="G22" i="17"/>
  <c r="O26" i="6"/>
  <c r="P26" i="6" s="1"/>
  <c r="D37" i="7"/>
  <c r="S38" i="13"/>
  <c r="I1" i="15"/>
  <c r="B47" i="7"/>
  <c r="C47" i="7" s="1"/>
  <c r="D47" i="7" s="1"/>
  <c r="E47" i="7" s="1"/>
  <c r="F47" i="7" s="1"/>
  <c r="G47" i="7" s="1"/>
  <c r="H47" i="7" s="1"/>
  <c r="I47" i="7" s="1"/>
  <c r="J47" i="7" s="1"/>
  <c r="K47" i="7" s="1"/>
  <c r="L47" i="7" s="1"/>
  <c r="M47" i="7" s="1"/>
  <c r="N47" i="7" s="1"/>
  <c r="N46" i="7"/>
  <c r="AA42" i="7"/>
  <c r="R34" i="7"/>
  <c r="E29" i="18"/>
  <c r="F27" i="18"/>
  <c r="R33" i="7"/>
  <c r="M27" i="6"/>
  <c r="R29" i="6"/>
  <c r="H19" i="17" l="1"/>
  <c r="G20" i="17"/>
  <c r="Y20" i="5"/>
  <c r="Y32" i="7" s="1"/>
  <c r="E11" i="17"/>
  <c r="O47" i="7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AB46" i="7" s="1"/>
  <c r="E29" i="7"/>
  <c r="F29" i="7" s="1"/>
  <c r="G29" i="7" s="1"/>
  <c r="H29" i="7" s="1"/>
  <c r="I29" i="7" s="1"/>
  <c r="J29" i="7" s="1"/>
  <c r="K29" i="7" s="1"/>
  <c r="L29" i="7" s="1"/>
  <c r="M29" i="7" s="1"/>
  <c r="N29" i="7" s="1"/>
  <c r="AD17" i="5"/>
  <c r="AD20" i="5" s="1"/>
  <c r="AD7" i="15" s="1"/>
  <c r="L37" i="7"/>
  <c r="N34" i="7"/>
  <c r="N35" i="7" s="1"/>
  <c r="AC29" i="5"/>
  <c r="AC34" i="7" s="1"/>
  <c r="M37" i="7"/>
  <c r="AC7" i="16"/>
  <c r="AC9" i="16" s="1"/>
  <c r="AC32" i="7"/>
  <c r="AC7" i="15"/>
  <c r="AB30" i="5"/>
  <c r="AB35" i="7" s="1"/>
  <c r="AB34" i="7"/>
  <c r="O30" i="5"/>
  <c r="O35" i="7" s="1"/>
  <c r="O36" i="7" s="1"/>
  <c r="S37" i="7" s="1"/>
  <c r="Z28" i="5"/>
  <c r="Z30" i="5"/>
  <c r="Z35" i="7" s="1"/>
  <c r="Y7" i="15"/>
  <c r="Y7" i="18" s="1"/>
  <c r="Z7" i="18" s="1"/>
  <c r="AA7" i="18" s="1"/>
  <c r="AB7" i="18" s="1"/>
  <c r="Y7" i="16"/>
  <c r="E33" i="18"/>
  <c r="N28" i="7"/>
  <c r="AD29" i="7"/>
  <c r="AD28" i="7" s="1"/>
  <c r="F37" i="7"/>
  <c r="G23" i="18"/>
  <c r="F25" i="18"/>
  <c r="G10" i="17"/>
  <c r="I21" i="6"/>
  <c r="J20" i="6"/>
  <c r="H21" i="6"/>
  <c r="H32" i="6" s="1"/>
  <c r="H12" i="16" s="1"/>
  <c r="O28" i="6"/>
  <c r="P28" i="6" s="1"/>
  <c r="M30" i="6"/>
  <c r="I24" i="6"/>
  <c r="J23" i="6"/>
  <c r="L30" i="6"/>
  <c r="N33" i="7"/>
  <c r="G27" i="18"/>
  <c r="F29" i="18"/>
  <c r="J1" i="15"/>
  <c r="T38" i="13"/>
  <c r="Q26" i="6"/>
  <c r="N27" i="6"/>
  <c r="B4" i="17"/>
  <c r="B13" i="18"/>
  <c r="H22" i="17"/>
  <c r="S29" i="6"/>
  <c r="D38" i="7"/>
  <c r="E38" i="7" s="1"/>
  <c r="B50" i="7"/>
  <c r="B14" i="15" s="1"/>
  <c r="J24" i="18"/>
  <c r="B9" i="15"/>
  <c r="B16" i="16"/>
  <c r="F11" i="17"/>
  <c r="G9" i="17"/>
  <c r="B16" i="9"/>
  <c r="AD32" i="7" l="1"/>
  <c r="AD29" i="5"/>
  <c r="AD28" i="5" s="1"/>
  <c r="AD33" i="7" s="1"/>
  <c r="H20" i="17"/>
  <c r="I19" i="17"/>
  <c r="AD7" i="16"/>
  <c r="AD9" i="16" s="1"/>
  <c r="X37" i="7"/>
  <c r="O34" i="7"/>
  <c r="P37" i="7" s="1"/>
  <c r="Y29" i="5"/>
  <c r="AA20" i="5"/>
  <c r="F33" i="18"/>
  <c r="AC28" i="5"/>
  <c r="AC33" i="7" s="1"/>
  <c r="N37" i="7"/>
  <c r="AC30" i="5"/>
  <c r="AC35" i="7" s="1"/>
  <c r="AC38" i="7" s="1"/>
  <c r="F38" i="7"/>
  <c r="G38" i="7" s="1"/>
  <c r="H38" i="7" s="1"/>
  <c r="I38" i="7" s="1"/>
  <c r="J38" i="7" s="1"/>
  <c r="K38" i="7" s="1"/>
  <c r="L38" i="7" s="1"/>
  <c r="M38" i="7" s="1"/>
  <c r="N38" i="7" s="1"/>
  <c r="AC7" i="18"/>
  <c r="AD7" i="18" s="1"/>
  <c r="U37" i="7"/>
  <c r="Z33" i="7"/>
  <c r="O33" i="7"/>
  <c r="T37" i="7"/>
  <c r="AA7" i="16"/>
  <c r="Z36" i="7"/>
  <c r="Z34" i="7"/>
  <c r="R37" i="7"/>
  <c r="Q37" i="7"/>
  <c r="AB38" i="7"/>
  <c r="V37" i="7"/>
  <c r="W37" i="7"/>
  <c r="H23" i="18"/>
  <c r="G25" i="18"/>
  <c r="I32" i="6"/>
  <c r="I12" i="16" s="1"/>
  <c r="K20" i="6"/>
  <c r="K21" i="6" s="1"/>
  <c r="J21" i="6"/>
  <c r="H10" i="17"/>
  <c r="J24" i="6"/>
  <c r="K23" i="6"/>
  <c r="Q28" i="6"/>
  <c r="R28" i="6" s="1"/>
  <c r="S28" i="6" s="1"/>
  <c r="N30" i="6"/>
  <c r="R26" i="6"/>
  <c r="S26" i="6" s="1"/>
  <c r="B15" i="15"/>
  <c r="B15" i="9"/>
  <c r="H27" i="18"/>
  <c r="G29" i="18"/>
  <c r="T29" i="6"/>
  <c r="B14" i="18"/>
  <c r="B15" i="17"/>
  <c r="B17" i="17" s="1"/>
  <c r="U38" i="13"/>
  <c r="K1" i="15"/>
  <c r="B9" i="18"/>
  <c r="B11" i="15"/>
  <c r="I22" i="17"/>
  <c r="O27" i="6"/>
  <c r="P27" i="6" s="1"/>
  <c r="P30" i="6" s="1"/>
  <c r="G11" i="17"/>
  <c r="H9" i="17"/>
  <c r="K24" i="18"/>
  <c r="B17" i="16"/>
  <c r="AD34" i="7" l="1"/>
  <c r="AD38" i="7" s="1"/>
  <c r="AD37" i="7" s="1"/>
  <c r="AD30" i="5"/>
  <c r="AD35" i="7" s="1"/>
  <c r="J19" i="17"/>
  <c r="I20" i="17"/>
  <c r="Y30" i="5"/>
  <c r="Y35" i="7" s="1"/>
  <c r="Y28" i="5"/>
  <c r="Y33" i="7" s="1"/>
  <c r="AA32" i="7"/>
  <c r="AA7" i="15"/>
  <c r="AC37" i="7"/>
  <c r="O37" i="7"/>
  <c r="I10" i="17"/>
  <c r="G33" i="18"/>
  <c r="I23" i="18"/>
  <c r="H25" i="18"/>
  <c r="J32" i="6"/>
  <c r="J12" i="16" s="1"/>
  <c r="L20" i="6"/>
  <c r="L21" i="6" s="1"/>
  <c r="K24" i="6"/>
  <c r="K32" i="6" s="1"/>
  <c r="L23" i="6"/>
  <c r="T26" i="6"/>
  <c r="U26" i="6" s="1"/>
  <c r="H29" i="18"/>
  <c r="I27" i="18"/>
  <c r="B15" i="18"/>
  <c r="B17" i="18" s="1"/>
  <c r="B5" i="17"/>
  <c r="B17" i="15"/>
  <c r="B21" i="15" s="1"/>
  <c r="B35" i="15" s="1"/>
  <c r="J22" i="17"/>
  <c r="B23" i="17"/>
  <c r="M41" i="13"/>
  <c r="C19" i="16"/>
  <c r="B11" i="18"/>
  <c r="L24" i="18"/>
  <c r="H11" i="17"/>
  <c r="I9" i="17"/>
  <c r="U29" i="6"/>
  <c r="T28" i="6"/>
  <c r="U28" i="6" s="1"/>
  <c r="Q27" i="6"/>
  <c r="O30" i="6"/>
  <c r="V38" i="13"/>
  <c r="L1" i="15"/>
  <c r="J20" i="17" l="1"/>
  <c r="K19" i="17"/>
  <c r="AA33" i="7"/>
  <c r="Y36" i="7"/>
  <c r="Y34" i="7"/>
  <c r="AA34" i="7" s="1"/>
  <c r="AA35" i="7" s="1"/>
  <c r="O38" i="7"/>
  <c r="P38" i="7" s="1"/>
  <c r="Q38" i="7" s="1"/>
  <c r="R38" i="7" s="1"/>
  <c r="S38" i="7" s="1"/>
  <c r="T38" i="7" s="1"/>
  <c r="U38" i="7" s="1"/>
  <c r="V38" i="7" s="1"/>
  <c r="W38" i="7" s="1"/>
  <c r="X38" i="7" s="1"/>
  <c r="J10" i="17"/>
  <c r="K10" i="17" s="1"/>
  <c r="H33" i="18"/>
  <c r="J23" i="18"/>
  <c r="I25" i="18"/>
  <c r="M20" i="6"/>
  <c r="M21" i="6" s="1"/>
  <c r="N21" i="6" s="1"/>
  <c r="L24" i="6"/>
  <c r="L32" i="6" s="1"/>
  <c r="M23" i="6"/>
  <c r="M24" i="6" s="1"/>
  <c r="K12" i="16"/>
  <c r="B21" i="18"/>
  <c r="B35" i="18" s="1"/>
  <c r="B36" i="15"/>
  <c r="B40" i="15"/>
  <c r="M42" i="13"/>
  <c r="M43" i="13" s="1"/>
  <c r="M45" i="13"/>
  <c r="M46" i="13" s="1"/>
  <c r="I11" i="17"/>
  <c r="J9" i="17"/>
  <c r="M1" i="15"/>
  <c r="W38" i="13"/>
  <c r="R27" i="6"/>
  <c r="K22" i="17"/>
  <c r="V26" i="6"/>
  <c r="I29" i="18"/>
  <c r="J27" i="18"/>
  <c r="V29" i="6"/>
  <c r="M24" i="18"/>
  <c r="Q30" i="6"/>
  <c r="V28" i="6"/>
  <c r="W28" i="6" s="1"/>
  <c r="B24" i="17"/>
  <c r="B25" i="17" s="1"/>
  <c r="N20" i="6" l="1"/>
  <c r="O20" i="6" s="1"/>
  <c r="P20" i="6" s="1"/>
  <c r="P21" i="6" s="1"/>
  <c r="K20" i="17"/>
  <c r="L19" i="17"/>
  <c r="Z37" i="7"/>
  <c r="Y37" i="7"/>
  <c r="K23" i="18"/>
  <c r="J25" i="18"/>
  <c r="I33" i="18"/>
  <c r="O21" i="6"/>
  <c r="N24" i="6"/>
  <c r="M32" i="6"/>
  <c r="N23" i="6"/>
  <c r="L12" i="16"/>
  <c r="L10" i="17"/>
  <c r="X28" i="6"/>
  <c r="Y28" i="6" s="1"/>
  <c r="Z28" i="6" s="1"/>
  <c r="AA28" i="6" s="1"/>
  <c r="N24" i="18"/>
  <c r="O1" i="15"/>
  <c r="X38" i="13"/>
  <c r="N1" i="15"/>
  <c r="G38" i="13" s="1"/>
  <c r="B41" i="15"/>
  <c r="M44" i="13"/>
  <c r="L22" i="17"/>
  <c r="S27" i="6"/>
  <c r="B3" i="17"/>
  <c r="B7" i="17" s="1"/>
  <c r="B12" i="17" s="1"/>
  <c r="B27" i="17" s="1"/>
  <c r="C3" i="15"/>
  <c r="K27" i="18"/>
  <c r="J29" i="18"/>
  <c r="W26" i="6"/>
  <c r="X26" i="6" s="1"/>
  <c r="R30" i="6"/>
  <c r="W29" i="6"/>
  <c r="X29" i="6" s="1"/>
  <c r="Y29" i="6" s="1"/>
  <c r="Z29" i="6" s="1"/>
  <c r="J11" i="17"/>
  <c r="K9" i="17"/>
  <c r="Q20" i="6"/>
  <c r="AA37" i="7" l="1"/>
  <c r="L20" i="17"/>
  <c r="M19" i="17"/>
  <c r="Y38" i="7"/>
  <c r="Z38" i="7" s="1"/>
  <c r="AA38" i="7" s="1"/>
  <c r="AB37" i="7" s="1"/>
  <c r="J33" i="18"/>
  <c r="L23" i="18"/>
  <c r="K25" i="18"/>
  <c r="M10" i="17"/>
  <c r="N10" i="17" s="1"/>
  <c r="O23" i="6"/>
  <c r="P23" i="6" s="1"/>
  <c r="M12" i="16"/>
  <c r="N12" i="16" s="1"/>
  <c r="N32" i="6"/>
  <c r="AA29" i="6"/>
  <c r="AB29" i="6" s="1"/>
  <c r="AC29" i="6" s="1"/>
  <c r="Y38" i="13"/>
  <c r="P1" i="15"/>
  <c r="Y26" i="6"/>
  <c r="Q21" i="6"/>
  <c r="K29" i="18"/>
  <c r="L27" i="18"/>
  <c r="M22" i="17"/>
  <c r="AB28" i="6"/>
  <c r="AC28" i="6" s="1"/>
  <c r="AD28" i="6" s="1"/>
  <c r="S30" i="6"/>
  <c r="K11" i="17"/>
  <c r="L9" i="17"/>
  <c r="R20" i="6"/>
  <c r="T27" i="6"/>
  <c r="T30" i="6" s="1"/>
  <c r="O24" i="18"/>
  <c r="N19" i="17" l="1"/>
  <c r="M20" i="17"/>
  <c r="K33" i="18"/>
  <c r="M23" i="18"/>
  <c r="L25" i="18"/>
  <c r="P24" i="6"/>
  <c r="P32" i="6" s="1"/>
  <c r="P12" i="16" s="1"/>
  <c r="O24" i="6"/>
  <c r="O32" i="6" s="1"/>
  <c r="Q23" i="6"/>
  <c r="Q24" i="6" s="1"/>
  <c r="Q32" i="6" s="1"/>
  <c r="L11" i="17"/>
  <c r="M9" i="17"/>
  <c r="N22" i="17"/>
  <c r="U27" i="6"/>
  <c r="P24" i="18"/>
  <c r="AD29" i="6"/>
  <c r="R21" i="6"/>
  <c r="S20" i="6"/>
  <c r="M27" i="18"/>
  <c r="L29" i="18"/>
  <c r="Z26" i="6"/>
  <c r="Z38" i="13"/>
  <c r="Q1" i="15"/>
  <c r="N20" i="17" l="1"/>
  <c r="O19" i="17"/>
  <c r="B32" i="19"/>
  <c r="B17" i="19" s="1"/>
  <c r="L33" i="18"/>
  <c r="N23" i="18"/>
  <c r="M25" i="18"/>
  <c r="O12" i="16"/>
  <c r="O10" i="17"/>
  <c r="P10" i="17" s="1"/>
  <c r="Q10" i="17" s="1"/>
  <c r="R23" i="6"/>
  <c r="M11" i="17"/>
  <c r="N9" i="17"/>
  <c r="AA26" i="6"/>
  <c r="M29" i="18"/>
  <c r="N27" i="18"/>
  <c r="Q24" i="18"/>
  <c r="S21" i="6"/>
  <c r="T20" i="6"/>
  <c r="Q12" i="16"/>
  <c r="O22" i="17"/>
  <c r="R1" i="15"/>
  <c r="AA38" i="13"/>
  <c r="U30" i="6"/>
  <c r="V27" i="6"/>
  <c r="P19" i="17" l="1"/>
  <c r="O20" i="17"/>
  <c r="M33" i="18"/>
  <c r="O23" i="18"/>
  <c r="N25" i="18"/>
  <c r="S23" i="6"/>
  <c r="S24" i="6" s="1"/>
  <c r="S32" i="6" s="1"/>
  <c r="R24" i="6"/>
  <c r="R32" i="6" s="1"/>
  <c r="R10" i="17" s="1"/>
  <c r="V30" i="6"/>
  <c r="W27" i="6"/>
  <c r="AB26" i="6"/>
  <c r="N11" i="17"/>
  <c r="O9" i="17"/>
  <c r="S1" i="15"/>
  <c r="AB38" i="13"/>
  <c r="P22" i="17"/>
  <c r="R24" i="18"/>
  <c r="O27" i="18"/>
  <c r="N29" i="18"/>
  <c r="T21" i="6"/>
  <c r="U20" i="6"/>
  <c r="R12" i="16" l="1"/>
  <c r="P20" i="17"/>
  <c r="Q19" i="17"/>
  <c r="N33" i="18"/>
  <c r="P23" i="18"/>
  <c r="O25" i="18"/>
  <c r="T23" i="6"/>
  <c r="T24" i="6" s="1"/>
  <c r="T32" i="6" s="1"/>
  <c r="T12" i="16" s="1"/>
  <c r="P27" i="18"/>
  <c r="O29" i="18"/>
  <c r="W30" i="6"/>
  <c r="X27" i="6"/>
  <c r="S12" i="16"/>
  <c r="S10" i="17"/>
  <c r="Q22" i="17"/>
  <c r="U21" i="6"/>
  <c r="V20" i="6"/>
  <c r="AC38" i="13"/>
  <c r="T1" i="15"/>
  <c r="O11" i="17"/>
  <c r="P9" i="17"/>
  <c r="S24" i="18"/>
  <c r="AC26" i="6"/>
  <c r="Q20" i="17" l="1"/>
  <c r="R19" i="17"/>
  <c r="O33" i="18"/>
  <c r="Q23" i="18"/>
  <c r="P25" i="18"/>
  <c r="U23" i="6"/>
  <c r="U24" i="6" s="1"/>
  <c r="U32" i="6" s="1"/>
  <c r="U12" i="16" s="1"/>
  <c r="T10" i="17"/>
  <c r="T24" i="18"/>
  <c r="AD38" i="13"/>
  <c r="U1" i="15"/>
  <c r="R22" i="17"/>
  <c r="X30" i="6"/>
  <c r="Y27" i="6"/>
  <c r="AD26" i="6"/>
  <c r="P11" i="17"/>
  <c r="Q9" i="17"/>
  <c r="V21" i="6"/>
  <c r="W20" i="6"/>
  <c r="Q27" i="18"/>
  <c r="P29" i="18"/>
  <c r="V23" i="6" l="1"/>
  <c r="V24" i="6" s="1"/>
  <c r="V32" i="6" s="1"/>
  <c r="R20" i="17"/>
  <c r="S19" i="17"/>
  <c r="P33" i="18"/>
  <c r="R23" i="18"/>
  <c r="Q25" i="18"/>
  <c r="U10" i="17"/>
  <c r="W23" i="6"/>
  <c r="W24" i="6" s="1"/>
  <c r="Z27" i="6"/>
  <c r="Y30" i="6"/>
  <c r="Q29" i="18"/>
  <c r="R27" i="18"/>
  <c r="S22" i="17"/>
  <c r="W21" i="6"/>
  <c r="X20" i="6"/>
  <c r="U24" i="18"/>
  <c r="AE38" i="13"/>
  <c r="V1" i="15"/>
  <c r="Q11" i="17"/>
  <c r="R9" i="17"/>
  <c r="S20" i="17" l="1"/>
  <c r="T19" i="17"/>
  <c r="V10" i="17"/>
  <c r="S23" i="18"/>
  <c r="R25" i="18"/>
  <c r="Q33" i="18"/>
  <c r="V12" i="16"/>
  <c r="W32" i="6"/>
  <c r="W10" i="17" s="1"/>
  <c r="X23" i="6"/>
  <c r="Y23" i="6" s="1"/>
  <c r="Y24" i="6" s="1"/>
  <c r="T22" i="17"/>
  <c r="X21" i="6"/>
  <c r="Y20" i="6"/>
  <c r="AA27" i="6"/>
  <c r="Z30" i="6"/>
  <c r="AA30" i="6" s="1"/>
  <c r="R11" i="17"/>
  <c r="S9" i="17"/>
  <c r="V24" i="18"/>
  <c r="AF38" i="13"/>
  <c r="W1" i="15"/>
  <c r="S27" i="18"/>
  <c r="R29" i="18"/>
  <c r="U19" i="17" l="1"/>
  <c r="T20" i="17"/>
  <c r="R33" i="18"/>
  <c r="T23" i="18"/>
  <c r="S25" i="18"/>
  <c r="W12" i="16"/>
  <c r="Z23" i="6"/>
  <c r="Z24" i="6" s="1"/>
  <c r="X24" i="6"/>
  <c r="X32" i="6" s="1"/>
  <c r="W24" i="18"/>
  <c r="U22" i="17"/>
  <c r="AB27" i="6"/>
  <c r="AB30" i="6" s="1"/>
  <c r="X1" i="15"/>
  <c r="AG38" i="13"/>
  <c r="T9" i="17"/>
  <c r="S11" i="17"/>
  <c r="T27" i="18"/>
  <c r="S29" i="18"/>
  <c r="Y21" i="6"/>
  <c r="Y32" i="6" s="1"/>
  <c r="Z20" i="6"/>
  <c r="V19" i="17" l="1"/>
  <c r="U20" i="17"/>
  <c r="S33" i="18"/>
  <c r="U23" i="18"/>
  <c r="T25" i="18"/>
  <c r="X12" i="16"/>
  <c r="X10" i="17"/>
  <c r="Y10" i="17" s="1"/>
  <c r="AA23" i="6"/>
  <c r="AB23" i="6" s="1"/>
  <c r="AC23" i="6" s="1"/>
  <c r="AC24" i="6" s="1"/>
  <c r="AA24" i="6"/>
  <c r="V22" i="17"/>
  <c r="X24" i="18"/>
  <c r="U9" i="17"/>
  <c r="T11" i="17"/>
  <c r="AC27" i="6"/>
  <c r="AC30" i="6" s="1"/>
  <c r="AH38" i="13"/>
  <c r="Y1" i="15"/>
  <c r="Z21" i="6"/>
  <c r="AA20" i="6"/>
  <c r="Y12" i="16"/>
  <c r="U27" i="18"/>
  <c r="T29" i="18"/>
  <c r="V20" i="17" l="1"/>
  <c r="W19" i="17"/>
  <c r="T33" i="18"/>
  <c r="V23" i="18"/>
  <c r="U25" i="18"/>
  <c r="AB24" i="6"/>
  <c r="AD23" i="6"/>
  <c r="AD24" i="6" s="1"/>
  <c r="Z1" i="15"/>
  <c r="AI38" i="13"/>
  <c r="AD27" i="6"/>
  <c r="AD30" i="6" s="1"/>
  <c r="V27" i="18"/>
  <c r="U29" i="18"/>
  <c r="AB20" i="6"/>
  <c r="AB21" i="6" s="1"/>
  <c r="U11" i="17"/>
  <c r="V9" i="17"/>
  <c r="Y24" i="18"/>
  <c r="Z32" i="6"/>
  <c r="AA21" i="6"/>
  <c r="W22" i="17"/>
  <c r="AB32" i="6" l="1"/>
  <c r="X19" i="17"/>
  <c r="W20" i="17"/>
  <c r="U33" i="18"/>
  <c r="W23" i="18"/>
  <c r="V25" i="18"/>
  <c r="AC20" i="6"/>
  <c r="AC21" i="6" s="1"/>
  <c r="AC32" i="6" s="1"/>
  <c r="AC12" i="16" s="1"/>
  <c r="V11" i="17"/>
  <c r="W9" i="17"/>
  <c r="Z24" i="18"/>
  <c r="X22" i="17"/>
  <c r="Z12" i="16"/>
  <c r="Z10" i="17"/>
  <c r="AA10" i="17" s="1"/>
  <c r="AB10" i="17" s="1"/>
  <c r="AA32" i="6"/>
  <c r="AB12" i="16"/>
  <c r="W27" i="18"/>
  <c r="V29" i="18"/>
  <c r="AJ38" i="13"/>
  <c r="AA1" i="15"/>
  <c r="Y19" i="17" l="1"/>
  <c r="X20" i="17"/>
  <c r="V33" i="18"/>
  <c r="X23" i="18"/>
  <c r="W25" i="18"/>
  <c r="AC10" i="17"/>
  <c r="AD20" i="6"/>
  <c r="AD21" i="6" s="1"/>
  <c r="AD32" i="6" s="1"/>
  <c r="AD12" i="16" s="1"/>
  <c r="W11" i="17"/>
  <c r="X9" i="17"/>
  <c r="AB1" i="15"/>
  <c r="H38" i="13"/>
  <c r="X27" i="18"/>
  <c r="W29" i="18"/>
  <c r="W33" i="18" s="1"/>
  <c r="AA12" i="16"/>
  <c r="AA24" i="18"/>
  <c r="Y22" i="17"/>
  <c r="Z19" i="17" l="1"/>
  <c r="Y20" i="17"/>
  <c r="Y23" i="18"/>
  <c r="X25" i="18"/>
  <c r="AD10" i="17"/>
  <c r="Z22" i="17"/>
  <c r="AC1" i="15"/>
  <c r="I38" i="13"/>
  <c r="X11" i="17"/>
  <c r="Y9" i="17"/>
  <c r="AB24" i="18"/>
  <c r="Y27" i="18"/>
  <c r="X29" i="18"/>
  <c r="Z20" i="17" l="1"/>
  <c r="AA19" i="17"/>
  <c r="X33" i="18"/>
  <c r="Z23" i="18"/>
  <c r="Y25" i="18"/>
  <c r="AC24" i="18"/>
  <c r="Y11" i="17"/>
  <c r="Z9" i="17"/>
  <c r="AA22" i="17"/>
  <c r="J38" i="13"/>
  <c r="AD1" i="15"/>
  <c r="K38" i="13" s="1"/>
  <c r="Y29" i="18"/>
  <c r="Z27" i="18"/>
  <c r="AA20" i="17" l="1"/>
  <c r="C32" i="19"/>
  <c r="C17" i="19" s="1"/>
  <c r="AB19" i="17"/>
  <c r="Y33" i="18"/>
  <c r="AA23" i="18"/>
  <c r="Z25" i="18"/>
  <c r="Z11" i="17"/>
  <c r="AA9" i="17"/>
  <c r="AD24" i="18"/>
  <c r="AA27" i="18"/>
  <c r="Z29" i="18"/>
  <c r="AB22" i="17"/>
  <c r="D32" i="19" l="1"/>
  <c r="D17" i="19" s="1"/>
  <c r="AC19" i="17"/>
  <c r="AB20" i="17"/>
  <c r="AB23" i="18"/>
  <c r="AA25" i="18"/>
  <c r="Z33" i="18"/>
  <c r="AB9" i="17"/>
  <c r="AA11" i="17"/>
  <c r="AC22" i="17"/>
  <c r="AB27" i="18"/>
  <c r="AA29" i="18"/>
  <c r="E32" i="19" l="1"/>
  <c r="E17" i="19" s="1"/>
  <c r="AC20" i="17"/>
  <c r="AD19" i="17"/>
  <c r="AA33" i="18"/>
  <c r="AC23" i="18"/>
  <c r="AB25" i="18"/>
  <c r="AB11" i="17"/>
  <c r="AC9" i="17"/>
  <c r="AD22" i="17"/>
  <c r="AC27" i="18"/>
  <c r="AB29" i="18"/>
  <c r="AD20" i="17" l="1"/>
  <c r="F32" i="19"/>
  <c r="F17" i="19" s="1"/>
  <c r="AB33" i="18"/>
  <c r="AD23" i="18"/>
  <c r="AD25" i="18" s="1"/>
  <c r="AC25" i="18"/>
  <c r="AC29" i="18"/>
  <c r="AD27" i="18"/>
  <c r="AD29" i="18" s="1"/>
  <c r="AC11" i="17"/>
  <c r="AD9" i="17"/>
  <c r="AD11" i="17" s="1"/>
  <c r="C21" i="3"/>
  <c r="C5" i="9" s="1"/>
  <c r="C24" i="3"/>
  <c r="C25" i="3" s="1"/>
  <c r="C17" i="7" s="1"/>
  <c r="C18" i="7" s="1"/>
  <c r="C18" i="3"/>
  <c r="C19" i="3" s="1"/>
  <c r="C14" i="3"/>
  <c r="C16" i="3" s="1"/>
  <c r="C5" i="2"/>
  <c r="AD33" i="18" l="1"/>
  <c r="AC33" i="18"/>
  <c r="C6" i="15"/>
  <c r="C6" i="18" s="1"/>
  <c r="C23" i="3"/>
  <c r="C4" i="16"/>
  <c r="C7" i="2"/>
  <c r="C10" i="2" s="1"/>
  <c r="C4" i="9" s="1"/>
  <c r="C14" i="7"/>
  <c r="C4" i="10"/>
  <c r="C3" i="10"/>
  <c r="C16" i="7"/>
  <c r="C13" i="2" l="1"/>
  <c r="C14" i="2" s="1"/>
  <c r="C6" i="7" s="1"/>
  <c r="C7" i="7" s="1"/>
  <c r="C6" i="9"/>
  <c r="C7" i="9" s="1"/>
  <c r="C5" i="10"/>
  <c r="C16" i="15" s="1"/>
  <c r="C3" i="16"/>
  <c r="C5" i="16" s="1"/>
  <c r="C13" i="9"/>
  <c r="C5" i="15"/>
  <c r="C3" i="7"/>
  <c r="C15" i="7"/>
  <c r="C12" i="2" l="1"/>
  <c r="C4" i="7" s="1"/>
  <c r="C8" i="7" s="1"/>
  <c r="C5" i="7"/>
  <c r="C19" i="7"/>
  <c r="N40" i="13"/>
  <c r="C5" i="18"/>
  <c r="C16" i="18"/>
  <c r="C6" i="17"/>
  <c r="C8" i="9"/>
  <c r="C14" i="9"/>
  <c r="C10" i="16"/>
  <c r="N47" i="13"/>
  <c r="C17" i="9" l="1"/>
  <c r="C16" i="9" s="1"/>
  <c r="C15" i="9" s="1"/>
  <c r="C20" i="9"/>
  <c r="C20" i="7"/>
  <c r="C9" i="7"/>
  <c r="C50" i="7" l="1"/>
  <c r="C14" i="15" s="1"/>
  <c r="C11" i="7"/>
  <c r="C13" i="15"/>
  <c r="C9" i="15"/>
  <c r="C16" i="16"/>
  <c r="C15" i="15"/>
  <c r="C17" i="16" l="1"/>
  <c r="D19" i="16" s="1"/>
  <c r="C13" i="18"/>
  <c r="C4" i="17"/>
  <c r="C17" i="15"/>
  <c r="C15" i="18"/>
  <c r="C5" i="17"/>
  <c r="C9" i="18"/>
  <c r="C11" i="18" s="1"/>
  <c r="C11" i="15"/>
  <c r="C15" i="17"/>
  <c r="C17" i="17" s="1"/>
  <c r="C14" i="18"/>
  <c r="C21" i="15" l="1"/>
  <c r="C35" i="15" s="1"/>
  <c r="C17" i="18"/>
  <c r="C21" i="18" s="1"/>
  <c r="C35" i="18" s="1"/>
  <c r="N41" i="13"/>
  <c r="C23" i="17"/>
  <c r="C24" i="17" s="1"/>
  <c r="C25" i="17" s="1"/>
  <c r="C40" i="15" l="1"/>
  <c r="N44" i="13" s="1"/>
  <c r="N42" i="13"/>
  <c r="N43" i="13" s="1"/>
  <c r="N45" i="13"/>
  <c r="N46" i="13" s="1"/>
  <c r="C36" i="15"/>
  <c r="D3" i="15" s="1"/>
  <c r="D21" i="3"/>
  <c r="D5" i="9" s="1"/>
  <c r="D18" i="3"/>
  <c r="D24" i="3"/>
  <c r="D5" i="2"/>
  <c r="D14" i="3"/>
  <c r="D16" i="3" s="1"/>
  <c r="D19" i="3" l="1"/>
  <c r="D4" i="10" s="1"/>
  <c r="C41" i="15"/>
  <c r="C3" i="17"/>
  <c r="C7" i="17" s="1"/>
  <c r="C12" i="17" s="1"/>
  <c r="C27" i="17" s="1"/>
  <c r="D7" i="2"/>
  <c r="D10" i="2" s="1"/>
  <c r="D4" i="9" s="1"/>
  <c r="D6" i="15"/>
  <c r="D6" i="18" s="1"/>
  <c r="D14" i="7"/>
  <c r="D4" i="16"/>
  <c r="D23" i="3"/>
  <c r="D25" i="3"/>
  <c r="D17" i="7" s="1"/>
  <c r="D18" i="7" s="1"/>
  <c r="D3" i="10"/>
  <c r="D5" i="10" l="1"/>
  <c r="D16" i="15" s="1"/>
  <c r="D6" i="17" s="1"/>
  <c r="D13" i="2"/>
  <c r="D12" i="2" s="1"/>
  <c r="D16" i="7"/>
  <c r="D6" i="9"/>
  <c r="D7" i="9" s="1"/>
  <c r="D15" i="7"/>
  <c r="D16" i="18"/>
  <c r="D13" i="9"/>
  <c r="D5" i="15"/>
  <c r="D3" i="7"/>
  <c r="D3" i="16"/>
  <c r="D5" i="16" s="1"/>
  <c r="D14" i="2" l="1"/>
  <c r="D6" i="7" s="1"/>
  <c r="D7" i="7" s="1"/>
  <c r="D14" i="9"/>
  <c r="D10" i="16"/>
  <c r="O47" i="13"/>
  <c r="D19" i="7"/>
  <c r="D8" i="9"/>
  <c r="O40" i="13"/>
  <c r="D5" i="18"/>
  <c r="D5" i="7" l="1"/>
  <c r="D4" i="7"/>
  <c r="D8" i="7" s="1"/>
  <c r="D9" i="7" s="1"/>
  <c r="D20" i="7"/>
  <c r="D17" i="9"/>
  <c r="D16" i="9" s="1"/>
  <c r="D20" i="9"/>
  <c r="D15" i="15" l="1"/>
  <c r="D11" i="7"/>
  <c r="D13" i="15"/>
  <c r="D16" i="16"/>
  <c r="D9" i="15"/>
  <c r="D50" i="7"/>
  <c r="D14" i="15" s="1"/>
  <c r="D15" i="9"/>
  <c r="D17" i="15" l="1"/>
  <c r="D4" i="17"/>
  <c r="D13" i="18"/>
  <c r="D15" i="17"/>
  <c r="D17" i="17" s="1"/>
  <c r="D14" i="18"/>
  <c r="D9" i="18"/>
  <c r="D11" i="18" s="1"/>
  <c r="D11" i="15"/>
  <c r="D17" i="16"/>
  <c r="E19" i="16" s="1"/>
  <c r="D5" i="17"/>
  <c r="D15" i="18"/>
  <c r="D21" i="15" l="1"/>
  <c r="D35" i="15" s="1"/>
  <c r="D17" i="18"/>
  <c r="D21" i="18" s="1"/>
  <c r="D35" i="18" s="1"/>
  <c r="D23" i="17"/>
  <c r="D24" i="17" s="1"/>
  <c r="D25" i="17" s="1"/>
  <c r="O41" i="13"/>
  <c r="D36" i="15" l="1"/>
  <c r="D3" i="17" s="1"/>
  <c r="D7" i="17" s="1"/>
  <c r="D12" i="17" s="1"/>
  <c r="D27" i="17" s="1"/>
  <c r="D40" i="15"/>
  <c r="D41" i="15" s="1"/>
  <c r="O42" i="13"/>
  <c r="O43" i="13" s="1"/>
  <c r="O45" i="13"/>
  <c r="O46" i="13" s="1"/>
  <c r="E21" i="3"/>
  <c r="E5" i="9" s="1"/>
  <c r="E18" i="3"/>
  <c r="E19" i="3" s="1"/>
  <c r="E24" i="3"/>
  <c r="E14" i="3"/>
  <c r="E16" i="3" s="1"/>
  <c r="E3" i="15" l="1"/>
  <c r="O44" i="13"/>
  <c r="E4" i="10"/>
  <c r="E3" i="10"/>
  <c r="E23" i="3"/>
  <c r="E6" i="15"/>
  <c r="E6" i="18" s="1"/>
  <c r="E4" i="16"/>
  <c r="E5" i="2"/>
  <c r="E14" i="7"/>
  <c r="E25" i="3"/>
  <c r="E17" i="7" s="1"/>
  <c r="E7" i="2" l="1"/>
  <c r="E10" i="2" s="1"/>
  <c r="E4" i="9" s="1"/>
  <c r="E15" i="7"/>
  <c r="E5" i="10"/>
  <c r="E16" i="15" s="1"/>
  <c r="E18" i="7"/>
  <c r="E16" i="7"/>
  <c r="E13" i="9" l="1"/>
  <c r="E3" i="16"/>
  <c r="E5" i="16" s="1"/>
  <c r="E5" i="15"/>
  <c r="E3" i="7"/>
  <c r="E13" i="2"/>
  <c r="E16" i="18"/>
  <c r="E6" i="17"/>
  <c r="E6" i="9"/>
  <c r="E7" i="9" s="1"/>
  <c r="E19" i="7"/>
  <c r="P40" i="13" l="1"/>
  <c r="E5" i="18"/>
  <c r="E14" i="2"/>
  <c r="E6" i="7" s="1"/>
  <c r="E7" i="7" s="1"/>
  <c r="P47" i="13"/>
  <c r="E10" i="16"/>
  <c r="E14" i="9"/>
  <c r="E20" i="7"/>
  <c r="E8" i="9"/>
  <c r="E12" i="2"/>
  <c r="E50" i="7" l="1"/>
  <c r="E14" i="15" s="1"/>
  <c r="E17" i="9"/>
  <c r="E16" i="9" s="1"/>
  <c r="E20" i="9"/>
  <c r="E4" i="7"/>
  <c r="E5" i="7"/>
  <c r="E15" i="15" l="1"/>
  <c r="E14" i="18"/>
  <c r="E15" i="17"/>
  <c r="E17" i="17" s="1"/>
  <c r="E8" i="7"/>
  <c r="E15" i="9"/>
  <c r="E16" i="16"/>
  <c r="E9" i="15"/>
  <c r="E9" i="18" l="1"/>
  <c r="E11" i="18" s="1"/>
  <c r="E11" i="15"/>
  <c r="E9" i="7"/>
  <c r="E17" i="16"/>
  <c r="F19" i="16" s="1"/>
  <c r="E5" i="17"/>
  <c r="E15" i="18"/>
  <c r="E11" i="7" l="1"/>
  <c r="E13" i="15"/>
  <c r="P41" i="13"/>
  <c r="E23" i="17"/>
  <c r="E24" i="17" s="1"/>
  <c r="E25" i="17" s="1"/>
  <c r="E17" i="15" l="1"/>
  <c r="E21" i="15" s="1"/>
  <c r="E13" i="18"/>
  <c r="E17" i="18" s="1"/>
  <c r="E21" i="18" s="1"/>
  <c r="E35" i="18" s="1"/>
  <c r="E4" i="17"/>
  <c r="P45" i="13" l="1"/>
  <c r="P46" i="13" s="1"/>
  <c r="E35" i="15"/>
  <c r="P42" i="13"/>
  <c r="P43" i="13" s="1"/>
  <c r="E36" i="15"/>
  <c r="E40" i="15"/>
  <c r="E3" i="17" l="1"/>
  <c r="E7" i="17" s="1"/>
  <c r="E12" i="17" s="1"/>
  <c r="E27" i="17" s="1"/>
  <c r="F3" i="15"/>
  <c r="E41" i="15"/>
  <c r="P44" i="13"/>
  <c r="H24" i="3"/>
  <c r="H25" i="3" s="1"/>
  <c r="H17" i="7" s="1"/>
  <c r="H18" i="7" s="1"/>
  <c r="G18" i="3"/>
  <c r="H18" i="3"/>
  <c r="G21" i="3"/>
  <c r="G5" i="9" s="1"/>
  <c r="H21" i="3"/>
  <c r="H5" i="9" s="1"/>
  <c r="F18" i="3"/>
  <c r="F19" i="3" s="1"/>
  <c r="H14" i="3"/>
  <c r="H16" i="3"/>
  <c r="G14" i="3"/>
  <c r="G16" i="3" s="1"/>
  <c r="G14" i="7" s="1"/>
  <c r="G24" i="3"/>
  <c r="G25" i="3" s="1"/>
  <c r="G17" i="7" s="1"/>
  <c r="G5" i="2"/>
  <c r="G7" i="2" s="1"/>
  <c r="F24" i="3"/>
  <c r="F21" i="3"/>
  <c r="F5" i="9" s="1"/>
  <c r="F14" i="3"/>
  <c r="H19" i="3" l="1"/>
  <c r="H4" i="10" s="1"/>
  <c r="G19" i="3"/>
  <c r="G4" i="10" s="1"/>
  <c r="G3" i="10"/>
  <c r="H16" i="7"/>
  <c r="H3" i="10"/>
  <c r="F5" i="2"/>
  <c r="F16" i="3"/>
  <c r="G18" i="7"/>
  <c r="G16" i="7"/>
  <c r="F25" i="3"/>
  <c r="F17" i="7" s="1"/>
  <c r="F18" i="7" s="1"/>
  <c r="H5" i="2"/>
  <c r="H7" i="2" s="1"/>
  <c r="G5" i="15"/>
  <c r="G3" i="7"/>
  <c r="G3" i="16"/>
  <c r="G13" i="9"/>
  <c r="G14" i="9" s="1"/>
  <c r="H6" i="15"/>
  <c r="H14" i="7"/>
  <c r="H23" i="3"/>
  <c r="H15" i="7" s="1"/>
  <c r="H4" i="16"/>
  <c r="G23" i="3"/>
  <c r="G15" i="7" s="1"/>
  <c r="G6" i="15"/>
  <c r="G4" i="16"/>
  <c r="G13" i="2"/>
  <c r="G10" i="2"/>
  <c r="G4" i="9" s="1"/>
  <c r="G6" i="9" s="1"/>
  <c r="F4" i="10"/>
  <c r="F3" i="10"/>
  <c r="H5" i="10" l="1"/>
  <c r="H16" i="15" s="1"/>
  <c r="G5" i="10"/>
  <c r="H19" i="7"/>
  <c r="H13" i="2"/>
  <c r="H14" i="2" s="1"/>
  <c r="H6" i="7" s="1"/>
  <c r="H7" i="7" s="1"/>
  <c r="G5" i="16"/>
  <c r="R47" i="13" s="1"/>
  <c r="G14" i="2"/>
  <c r="G6" i="7" s="1"/>
  <c r="G7" i="7" s="1"/>
  <c r="R40" i="13"/>
  <c r="H3" i="7"/>
  <c r="H3" i="16"/>
  <c r="H5" i="16" s="1"/>
  <c r="H13" i="9"/>
  <c r="H14" i="9" s="1"/>
  <c r="H5" i="15"/>
  <c r="F6" i="15"/>
  <c r="F6" i="18" s="1"/>
  <c r="G6" i="18" s="1"/>
  <c r="H6" i="18" s="1"/>
  <c r="F4" i="16"/>
  <c r="F23" i="3"/>
  <c r="F14" i="7"/>
  <c r="F5" i="10"/>
  <c r="G20" i="9"/>
  <c r="G12" i="2"/>
  <c r="H10" i="2"/>
  <c r="H4" i="9" s="1"/>
  <c r="H6" i="9" s="1"/>
  <c r="F16" i="7"/>
  <c r="G19" i="7" s="1"/>
  <c r="F7" i="2"/>
  <c r="H12" i="2" l="1"/>
  <c r="G4" i="7"/>
  <c r="G10" i="16"/>
  <c r="H4" i="7"/>
  <c r="F16" i="15"/>
  <c r="G16" i="15"/>
  <c r="G16" i="16"/>
  <c r="G9" i="15"/>
  <c r="H20" i="9"/>
  <c r="G5" i="7"/>
  <c r="H5" i="7"/>
  <c r="F3" i="16"/>
  <c r="F5" i="16" s="1"/>
  <c r="F3" i="7"/>
  <c r="F5" i="15"/>
  <c r="F13" i="9"/>
  <c r="F10" i="2"/>
  <c r="F4" i="9" s="1"/>
  <c r="F15" i="7"/>
  <c r="S40" i="13"/>
  <c r="H10" i="16"/>
  <c r="S47" i="13"/>
  <c r="F13" i="2"/>
  <c r="G17" i="16" l="1"/>
  <c r="R41" i="13" s="1"/>
  <c r="F6" i="9"/>
  <c r="F7" i="9" s="1"/>
  <c r="G11" i="15"/>
  <c r="F14" i="9"/>
  <c r="Q47" i="13"/>
  <c r="F10" i="16"/>
  <c r="H16" i="16"/>
  <c r="H17" i="16" s="1"/>
  <c r="H9" i="15"/>
  <c r="F14" i="2"/>
  <c r="F6" i="7" s="1"/>
  <c r="F7" i="7" s="1"/>
  <c r="F19" i="7"/>
  <c r="F12" i="2"/>
  <c r="Q40" i="13"/>
  <c r="F5" i="18"/>
  <c r="F16" i="18"/>
  <c r="G16" i="18" s="1"/>
  <c r="H16" i="18" s="1"/>
  <c r="F6" i="17"/>
  <c r="G6" i="17" s="1"/>
  <c r="H6" i="17" s="1"/>
  <c r="F4" i="7" l="1"/>
  <c r="F8" i="7" s="1"/>
  <c r="F5" i="7"/>
  <c r="G8" i="7" s="1"/>
  <c r="H8" i="7"/>
  <c r="F20" i="7"/>
  <c r="F8" i="9"/>
  <c r="G7" i="9" s="1"/>
  <c r="G5" i="18"/>
  <c r="H11" i="15"/>
  <c r="S41" i="13"/>
  <c r="F17" i="9"/>
  <c r="F20" i="9"/>
  <c r="H5" i="18" l="1"/>
  <c r="F16" i="9"/>
  <c r="G17" i="9"/>
  <c r="G8" i="9"/>
  <c r="H7" i="9" s="1"/>
  <c r="F9" i="7"/>
  <c r="F50" i="7"/>
  <c r="F14" i="15" s="1"/>
  <c r="G20" i="7"/>
  <c r="F9" i="15"/>
  <c r="F16" i="16"/>
  <c r="F15" i="17" l="1"/>
  <c r="F17" i="17" s="1"/>
  <c r="F14" i="18"/>
  <c r="F15" i="15"/>
  <c r="F15" i="9"/>
  <c r="G50" i="7"/>
  <c r="G14" i="15" s="1"/>
  <c r="H20" i="7"/>
  <c r="H8" i="9"/>
  <c r="F17" i="16"/>
  <c r="G19" i="16" s="1"/>
  <c r="H19" i="16" s="1"/>
  <c r="I19" i="16" s="1"/>
  <c r="F9" i="18"/>
  <c r="F11" i="15"/>
  <c r="F11" i="7"/>
  <c r="G9" i="7"/>
  <c r="F13" i="15"/>
  <c r="G16" i="9"/>
  <c r="H17" i="9"/>
  <c r="H16" i="9" s="1"/>
  <c r="H15" i="9" s="1"/>
  <c r="H50" i="7" l="1"/>
  <c r="H14" i="15" s="1"/>
  <c r="G9" i="18"/>
  <c r="F11" i="18"/>
  <c r="G14" i="18"/>
  <c r="G15" i="17"/>
  <c r="G17" i="17" s="1"/>
  <c r="G11" i="7"/>
  <c r="G13" i="15"/>
  <c r="H9" i="7"/>
  <c r="F23" i="17"/>
  <c r="Q41" i="13"/>
  <c r="G15" i="9"/>
  <c r="G15" i="15"/>
  <c r="F13" i="18"/>
  <c r="F4" i="17"/>
  <c r="F17" i="15"/>
  <c r="F21" i="15" s="1"/>
  <c r="H15" i="15"/>
  <c r="F5" i="17"/>
  <c r="F15" i="18"/>
  <c r="Q45" i="13" l="1"/>
  <c r="Q46" i="13" s="1"/>
  <c r="Q42" i="13"/>
  <c r="Q43" i="13" s="1"/>
  <c r="F35" i="15"/>
  <c r="F36" i="15"/>
  <c r="F40" i="15"/>
  <c r="H9" i="18"/>
  <c r="H11" i="18" s="1"/>
  <c r="G11" i="18"/>
  <c r="F17" i="18"/>
  <c r="F21" i="18" s="1"/>
  <c r="F35" i="18" s="1"/>
  <c r="H11" i="7"/>
  <c r="H13" i="15"/>
  <c r="H15" i="17"/>
  <c r="H17" i="17" s="1"/>
  <c r="H14" i="18"/>
  <c r="F24" i="17"/>
  <c r="F25" i="17" s="1"/>
  <c r="G23" i="17"/>
  <c r="G5" i="17"/>
  <c r="H5" i="17" s="1"/>
  <c r="G15" i="18"/>
  <c r="H15" i="18" s="1"/>
  <c r="G17" i="15"/>
  <c r="G21" i="15" s="1"/>
  <c r="G4" i="17"/>
  <c r="G13" i="18"/>
  <c r="R42" i="13" l="1"/>
  <c r="R43" i="13" s="1"/>
  <c r="G40" i="15"/>
  <c r="G35" i="15"/>
  <c r="R45" i="13"/>
  <c r="R46" i="13" s="1"/>
  <c r="G24" i="17"/>
  <c r="G25" i="17" s="1"/>
  <c r="H23" i="17"/>
  <c r="H24" i="17" s="1"/>
  <c r="H25" i="17" s="1"/>
  <c r="F41" i="15"/>
  <c r="Q44" i="13"/>
  <c r="G17" i="18"/>
  <c r="G21" i="18" s="1"/>
  <c r="G35" i="18" s="1"/>
  <c r="H4" i="17"/>
  <c r="H17" i="15"/>
  <c r="H21" i="15" s="1"/>
  <c r="H13" i="18"/>
  <c r="H17" i="18" s="1"/>
  <c r="H21" i="18" s="1"/>
  <c r="H35" i="18" s="1"/>
  <c r="F3" i="17"/>
  <c r="F7" i="17" s="1"/>
  <c r="F12" i="17" s="1"/>
  <c r="F27" i="17" s="1"/>
  <c r="G3" i="15"/>
  <c r="G36" i="15" s="1"/>
  <c r="G41" i="15" l="1"/>
  <c r="R44" i="13"/>
  <c r="H3" i="15"/>
  <c r="H36" i="15" s="1"/>
  <c r="G3" i="17"/>
  <c r="G7" i="17" s="1"/>
  <c r="G12" i="17" s="1"/>
  <c r="G27" i="17" s="1"/>
  <c r="S42" i="13"/>
  <c r="S43" i="13" s="1"/>
  <c r="S45" i="13"/>
  <c r="S46" i="13" s="1"/>
  <c r="H35" i="15"/>
  <c r="H40" i="15"/>
  <c r="S44" i="13" l="1"/>
  <c r="H41" i="15"/>
  <c r="H3" i="17"/>
  <c r="H7" i="17" s="1"/>
  <c r="H12" i="17" s="1"/>
  <c r="H27" i="17" s="1"/>
  <c r="I3" i="15"/>
  <c r="I21" i="3"/>
  <c r="I5" i="9" s="1"/>
  <c r="I14" i="3"/>
  <c r="I16" i="3" s="1"/>
  <c r="I24" i="3"/>
  <c r="I18" i="3"/>
  <c r="I5" i="2"/>
  <c r="I3" i="10" l="1"/>
  <c r="I19" i="3"/>
  <c r="I23" i="3"/>
  <c r="I4" i="10"/>
  <c r="I5" i="10" s="1"/>
  <c r="I16" i="15" s="1"/>
  <c r="I6" i="15"/>
  <c r="I6" i="18" s="1"/>
  <c r="I4" i="16"/>
  <c r="I14" i="7"/>
  <c r="I7" i="2"/>
  <c r="I13" i="2" s="1"/>
  <c r="I25" i="3"/>
  <c r="I17" i="7" s="1"/>
  <c r="I18" i="7" s="1"/>
  <c r="I10" i="2" l="1"/>
  <c r="I4" i="9" s="1"/>
  <c r="I6" i="9" s="1"/>
  <c r="I7" i="9" s="1"/>
  <c r="I14" i="2"/>
  <c r="I6" i="7" s="1"/>
  <c r="I7" i="7" s="1"/>
  <c r="I6" i="17"/>
  <c r="I16" i="18"/>
  <c r="I16" i="7"/>
  <c r="I3" i="16"/>
  <c r="I5" i="16" s="1"/>
  <c r="I3" i="7"/>
  <c r="I12" i="2"/>
  <c r="I13" i="9"/>
  <c r="I5" i="15"/>
  <c r="I15" i="7"/>
  <c r="I4" i="7" l="1"/>
  <c r="I8" i="7" s="1"/>
  <c r="I5" i="7"/>
  <c r="I19" i="7"/>
  <c r="I14" i="9"/>
  <c r="I8" i="9"/>
  <c r="T40" i="13"/>
  <c r="I5" i="18"/>
  <c r="T47" i="13"/>
  <c r="I10" i="16"/>
  <c r="I9" i="7" l="1"/>
  <c r="I17" i="9"/>
  <c r="I16" i="9" s="1"/>
  <c r="I15" i="9" s="1"/>
  <c r="I20" i="9"/>
  <c r="I20" i="7"/>
  <c r="I15" i="15" l="1"/>
  <c r="I11" i="7"/>
  <c r="I13" i="15"/>
  <c r="I50" i="7"/>
  <c r="I14" i="15" s="1"/>
  <c r="I16" i="16"/>
  <c r="I9" i="15"/>
  <c r="I15" i="17" l="1"/>
  <c r="I17" i="17" s="1"/>
  <c r="I14" i="18"/>
  <c r="I5" i="17"/>
  <c r="I15" i="18"/>
  <c r="I13" i="18"/>
  <c r="I17" i="15"/>
  <c r="I4" i="17"/>
  <c r="I9" i="18"/>
  <c r="I11" i="18" s="1"/>
  <c r="I11" i="15"/>
  <c r="I17" i="16"/>
  <c r="J19" i="16" s="1"/>
  <c r="I21" i="15" l="1"/>
  <c r="T42" i="13" s="1"/>
  <c r="T43" i="13" s="1"/>
  <c r="I17" i="18"/>
  <c r="I21" i="18" s="1"/>
  <c r="I35" i="18" s="1"/>
  <c r="T41" i="13"/>
  <c r="I23" i="17"/>
  <c r="I24" i="17" s="1"/>
  <c r="I25" i="17" s="1"/>
  <c r="T45" i="13" l="1"/>
  <c r="T46" i="13" s="1"/>
  <c r="I35" i="15"/>
  <c r="I40" i="15"/>
  <c r="T44" i="13" s="1"/>
  <c r="I36" i="15"/>
  <c r="J3" i="15" s="1"/>
  <c r="J21" i="3"/>
  <c r="J5" i="9" s="1"/>
  <c r="J18" i="3"/>
  <c r="J19" i="3" s="1"/>
  <c r="J24" i="3"/>
  <c r="J25" i="3" s="1"/>
  <c r="J17" i="7" s="1"/>
  <c r="J18" i="7" s="1"/>
  <c r="J5" i="2"/>
  <c r="J14" i="3"/>
  <c r="J16" i="7" l="1"/>
  <c r="I41" i="15"/>
  <c r="I3" i="17"/>
  <c r="I7" i="17" s="1"/>
  <c r="I12" i="17" s="1"/>
  <c r="I27" i="17" s="1"/>
  <c r="J16" i="3"/>
  <c r="J7" i="2"/>
  <c r="J4" i="10"/>
  <c r="J3" i="10"/>
  <c r="J23" i="3" l="1"/>
  <c r="J4" i="16"/>
  <c r="J6" i="15"/>
  <c r="J6" i="18" s="1"/>
  <c r="J14" i="7"/>
  <c r="J5" i="10"/>
  <c r="J16" i="15" s="1"/>
  <c r="J13" i="9"/>
  <c r="J3" i="16"/>
  <c r="J5" i="15"/>
  <c r="J3" i="7"/>
  <c r="J10" i="2"/>
  <c r="J4" i="9" s="1"/>
  <c r="J13" i="2"/>
  <c r="J12" i="2" s="1"/>
  <c r="J5" i="16" l="1"/>
  <c r="J10" i="16" s="1"/>
  <c r="J14" i="9"/>
  <c r="J14" i="2"/>
  <c r="J6" i="7" s="1"/>
  <c r="J7" i="7" s="1"/>
  <c r="U40" i="13"/>
  <c r="J5" i="18"/>
  <c r="J16" i="18"/>
  <c r="J6" i="17"/>
  <c r="J6" i="9"/>
  <c r="J7" i="9" s="1"/>
  <c r="J15" i="7"/>
  <c r="U47" i="13" l="1"/>
  <c r="J4" i="7"/>
  <c r="J8" i="7" s="1"/>
  <c r="J19" i="7"/>
  <c r="J8" i="9"/>
  <c r="J20" i="9"/>
  <c r="J17" i="9"/>
  <c r="J16" i="9" s="1"/>
  <c r="J15" i="9" s="1"/>
  <c r="J5" i="7"/>
  <c r="J9" i="7" l="1"/>
  <c r="J15" i="15"/>
  <c r="J9" i="15"/>
  <c r="J16" i="16"/>
  <c r="J20" i="7"/>
  <c r="J50" i="7" l="1"/>
  <c r="J14" i="15" s="1"/>
  <c r="J17" i="16"/>
  <c r="K19" i="16" s="1"/>
  <c r="J9" i="18"/>
  <c r="J11" i="18" s="1"/>
  <c r="J11" i="15"/>
  <c r="J11" i="7"/>
  <c r="J13" i="15"/>
  <c r="J15" i="18"/>
  <c r="J5" i="17"/>
  <c r="J4" i="17" l="1"/>
  <c r="J13" i="18"/>
  <c r="J17" i="15"/>
  <c r="J21" i="15" s="1"/>
  <c r="U41" i="13"/>
  <c r="J23" i="17"/>
  <c r="J24" i="17" s="1"/>
  <c r="J14" i="18"/>
  <c r="J15" i="17"/>
  <c r="J17" i="17" s="1"/>
  <c r="J25" i="17" l="1"/>
  <c r="U42" i="13"/>
  <c r="U43" i="13" s="1"/>
  <c r="U45" i="13"/>
  <c r="U46" i="13" s="1"/>
  <c r="J40" i="15"/>
  <c r="J35" i="15"/>
  <c r="J36" i="15"/>
  <c r="J17" i="18"/>
  <c r="J21" i="18" s="1"/>
  <c r="J35" i="18" s="1"/>
  <c r="J41" i="15" l="1"/>
  <c r="U44" i="13"/>
  <c r="J3" i="17"/>
  <c r="J7" i="17" s="1"/>
  <c r="J12" i="17" s="1"/>
  <c r="J27" i="17" s="1"/>
  <c r="K3" i="15"/>
  <c r="K24" i="3"/>
  <c r="K25" i="3" s="1"/>
  <c r="K17" i="7" s="1"/>
  <c r="K18" i="7" s="1"/>
  <c r="K21" i="3"/>
  <c r="K5" i="9" s="1"/>
  <c r="K18" i="3"/>
  <c r="K19" i="3" s="1"/>
  <c r="K14" i="3"/>
  <c r="K16" i="3" s="1"/>
  <c r="K3" i="2"/>
  <c r="K3" i="10" l="1"/>
  <c r="K4" i="10"/>
  <c r="K5" i="2"/>
  <c r="K7" i="2" s="1"/>
  <c r="K3" i="7" s="1"/>
  <c r="K4" i="16"/>
  <c r="K6" i="15"/>
  <c r="K6" i="18" s="1"/>
  <c r="K14" i="7"/>
  <c r="K23" i="3"/>
  <c r="K16" i="7"/>
  <c r="K5" i="10" l="1"/>
  <c r="K16" i="15" s="1"/>
  <c r="K6" i="17" s="1"/>
  <c r="K3" i="16"/>
  <c r="K13" i="9"/>
  <c r="K14" i="9" s="1"/>
  <c r="K10" i="2"/>
  <c r="K4" i="9" s="1"/>
  <c r="K6" i="9" s="1"/>
  <c r="K7" i="9" s="1"/>
  <c r="K13" i="2"/>
  <c r="K14" i="2" s="1"/>
  <c r="K6" i="7" s="1"/>
  <c r="K7" i="7" s="1"/>
  <c r="K5" i="15"/>
  <c r="V40" i="13" s="1"/>
  <c r="K5" i="16"/>
  <c r="V47" i="13" s="1"/>
  <c r="K15" i="7"/>
  <c r="K16" i="18"/>
  <c r="K5" i="18" l="1"/>
  <c r="K10" i="16"/>
  <c r="K12" i="2"/>
  <c r="K4" i="7" s="1"/>
  <c r="K8" i="7" s="1"/>
  <c r="K5" i="7"/>
  <c r="K8" i="9"/>
  <c r="K19" i="7"/>
  <c r="K17" i="9"/>
  <c r="K16" i="9" s="1"/>
  <c r="K15" i="9" s="1"/>
  <c r="K20" i="9"/>
  <c r="K15" i="15" l="1"/>
  <c r="K15" i="18" s="1"/>
  <c r="K20" i="7"/>
  <c r="K9" i="7"/>
  <c r="K16" i="16"/>
  <c r="K9" i="15"/>
  <c r="K5" i="17" l="1"/>
  <c r="K17" i="16"/>
  <c r="L19" i="16" s="1"/>
  <c r="K50" i="7"/>
  <c r="K14" i="15" s="1"/>
  <c r="K9" i="18"/>
  <c r="K11" i="18" s="1"/>
  <c r="K11" i="15"/>
  <c r="K11" i="7"/>
  <c r="K13" i="15"/>
  <c r="K14" i="18" l="1"/>
  <c r="K15" i="17"/>
  <c r="K17" i="17" s="1"/>
  <c r="K23" i="17"/>
  <c r="K24" i="17" s="1"/>
  <c r="V41" i="13"/>
  <c r="K4" i="17"/>
  <c r="K17" i="15"/>
  <c r="K21" i="15" s="1"/>
  <c r="K13" i="18"/>
  <c r="K17" i="18" l="1"/>
  <c r="K21" i="18" s="1"/>
  <c r="K35" i="18" s="1"/>
  <c r="K25" i="17"/>
  <c r="K36" i="15"/>
  <c r="V45" i="13"/>
  <c r="V46" i="13" s="1"/>
  <c r="V42" i="13"/>
  <c r="V43" i="13" s="1"/>
  <c r="K35" i="15"/>
  <c r="K40" i="15"/>
  <c r="V44" i="13" l="1"/>
  <c r="K41" i="15"/>
  <c r="L3" i="15"/>
  <c r="K3" i="17"/>
  <c r="K7" i="17" s="1"/>
  <c r="K12" i="17" s="1"/>
  <c r="K27" i="17" s="1"/>
  <c r="L21" i="3"/>
  <c r="L5" i="9" s="1"/>
  <c r="L18" i="3"/>
  <c r="L24" i="3"/>
  <c r="L14" i="3"/>
  <c r="L16" i="3" s="1"/>
  <c r="L3" i="2"/>
  <c r="L19" i="3" l="1"/>
  <c r="L4" i="10" s="1"/>
  <c r="L5" i="2"/>
  <c r="L7" i="2" s="1"/>
  <c r="L10" i="2" s="1"/>
  <c r="L4" i="9" s="1"/>
  <c r="L23" i="3"/>
  <c r="L4" i="16"/>
  <c r="L14" i="7"/>
  <c r="L6" i="15"/>
  <c r="L6" i="18" s="1"/>
  <c r="L25" i="3"/>
  <c r="L17" i="7" s="1"/>
  <c r="L18" i="7" s="1"/>
  <c r="L3" i="10"/>
  <c r="L13" i="2" l="1"/>
  <c r="L12" i="2" s="1"/>
  <c r="L5" i="10"/>
  <c r="L16" i="15" s="1"/>
  <c r="L6" i="17" s="1"/>
  <c r="L16" i="7"/>
  <c r="L6" i="9"/>
  <c r="L7" i="9" s="1"/>
  <c r="L3" i="16"/>
  <c r="L5" i="16" s="1"/>
  <c r="L13" i="9"/>
  <c r="L5" i="15"/>
  <c r="L3" i="7"/>
  <c r="L15" i="7"/>
  <c r="L16" i="18" l="1"/>
  <c r="L14" i="2"/>
  <c r="L6" i="7" s="1"/>
  <c r="L7" i="7" s="1"/>
  <c r="L19" i="7"/>
  <c r="W47" i="13"/>
  <c r="L10" i="16"/>
  <c r="L14" i="9"/>
  <c r="W40" i="13"/>
  <c r="L5" i="18"/>
  <c r="L8" i="9"/>
  <c r="L4" i="7" l="1"/>
  <c r="L8" i="7" s="1"/>
  <c r="L5" i="7"/>
  <c r="L17" i="9"/>
  <c r="L16" i="9" s="1"/>
  <c r="L15" i="9" s="1"/>
  <c r="L20" i="9"/>
  <c r="L20" i="7"/>
  <c r="L15" i="15" l="1"/>
  <c r="L50" i="7"/>
  <c r="L14" i="15" s="1"/>
  <c r="L16" i="16"/>
  <c r="L9" i="15"/>
  <c r="L9" i="7"/>
  <c r="L14" i="18" l="1"/>
  <c r="L15" i="17"/>
  <c r="L17" i="17" s="1"/>
  <c r="L5" i="17"/>
  <c r="L15" i="18"/>
  <c r="L11" i="7"/>
  <c r="L13" i="15"/>
  <c r="L17" i="16"/>
  <c r="M19" i="16" s="1"/>
  <c r="AF19" i="16" s="1"/>
  <c r="L9" i="18"/>
  <c r="L11" i="18" s="1"/>
  <c r="L11" i="15"/>
  <c r="L23" i="17" l="1"/>
  <c r="L24" i="17" s="1"/>
  <c r="L25" i="17" s="1"/>
  <c r="W41" i="13"/>
  <c r="L4" i="17"/>
  <c r="L13" i="18"/>
  <c r="L17" i="18" s="1"/>
  <c r="L21" i="18" s="1"/>
  <c r="L35" i="18" s="1"/>
  <c r="L17" i="15"/>
  <c r="L21" i="15" s="1"/>
  <c r="W42" i="13" l="1"/>
  <c r="W43" i="13" s="1"/>
  <c r="W45" i="13"/>
  <c r="W46" i="13" s="1"/>
  <c r="L36" i="15"/>
  <c r="L40" i="15"/>
  <c r="L35" i="15"/>
  <c r="L3" i="17" l="1"/>
  <c r="L7" i="17" s="1"/>
  <c r="L12" i="17" s="1"/>
  <c r="L27" i="17" s="1"/>
  <c r="M3" i="15"/>
  <c r="W44" i="13"/>
  <c r="L41" i="15"/>
  <c r="M21" i="3"/>
  <c r="M5" i="9" s="1"/>
  <c r="N5" i="9" s="1"/>
  <c r="M24" i="3"/>
  <c r="N24" i="3" s="1"/>
  <c r="M18" i="3"/>
  <c r="M14" i="3"/>
  <c r="N14" i="3" s="1"/>
  <c r="M3" i="2"/>
  <c r="M19" i="3" l="1"/>
  <c r="M4" i="10" s="1"/>
  <c r="M16" i="3"/>
  <c r="M14" i="7" s="1"/>
  <c r="M3" i="10"/>
  <c r="N18" i="3"/>
  <c r="N3" i="10" s="1"/>
  <c r="M5" i="2"/>
  <c r="N5" i="2" s="1"/>
  <c r="N3" i="2"/>
  <c r="M25" i="3"/>
  <c r="M17" i="7" s="1"/>
  <c r="M18" i="7" s="1"/>
  <c r="M5" i="10" l="1"/>
  <c r="M16" i="15" s="1"/>
  <c r="M6" i="15"/>
  <c r="M6" i="18" s="1"/>
  <c r="N6" i="18" s="1"/>
  <c r="M4" i="16"/>
  <c r="N16" i="3"/>
  <c r="N6" i="15" s="1"/>
  <c r="B22" i="19"/>
  <c r="M23" i="3"/>
  <c r="N23" i="3" s="1"/>
  <c r="M7" i="2"/>
  <c r="M10" i="2" s="1"/>
  <c r="M4" i="9" s="1"/>
  <c r="N4" i="9" s="1"/>
  <c r="N6" i="9" s="1"/>
  <c r="N5" i="10"/>
  <c r="N4" i="10" s="1"/>
  <c r="M16" i="7"/>
  <c r="N16" i="7" s="1"/>
  <c r="N17" i="7" s="1"/>
  <c r="M16" i="18"/>
  <c r="N16" i="18" s="1"/>
  <c r="M6" i="17"/>
  <c r="N6" i="17" s="1"/>
  <c r="B28" i="19" s="1"/>
  <c r="B12" i="19" s="1"/>
  <c r="N16" i="15"/>
  <c r="N4" i="16" l="1"/>
  <c r="N14" i="7"/>
  <c r="M15" i="7"/>
  <c r="M19" i="7" s="1"/>
  <c r="M5" i="15"/>
  <c r="X40" i="13" s="1"/>
  <c r="N7" i="2"/>
  <c r="N3" i="16" s="1"/>
  <c r="M13" i="2"/>
  <c r="M14" i="2" s="1"/>
  <c r="M6" i="7" s="1"/>
  <c r="M7" i="7" s="1"/>
  <c r="M3" i="16"/>
  <c r="M5" i="16" s="1"/>
  <c r="M10" i="16" s="1"/>
  <c r="M13" i="9"/>
  <c r="N13" i="9" s="1"/>
  <c r="M3" i="7"/>
  <c r="M6" i="9"/>
  <c r="M7" i="9" s="1"/>
  <c r="N7" i="9" s="1"/>
  <c r="N5" i="16"/>
  <c r="N15" i="7"/>
  <c r="B23" i="19" l="1"/>
  <c r="B21" i="19"/>
  <c r="M5" i="18"/>
  <c r="N5" i="18" s="1"/>
  <c r="N5" i="15"/>
  <c r="G40" i="13" s="1"/>
  <c r="N3" i="7"/>
  <c r="X47" i="13"/>
  <c r="M12" i="2"/>
  <c r="M4" i="7" s="1"/>
  <c r="M14" i="9"/>
  <c r="M17" i="9" s="1"/>
  <c r="M8" i="9"/>
  <c r="N8" i="9" s="1"/>
  <c r="M5" i="7"/>
  <c r="N5" i="7" s="1"/>
  <c r="N6" i="7" s="1"/>
  <c r="G47" i="13"/>
  <c r="N19" i="7"/>
  <c r="M20" i="7"/>
  <c r="N10" i="16"/>
  <c r="B24" i="19" s="1"/>
  <c r="N14" i="9" l="1"/>
  <c r="B7" i="19"/>
  <c r="N4" i="7"/>
  <c r="M8" i="7"/>
  <c r="M9" i="7" s="1"/>
  <c r="M20" i="9"/>
  <c r="M16" i="16" s="1"/>
  <c r="M50" i="7"/>
  <c r="M14" i="15" s="1"/>
  <c r="N20" i="7"/>
  <c r="M16" i="9"/>
  <c r="N17" i="9"/>
  <c r="M9" i="15" l="1"/>
  <c r="M9" i="18" s="1"/>
  <c r="N20" i="9"/>
  <c r="N9" i="15" s="1"/>
  <c r="N8" i="7"/>
  <c r="N50" i="7"/>
  <c r="N16" i="16"/>
  <c r="M17" i="16"/>
  <c r="M11" i="7"/>
  <c r="N9" i="7"/>
  <c r="M13" i="15"/>
  <c r="M14" i="18"/>
  <c r="N14" i="18" s="1"/>
  <c r="N14" i="15"/>
  <c r="M15" i="17"/>
  <c r="N16" i="9"/>
  <c r="M15" i="15"/>
  <c r="M15" i="9"/>
  <c r="N15" i="9" s="1"/>
  <c r="N11" i="15" l="1"/>
  <c r="G60" i="13" s="1"/>
  <c r="M11" i="15"/>
  <c r="N15" i="17"/>
  <c r="M17" i="17"/>
  <c r="M23" i="17"/>
  <c r="N17" i="16"/>
  <c r="X41" i="13"/>
  <c r="M15" i="18"/>
  <c r="N15" i="18" s="1"/>
  <c r="N15" i="15"/>
  <c r="M5" i="17"/>
  <c r="N5" i="17" s="1"/>
  <c r="N9" i="18"/>
  <c r="N11" i="18" s="1"/>
  <c r="M11" i="18"/>
  <c r="N11" i="7"/>
  <c r="M4" i="17"/>
  <c r="N4" i="17" s="1"/>
  <c r="B27" i="19" s="1"/>
  <c r="B10" i="19" s="1"/>
  <c r="N13" i="15"/>
  <c r="M13" i="18"/>
  <c r="M17" i="15"/>
  <c r="M21" i="15" l="1"/>
  <c r="X45" i="13" s="1"/>
  <c r="X46" i="13" s="1"/>
  <c r="N17" i="15"/>
  <c r="G61" i="13" s="1"/>
  <c r="G41" i="13"/>
  <c r="B25" i="19"/>
  <c r="B6" i="19" s="1"/>
  <c r="N13" i="18"/>
  <c r="N17" i="18" s="1"/>
  <c r="N21" i="18" s="1"/>
  <c r="N35" i="18" s="1"/>
  <c r="M17" i="18"/>
  <c r="M21" i="18" s="1"/>
  <c r="M35" i="18" s="1"/>
  <c r="N23" i="17"/>
  <c r="N24" i="17" s="1"/>
  <c r="B33" i="19" s="1"/>
  <c r="M24" i="17"/>
  <c r="M25" i="17" s="1"/>
  <c r="N17" i="17"/>
  <c r="B30" i="19"/>
  <c r="B11" i="19" s="1"/>
  <c r="M36" i="15" l="1"/>
  <c r="M3" i="17" s="1"/>
  <c r="N3" i="17" s="1"/>
  <c r="X42" i="13"/>
  <c r="X43" i="13" s="1"/>
  <c r="M40" i="15"/>
  <c r="G44" i="13" s="1"/>
  <c r="M35" i="15"/>
  <c r="N21" i="15"/>
  <c r="N35" i="15" s="1"/>
  <c r="N25" i="17"/>
  <c r="M7" i="17"/>
  <c r="M12" i="17" s="1"/>
  <c r="M27" i="17" s="1"/>
  <c r="B4" i="19"/>
  <c r="N40" i="15" l="1"/>
  <c r="M41" i="15"/>
  <c r="X44" i="13"/>
  <c r="G45" i="13"/>
  <c r="G46" i="13" s="1"/>
  <c r="G50" i="13"/>
  <c r="G51" i="13" s="1"/>
  <c r="G42" i="13"/>
  <c r="G43" i="13" s="1"/>
  <c r="N36" i="15"/>
  <c r="O3" i="15" s="1"/>
  <c r="AA3" i="15" s="1"/>
  <c r="B26" i="19"/>
  <c r="N7" i="17"/>
  <c r="N12" i="17" s="1"/>
  <c r="F53" i="13"/>
  <c r="F54" i="13"/>
  <c r="G52" i="13" l="1"/>
  <c r="N27" i="17"/>
  <c r="B29" i="19"/>
  <c r="B5" i="19" l="1"/>
  <c r="B16" i="19"/>
  <c r="B13" i="19"/>
  <c r="O21" i="3"/>
  <c r="O18" i="3"/>
  <c r="O24" i="3"/>
  <c r="O25" i="3" s="1"/>
  <c r="O17" i="7" s="1"/>
  <c r="O18" i="7" s="1"/>
  <c r="O14" i="3"/>
  <c r="O16" i="3" s="1"/>
  <c r="O3" i="2"/>
  <c r="O3" i="10" l="1"/>
  <c r="O19" i="3"/>
  <c r="O4" i="10" s="1"/>
  <c r="O5" i="10" s="1"/>
  <c r="O16" i="15" s="1"/>
  <c r="O5" i="2"/>
  <c r="O7" i="2" s="1"/>
  <c r="O5" i="15" s="1"/>
  <c r="O16" i="7"/>
  <c r="O6" i="15"/>
  <c r="O6" i="18" s="1"/>
  <c r="O14" i="7"/>
  <c r="O23" i="3"/>
  <c r="O4" i="16"/>
  <c r="O3" i="16" l="1"/>
  <c r="O3" i="7"/>
  <c r="O10" i="2"/>
  <c r="O4" i="9" s="1"/>
  <c r="O13" i="2"/>
  <c r="O14" i="2" s="1"/>
  <c r="O6" i="7" s="1"/>
  <c r="O7" i="7" s="1"/>
  <c r="Y40" i="13"/>
  <c r="O5" i="18"/>
  <c r="O6" i="17"/>
  <c r="O16" i="18"/>
  <c r="O5" i="16"/>
  <c r="O15" i="7"/>
  <c r="O12" i="2" l="1"/>
  <c r="O4" i="7" s="1"/>
  <c r="O8" i="7" s="1"/>
  <c r="O19" i="7"/>
  <c r="O5" i="7"/>
  <c r="O9" i="7" l="1"/>
  <c r="O20" i="7"/>
  <c r="O11" i="7" l="1"/>
  <c r="O13" i="15"/>
  <c r="O13" i="18" l="1"/>
  <c r="O4" i="17"/>
  <c r="P21" i="3" l="1"/>
  <c r="P24" i="3"/>
  <c r="P25" i="3" s="1"/>
  <c r="P17" i="7" s="1"/>
  <c r="P18" i="7" s="1"/>
  <c r="P18" i="3"/>
  <c r="P19" i="3" s="1"/>
  <c r="P14" i="3"/>
  <c r="P3" i="2"/>
  <c r="P5" i="2" l="1"/>
  <c r="P7" i="2" s="1"/>
  <c r="P13" i="2" s="1"/>
  <c r="P16" i="7"/>
  <c r="P16" i="3"/>
  <c r="P3" i="10"/>
  <c r="P4" i="10"/>
  <c r="P10" i="2" l="1"/>
  <c r="P4" i="9" s="1"/>
  <c r="P23" i="3"/>
  <c r="P6" i="15"/>
  <c r="P6" i="18" s="1"/>
  <c r="P4" i="16"/>
  <c r="P14" i="7"/>
  <c r="P5" i="10"/>
  <c r="P16" i="15" s="1"/>
  <c r="P14" i="2"/>
  <c r="P6" i="7" s="1"/>
  <c r="P7" i="7" s="1"/>
  <c r="P12" i="2"/>
  <c r="P5" i="15"/>
  <c r="P3" i="7"/>
  <c r="P3" i="16"/>
  <c r="P5" i="16" l="1"/>
  <c r="P6" i="17"/>
  <c r="P16" i="18"/>
  <c r="P4" i="7"/>
  <c r="P15" i="7"/>
  <c r="P5" i="18"/>
  <c r="Z40" i="13"/>
  <c r="P5" i="7"/>
  <c r="P8" i="7" l="1"/>
  <c r="P19" i="7"/>
  <c r="P20" i="7" l="1"/>
  <c r="P9" i="7"/>
  <c r="P13" i="15" l="1"/>
  <c r="P11" i="7"/>
  <c r="P4" i="17" l="1"/>
  <c r="P13" i="18"/>
  <c r="Q21" i="3" l="1"/>
  <c r="Q18" i="3"/>
  <c r="Q19" i="3" s="1"/>
  <c r="Q24" i="3"/>
  <c r="Q25" i="3" s="1"/>
  <c r="Q17" i="7" s="1"/>
  <c r="Q18" i="7" s="1"/>
  <c r="Q3" i="2"/>
  <c r="Q14" i="3"/>
  <c r="Q16" i="3" s="1"/>
  <c r="Q5" i="2" l="1"/>
  <c r="Q7" i="2" s="1"/>
  <c r="Q13" i="2" s="1"/>
  <c r="Q23" i="3"/>
  <c r="Q4" i="16"/>
  <c r="Q6" i="15"/>
  <c r="Q6" i="18" s="1"/>
  <c r="Q14" i="7"/>
  <c r="Q16" i="7"/>
  <c r="Q4" i="10"/>
  <c r="Q3" i="10"/>
  <c r="Q10" i="2" l="1"/>
  <c r="Q4" i="9" s="1"/>
  <c r="Q14" i="2"/>
  <c r="Q6" i="7" s="1"/>
  <c r="Q7" i="7" s="1"/>
  <c r="Q5" i="15"/>
  <c r="Q12" i="2"/>
  <c r="Q3" i="7"/>
  <c r="Q3" i="16"/>
  <c r="Q5" i="16" s="1"/>
  <c r="Q5" i="10"/>
  <c r="Q16" i="15" s="1"/>
  <c r="Q15" i="7"/>
  <c r="Q4" i="7" l="1"/>
  <c r="Q8" i="7" s="1"/>
  <c r="Q9" i="7" s="1"/>
  <c r="Q19" i="7"/>
  <c r="Q5" i="7"/>
  <c r="Q16" i="18"/>
  <c r="Q6" i="17"/>
  <c r="Q5" i="18"/>
  <c r="AA40" i="13"/>
  <c r="Q13" i="15" l="1"/>
  <c r="Q11" i="7"/>
  <c r="Q20" i="7"/>
  <c r="Q13" i="18" l="1"/>
  <c r="Q4" i="17"/>
  <c r="R21" i="3" l="1"/>
  <c r="R24" i="3"/>
  <c r="R18" i="3"/>
  <c r="R3" i="2"/>
  <c r="R14" i="3"/>
  <c r="R16" i="3" s="1"/>
  <c r="R3" i="10" l="1"/>
  <c r="R19" i="3"/>
  <c r="R4" i="10" s="1"/>
  <c r="R5" i="10" s="1"/>
  <c r="R16" i="15" s="1"/>
  <c r="R5" i="2"/>
  <c r="R7" i="2" s="1"/>
  <c r="R13" i="2" s="1"/>
  <c r="R14" i="7"/>
  <c r="R23" i="3"/>
  <c r="R4" i="16"/>
  <c r="R6" i="15"/>
  <c r="R6" i="18" s="1"/>
  <c r="R25" i="3"/>
  <c r="R17" i="7" s="1"/>
  <c r="R18" i="7" s="1"/>
  <c r="R10" i="2" l="1"/>
  <c r="R4" i="9" s="1"/>
  <c r="R16" i="18"/>
  <c r="R6" i="17"/>
  <c r="R15" i="7"/>
  <c r="R12" i="2"/>
  <c r="R3" i="16"/>
  <c r="R5" i="16" s="1"/>
  <c r="R5" i="15"/>
  <c r="R3" i="7"/>
  <c r="R16" i="7"/>
  <c r="R14" i="2"/>
  <c r="R6" i="7" s="1"/>
  <c r="R7" i="7" s="1"/>
  <c r="R5" i="7" l="1"/>
  <c r="AB40" i="13"/>
  <c r="R5" i="18"/>
  <c r="R4" i="7"/>
  <c r="R19" i="7"/>
  <c r="R20" i="7" l="1"/>
  <c r="R8" i="7"/>
  <c r="R9" i="7" l="1"/>
  <c r="R11" i="7" l="1"/>
  <c r="R13" i="15"/>
  <c r="R13" i="18" l="1"/>
  <c r="R4" i="17"/>
  <c r="S21" i="3" l="1"/>
  <c r="S18" i="3"/>
  <c r="S24" i="3"/>
  <c r="S14" i="3"/>
  <c r="S3" i="2"/>
  <c r="S5" i="2" s="1"/>
  <c r="S19" i="3" l="1"/>
  <c r="S4" i="10" s="1"/>
  <c r="S7" i="2"/>
  <c r="S10" i="2" s="1"/>
  <c r="S4" i="9" s="1"/>
  <c r="S16" i="3"/>
  <c r="S25" i="3"/>
  <c r="S17" i="7" s="1"/>
  <c r="S18" i="7" s="1"/>
  <c r="S3" i="10"/>
  <c r="S5" i="10" l="1"/>
  <c r="S16" i="15" s="1"/>
  <c r="S13" i="2"/>
  <c r="S12" i="2" s="1"/>
  <c r="S16" i="18"/>
  <c r="S6" i="17"/>
  <c r="S16" i="7"/>
  <c r="S5" i="15"/>
  <c r="S3" i="16"/>
  <c r="S3" i="7"/>
  <c r="S6" i="15"/>
  <c r="S6" i="18" s="1"/>
  <c r="S4" i="16"/>
  <c r="S23" i="3"/>
  <c r="S14" i="7"/>
  <c r="S14" i="2" l="1"/>
  <c r="S6" i="7" s="1"/>
  <c r="S7" i="7" s="1"/>
  <c r="S5" i="16"/>
  <c r="S15" i="7"/>
  <c r="AC40" i="13"/>
  <c r="S5" i="18"/>
  <c r="S4" i="7" l="1"/>
  <c r="S8" i="7" s="1"/>
  <c r="S9" i="7" s="1"/>
  <c r="S5" i="7"/>
  <c r="S19" i="7"/>
  <c r="S11" i="7" l="1"/>
  <c r="S13" i="15"/>
  <c r="S20" i="7"/>
  <c r="S13" i="18" l="1"/>
  <c r="S4" i="17"/>
  <c r="T21" i="3" l="1"/>
  <c r="T18" i="3"/>
  <c r="T14" i="3"/>
  <c r="T16" i="3" s="1"/>
  <c r="T14" i="7" s="1"/>
  <c r="T3" i="2"/>
  <c r="T5" i="2" s="1"/>
  <c r="T7" i="2" s="1"/>
  <c r="T24" i="3"/>
  <c r="T25" i="3" s="1"/>
  <c r="T17" i="7" s="1"/>
  <c r="T18" i="7" s="1"/>
  <c r="T19" i="3" l="1"/>
  <c r="T4" i="10" s="1"/>
  <c r="T3" i="16"/>
  <c r="T5" i="15"/>
  <c r="T3" i="7"/>
  <c r="T4" i="16"/>
  <c r="T23" i="3"/>
  <c r="T6" i="15"/>
  <c r="T6" i="18" s="1"/>
  <c r="T10" i="2"/>
  <c r="T4" i="9" s="1"/>
  <c r="T16" i="7"/>
  <c r="T3" i="10"/>
  <c r="T13" i="2"/>
  <c r="T12" i="2" s="1"/>
  <c r="T5" i="10" l="1"/>
  <c r="T16" i="15" s="1"/>
  <c r="T16" i="18" s="1"/>
  <c r="T15" i="7"/>
  <c r="T5" i="16"/>
  <c r="T5" i="18"/>
  <c r="AD40" i="13"/>
  <c r="T14" i="2"/>
  <c r="T6" i="7" s="1"/>
  <c r="T7" i="7" s="1"/>
  <c r="T6" i="17" l="1"/>
  <c r="T5" i="7"/>
  <c r="T19" i="7"/>
  <c r="T4" i="7"/>
  <c r="T20" i="7" l="1"/>
  <c r="T8" i="7"/>
  <c r="T9" i="7" l="1"/>
  <c r="T13" i="15" l="1"/>
  <c r="T11" i="7"/>
  <c r="T4" i="17" l="1"/>
  <c r="T13" i="18"/>
  <c r="U21" i="3" l="1"/>
  <c r="U18" i="3"/>
  <c r="U24" i="3"/>
  <c r="U3" i="2"/>
  <c r="U5" i="2" s="1"/>
  <c r="U14" i="3"/>
  <c r="U3" i="10" l="1"/>
  <c r="U19" i="3"/>
  <c r="U4" i="10" s="1"/>
  <c r="U5" i="10" s="1"/>
  <c r="U16" i="15" s="1"/>
  <c r="U25" i="3"/>
  <c r="U17" i="7" s="1"/>
  <c r="U18" i="7" s="1"/>
  <c r="U16" i="3"/>
  <c r="U7" i="2"/>
  <c r="U13" i="2" s="1"/>
  <c r="U10" i="2" l="1"/>
  <c r="U4" i="9" s="1"/>
  <c r="U23" i="3"/>
  <c r="U14" i="7"/>
  <c r="U6" i="15"/>
  <c r="U6" i="18" s="1"/>
  <c r="U4" i="16"/>
  <c r="U3" i="16"/>
  <c r="U5" i="15"/>
  <c r="U12" i="2"/>
  <c r="U3" i="7"/>
  <c r="U6" i="17"/>
  <c r="U16" i="18"/>
  <c r="U14" i="2"/>
  <c r="U6" i="7" s="1"/>
  <c r="U7" i="7" s="1"/>
  <c r="U16" i="7"/>
  <c r="U5" i="16" l="1"/>
  <c r="AE40" i="13"/>
  <c r="U5" i="18"/>
  <c r="U5" i="7"/>
  <c r="U4" i="7"/>
  <c r="U15" i="7"/>
  <c r="U8" i="7" l="1"/>
  <c r="U19" i="7"/>
  <c r="U20" i="7" l="1"/>
  <c r="U9" i="7"/>
  <c r="U11" i="7" l="1"/>
  <c r="U13" i="15"/>
  <c r="U13" i="18" l="1"/>
  <c r="U4" i="17"/>
  <c r="V21" i="3" l="1"/>
  <c r="V18" i="3"/>
  <c r="V19" i="3" s="1"/>
  <c r="V24" i="3"/>
  <c r="V14" i="3"/>
  <c r="V16" i="3" s="1"/>
  <c r="V3" i="2"/>
  <c r="V5" i="2" s="1"/>
  <c r="V7" i="2" s="1"/>
  <c r="V10" i="2" s="1"/>
  <c r="V4" i="9" s="1"/>
  <c r="V13" i="2" l="1"/>
  <c r="V14" i="2" s="1"/>
  <c r="V6" i="7" s="1"/>
  <c r="V4" i="16"/>
  <c r="V6" i="15"/>
  <c r="V6" i="18" s="1"/>
  <c r="V23" i="3"/>
  <c r="V3" i="16"/>
  <c r="V3" i="7"/>
  <c r="V25" i="3"/>
  <c r="V17" i="7" s="1"/>
  <c r="V18" i="7" s="1"/>
  <c r="V5" i="15"/>
  <c r="V14" i="7"/>
  <c r="V4" i="10"/>
  <c r="V3" i="10"/>
  <c r="V12" i="2" l="1"/>
  <c r="V4" i="7" s="1"/>
  <c r="V5" i="16"/>
  <c r="V7" i="7"/>
  <c r="V5" i="7"/>
  <c r="V5" i="10"/>
  <c r="V16" i="15" s="1"/>
  <c r="V16" i="18" s="1"/>
  <c r="V5" i="18"/>
  <c r="AF40" i="13"/>
  <c r="V16" i="7"/>
  <c r="V15" i="7"/>
  <c r="V8" i="7" l="1"/>
  <c r="V9" i="7" s="1"/>
  <c r="V6" i="17"/>
  <c r="V19" i="7"/>
  <c r="V13" i="15" l="1"/>
  <c r="V11" i="7"/>
  <c r="V20" i="7"/>
  <c r="V13" i="18" l="1"/>
  <c r="V4" i="17"/>
  <c r="W21" i="3" l="1"/>
  <c r="W24" i="3"/>
  <c r="W18" i="3"/>
  <c r="W14" i="3"/>
  <c r="W16" i="3" s="1"/>
  <c r="W3" i="2"/>
  <c r="W5" i="2" s="1"/>
  <c r="W3" i="10" l="1"/>
  <c r="W19" i="3"/>
  <c r="W4" i="10" s="1"/>
  <c r="W5" i="10" s="1"/>
  <c r="W16" i="15" s="1"/>
  <c r="W6" i="17" s="1"/>
  <c r="W14" i="7"/>
  <c r="W4" i="16"/>
  <c r="W23" i="3"/>
  <c r="W7" i="2"/>
  <c r="W13" i="2" s="1"/>
  <c r="W6" i="15"/>
  <c r="W6" i="18" s="1"/>
  <c r="W25" i="3"/>
  <c r="W17" i="7" s="1"/>
  <c r="W18" i="7" s="1"/>
  <c r="W16" i="7" l="1"/>
  <c r="W16" i="18"/>
  <c r="W14" i="2"/>
  <c r="W6" i="7" s="1"/>
  <c r="W7" i="7" s="1"/>
  <c r="W12" i="2"/>
  <c r="W3" i="7"/>
  <c r="W3" i="16"/>
  <c r="W5" i="16" s="1"/>
  <c r="W5" i="15"/>
  <c r="W10" i="2"/>
  <c r="W4" i="9" s="1"/>
  <c r="W15" i="7"/>
  <c r="W5" i="7" l="1"/>
  <c r="W4" i="7"/>
  <c r="W8" i="7" s="1"/>
  <c r="W9" i="7" s="1"/>
  <c r="W19" i="7"/>
  <c r="W5" i="18"/>
  <c r="AG40" i="13"/>
  <c r="W20" i="7" l="1"/>
  <c r="W11" i="7"/>
  <c r="W13" i="15"/>
  <c r="W13" i="18" l="1"/>
  <c r="W4" i="17"/>
  <c r="X21" i="3" l="1"/>
  <c r="X18" i="3"/>
  <c r="X14" i="3"/>
  <c r="X24" i="3"/>
  <c r="X25" i="3" s="1"/>
  <c r="X17" i="7" s="1"/>
  <c r="X3" i="2"/>
  <c r="X5" i="2"/>
  <c r="X3" i="10" l="1"/>
  <c r="X19" i="3"/>
  <c r="X18" i="7"/>
  <c r="X16" i="7"/>
  <c r="X7" i="2"/>
  <c r="X16" i="3"/>
  <c r="X4" i="10"/>
  <c r="X5" i="10" s="1"/>
  <c r="X16" i="15" s="1"/>
  <c r="X16" i="18" l="1"/>
  <c r="X6" i="17"/>
  <c r="X3" i="7"/>
  <c r="X5" i="15"/>
  <c r="X3" i="16"/>
  <c r="X4" i="16"/>
  <c r="X6" i="15"/>
  <c r="X6" i="18" s="1"/>
  <c r="X14" i="7"/>
  <c r="X23" i="3"/>
  <c r="X13" i="2"/>
  <c r="X12" i="2" s="1"/>
  <c r="X10" i="2"/>
  <c r="X4" i="9" s="1"/>
  <c r="X14" i="2" l="1"/>
  <c r="X6" i="7" s="1"/>
  <c r="X7" i="7" s="1"/>
  <c r="X5" i="18"/>
  <c r="AH40" i="13"/>
  <c r="X15" i="7"/>
  <c r="X5" i="16"/>
  <c r="X19" i="7" l="1"/>
  <c r="X5" i="7"/>
  <c r="X4" i="7"/>
  <c r="X8" i="7" l="1"/>
  <c r="X20" i="7"/>
  <c r="X9" i="7" l="1"/>
  <c r="X13" i="15" l="1"/>
  <c r="X11" i="7"/>
  <c r="X4" i="17" l="1"/>
  <c r="X13" i="18"/>
  <c r="Y21" i="3" l="1"/>
  <c r="Y24" i="3"/>
  <c r="Y25" i="3" s="1"/>
  <c r="Y17" i="7" s="1"/>
  <c r="Y18" i="7" s="1"/>
  <c r="Y18" i="3"/>
  <c r="Y14" i="3"/>
  <c r="Y3" i="2"/>
  <c r="Y5" i="2"/>
  <c r="Y3" i="10" l="1"/>
  <c r="Y19" i="3"/>
  <c r="Y4" i="10" s="1"/>
  <c r="Y5" i="10" s="1"/>
  <c r="Y16" i="15" s="1"/>
  <c r="Y7" i="2"/>
  <c r="Y13" i="2" s="1"/>
  <c r="Y16" i="3"/>
  <c r="Y16" i="7"/>
  <c r="Y10" i="2" l="1"/>
  <c r="Y4" i="9" s="1"/>
  <c r="Y14" i="2"/>
  <c r="Y6" i="7" s="1"/>
  <c r="Y7" i="7" s="1"/>
  <c r="Y6" i="17"/>
  <c r="Y16" i="18"/>
  <c r="Y4" i="16"/>
  <c r="Y23" i="3"/>
  <c r="Y14" i="7"/>
  <c r="Y6" i="15"/>
  <c r="Y6" i="18" s="1"/>
  <c r="Y3" i="16"/>
  <c r="Y5" i="16" s="1"/>
  <c r="Y12" i="2"/>
  <c r="Y3" i="7"/>
  <c r="Y5" i="15"/>
  <c r="Y4" i="7" l="1"/>
  <c r="Y8" i="7" s="1"/>
  <c r="Y5" i="7"/>
  <c r="Y15" i="7"/>
  <c r="Y5" i="18"/>
  <c r="AI40" i="13"/>
  <c r="Y19" i="7" l="1"/>
  <c r="Y9" i="7"/>
  <c r="Y20" i="7" l="1"/>
  <c r="Y11" i="7"/>
  <c r="Y13" i="15"/>
  <c r="Y4" i="17" l="1"/>
  <c r="Y13" i="18"/>
  <c r="Z21" i="3" l="1"/>
  <c r="Z24" i="3"/>
  <c r="Z25" i="3" s="1"/>
  <c r="Z17" i="7" s="1"/>
  <c r="Z18" i="7" s="1"/>
  <c r="Z18" i="3"/>
  <c r="Z19" i="3" s="1"/>
  <c r="Z14" i="3"/>
  <c r="AA14" i="3" s="1"/>
  <c r="Z3" i="2"/>
  <c r="AA3" i="2" s="1"/>
  <c r="AA24" i="3" l="1"/>
  <c r="Z5" i="2"/>
  <c r="AA5" i="2" s="1"/>
  <c r="Z16" i="3"/>
  <c r="Z14" i="7" s="1"/>
  <c r="AA16" i="3"/>
  <c r="Z4" i="10"/>
  <c r="Z3" i="10"/>
  <c r="AA18" i="3"/>
  <c r="Z16" i="7"/>
  <c r="AA16" i="7" s="1"/>
  <c r="AA17" i="7" s="1"/>
  <c r="Z7" i="2" l="1"/>
  <c r="Z3" i="7" s="1"/>
  <c r="Z23" i="3"/>
  <c r="Z15" i="7" s="1"/>
  <c r="Z6" i="15"/>
  <c r="Z6" i="18" s="1"/>
  <c r="AA6" i="18" s="1"/>
  <c r="Z4" i="16"/>
  <c r="AA14" i="7"/>
  <c r="AA6" i="15"/>
  <c r="AA4" i="16"/>
  <c r="AA3" i="10"/>
  <c r="C22" i="19"/>
  <c r="AA23" i="3"/>
  <c r="Z5" i="10"/>
  <c r="AA5" i="10" s="1"/>
  <c r="Z10" i="2" l="1"/>
  <c r="Z4" i="9" s="1"/>
  <c r="Z3" i="16"/>
  <c r="Z5" i="16" s="1"/>
  <c r="AA5" i="16" s="1"/>
  <c r="Z5" i="15"/>
  <c r="AJ40" i="13" s="1"/>
  <c r="Z13" i="2"/>
  <c r="Z14" i="2" s="1"/>
  <c r="Z6" i="7" s="1"/>
  <c r="Z7" i="7" s="1"/>
  <c r="AA7" i="2"/>
  <c r="AA3" i="7" s="1"/>
  <c r="Z16" i="15"/>
  <c r="AA16" i="15" s="1"/>
  <c r="AA4" i="9"/>
  <c r="Z19" i="7"/>
  <c r="AA15" i="7"/>
  <c r="Z5" i="18" l="1"/>
  <c r="AA5" i="15"/>
  <c r="H40" i="13" s="1"/>
  <c r="AA3" i="16"/>
  <c r="Z12" i="2"/>
  <c r="Z4" i="7" s="1"/>
  <c r="Z8" i="7" s="1"/>
  <c r="Z5" i="7"/>
  <c r="AA5" i="7" s="1"/>
  <c r="AA6" i="7" s="1"/>
  <c r="AA19" i="7"/>
  <c r="Z20" i="7"/>
  <c r="Z16" i="18"/>
  <c r="AA16" i="18" s="1"/>
  <c r="Z6" i="17"/>
  <c r="AA6" i="17" s="1"/>
  <c r="C28" i="19" s="1"/>
  <c r="C12" i="19" s="1"/>
  <c r="AA5" i="18"/>
  <c r="C21" i="19" l="1"/>
  <c r="AA4" i="7"/>
  <c r="AA8" i="7"/>
  <c r="Z9" i="7"/>
  <c r="AA20" i="7"/>
  <c r="AA9" i="7" l="1"/>
  <c r="Z13" i="15"/>
  <c r="Z11" i="7"/>
  <c r="AA11" i="7" l="1"/>
  <c r="AA13" i="15"/>
  <c r="Z13" i="18"/>
  <c r="Z4" i="17"/>
  <c r="AA4" i="17" s="1"/>
  <c r="C27" i="19" s="1"/>
  <c r="C10" i="19" s="1"/>
  <c r="AA13" i="18" l="1"/>
  <c r="AB21" i="3" l="1"/>
  <c r="AB5" i="9" s="1"/>
  <c r="AB24" i="3"/>
  <c r="AB25" i="3" s="1"/>
  <c r="AB17" i="7" s="1"/>
  <c r="AB14" i="3"/>
  <c r="AB16" i="3" s="1"/>
  <c r="AB18" i="3"/>
  <c r="AB19" i="3" s="1"/>
  <c r="AB3" i="2"/>
  <c r="AB3" i="10" l="1"/>
  <c r="AB5" i="10" s="1"/>
  <c r="D22" i="19"/>
  <c r="AB4" i="16"/>
  <c r="AB14" i="7"/>
  <c r="AB6" i="15"/>
  <c r="AB6" i="18" s="1"/>
  <c r="AB23" i="3"/>
  <c r="AB15" i="7" s="1"/>
  <c r="AB5" i="2"/>
  <c r="AB7" i="2" s="1"/>
  <c r="AB16" i="7"/>
  <c r="AB20" i="7" s="1"/>
  <c r="D23" i="19" l="1"/>
  <c r="AB13" i="2"/>
  <c r="AB5" i="7" s="1"/>
  <c r="AB10" i="2"/>
  <c r="AB4" i="9" s="1"/>
  <c r="AB6" i="9" s="1"/>
  <c r="AB50" i="7"/>
  <c r="AB19" i="7"/>
  <c r="AB14" i="2"/>
  <c r="AB6" i="7" s="1"/>
  <c r="AB5" i="15"/>
  <c r="AB3" i="7"/>
  <c r="AB3" i="16"/>
  <c r="AB13" i="9"/>
  <c r="AB14" i="9" s="1"/>
  <c r="AB12" i="2" l="1"/>
  <c r="AB4" i="7" s="1"/>
  <c r="AB9" i="7"/>
  <c r="AB11" i="7" s="1"/>
  <c r="D21" i="19"/>
  <c r="AB5" i="16"/>
  <c r="AB20" i="9"/>
  <c r="I40" i="13"/>
  <c r="AB5" i="18"/>
  <c r="AB13" i="15" l="1"/>
  <c r="AB4" i="17" s="1"/>
  <c r="D27" i="19" s="1"/>
  <c r="D10" i="19" s="1"/>
  <c r="AB8" i="7"/>
  <c r="AB9" i="15"/>
  <c r="AB16" i="16"/>
  <c r="I47" i="13"/>
  <c r="AB10" i="16"/>
  <c r="AB11" i="15" l="1"/>
  <c r="AB13" i="18"/>
  <c r="D24" i="19"/>
  <c r="D7" i="19" s="1"/>
  <c r="AB17" i="16"/>
  <c r="I41" i="13" l="1"/>
  <c r="D25" i="19"/>
  <c r="D6" i="19" s="1"/>
  <c r="I60" i="13"/>
  <c r="AC14" i="3" l="1"/>
  <c r="AC16" i="3" s="1"/>
  <c r="AC6" i="15" s="1"/>
  <c r="AC6" i="18" s="1"/>
  <c r="AC21" i="3"/>
  <c r="AC5" i="9" s="1"/>
  <c r="AC24" i="3"/>
  <c r="AC18" i="3"/>
  <c r="AC19" i="3" s="1"/>
  <c r="AC3" i="2"/>
  <c r="AC5" i="2" s="1"/>
  <c r="AC7" i="2" s="1"/>
  <c r="AC5" i="15" s="1"/>
  <c r="J40" i="13" l="1"/>
  <c r="AC5" i="18"/>
  <c r="AC13" i="2"/>
  <c r="AC5" i="7" s="1"/>
  <c r="AC10" i="2"/>
  <c r="AC4" i="9" s="1"/>
  <c r="AC6" i="9" s="1"/>
  <c r="AC16" i="7"/>
  <c r="AC25" i="3"/>
  <c r="AC17" i="7" s="1"/>
  <c r="AC14" i="2"/>
  <c r="AC6" i="7" s="1"/>
  <c r="AC3" i="7"/>
  <c r="AC13" i="9"/>
  <c r="AC14" i="9" s="1"/>
  <c r="AC3" i="16"/>
  <c r="E22" i="19"/>
  <c r="AC3" i="10"/>
  <c r="AC5" i="10" s="1"/>
  <c r="AC14" i="7"/>
  <c r="AC23" i="3"/>
  <c r="AC15" i="7" s="1"/>
  <c r="AC4" i="16"/>
  <c r="E23" i="19" l="1"/>
  <c r="AC20" i="9"/>
  <c r="AC5" i="16"/>
  <c r="E21" i="19"/>
  <c r="AC9" i="7"/>
  <c r="AC16" i="15"/>
  <c r="AC20" i="7"/>
  <c r="AC12" i="2"/>
  <c r="AC4" i="7" s="1"/>
  <c r="AC50" i="7" l="1"/>
  <c r="AC14" i="15" s="1"/>
  <c r="AC11" i="7"/>
  <c r="AC13" i="15"/>
  <c r="AC8" i="7"/>
  <c r="AC10" i="16"/>
  <c r="J47" i="13"/>
  <c r="AC19" i="7"/>
  <c r="AC9" i="15"/>
  <c r="AC16" i="16"/>
  <c r="AC13" i="18" l="1"/>
  <c r="AC4" i="17"/>
  <c r="E27" i="19" s="1"/>
  <c r="E10" i="19" s="1"/>
  <c r="AC17" i="16"/>
  <c r="E24" i="19"/>
  <c r="E7" i="19" s="1"/>
  <c r="AC11" i="15"/>
  <c r="E25" i="19" l="1"/>
  <c r="E6" i="19" s="1"/>
  <c r="J41" i="13"/>
  <c r="J60" i="13"/>
  <c r="AD21" i="3" l="1"/>
  <c r="AD5" i="9" s="1"/>
  <c r="AD24" i="3"/>
  <c r="AD16" i="7" s="1"/>
  <c r="AD14" i="3"/>
  <c r="AD16" i="3" s="1"/>
  <c r="AD3" i="2"/>
  <c r="AD5" i="2" s="1"/>
  <c r="AD18" i="3"/>
  <c r="AD19" i="3" s="1"/>
  <c r="F22" i="19" l="1"/>
  <c r="AD25" i="3"/>
  <c r="AD17" i="7" s="1"/>
  <c r="AD20" i="7" s="1"/>
  <c r="AD50" i="7" s="1"/>
  <c r="AD14" i="15" s="1"/>
  <c r="AD3" i="10"/>
  <c r="AD14" i="7"/>
  <c r="AD6" i="15"/>
  <c r="AD6" i="18" s="1"/>
  <c r="AD23" i="3"/>
  <c r="AD15" i="7" s="1"/>
  <c r="AD4" i="16"/>
  <c r="AD7" i="2"/>
  <c r="AD10" i="2" s="1"/>
  <c r="AD4" i="9" s="1"/>
  <c r="AD6" i="9" s="1"/>
  <c r="F23" i="19" l="1"/>
  <c r="AD5" i="10"/>
  <c r="AD16" i="15" s="1"/>
  <c r="AD13" i="2"/>
  <c r="AD5" i="7" s="1"/>
  <c r="AD19" i="7"/>
  <c r="AD13" i="9"/>
  <c r="AD14" i="9" s="1"/>
  <c r="AD5" i="15"/>
  <c r="AD14" i="2"/>
  <c r="AD6" i="7" s="1"/>
  <c r="AD3" i="7"/>
  <c r="AD3" i="16"/>
  <c r="AD12" i="2" l="1"/>
  <c r="AD4" i="7" s="1"/>
  <c r="AD9" i="7"/>
  <c r="AD13" i="15" s="1"/>
  <c r="AD5" i="16"/>
  <c r="F21" i="19"/>
  <c r="AD5" i="18"/>
  <c r="K40" i="13"/>
  <c r="AD20" i="9"/>
  <c r="AD11" i="7" l="1"/>
  <c r="AD8" i="7"/>
  <c r="AD9" i="15"/>
  <c r="AD16" i="16"/>
  <c r="AD4" i="17"/>
  <c r="F27" i="19" s="1"/>
  <c r="F10" i="19" s="1"/>
  <c r="AD13" i="18"/>
  <c r="K47" i="13"/>
  <c r="AD10" i="16"/>
  <c r="F24" i="19" l="1"/>
  <c r="F7" i="19" s="1"/>
  <c r="AD17" i="16"/>
  <c r="AD11" i="15"/>
  <c r="F25" i="19" l="1"/>
  <c r="F6" i="19" s="1"/>
  <c r="K41" i="13"/>
  <c r="K60" i="13"/>
  <c r="AA4" i="10" l="1"/>
  <c r="AB16" i="15"/>
  <c r="AB6" i="17" s="1"/>
  <c r="AB16" i="18" l="1"/>
  <c r="AC6" i="17"/>
  <c r="D28" i="19"/>
  <c r="D12" i="19" s="1"/>
  <c r="AC16" i="18" l="1"/>
  <c r="AD16" i="18"/>
  <c r="AD6" i="17"/>
  <c r="F28" i="19" s="1"/>
  <c r="F12" i="19" s="1"/>
  <c r="E28" i="19"/>
  <c r="E12" i="19" s="1"/>
  <c r="O13" i="4" l="1"/>
  <c r="U10" i="4"/>
  <c r="U13" i="4" s="1"/>
  <c r="Q10" i="4"/>
  <c r="Q13" i="4" s="1"/>
  <c r="Q15" i="4" s="1"/>
  <c r="R10" i="4"/>
  <c r="R13" i="4"/>
  <c r="R15" i="4" s="1"/>
  <c r="T10" i="4"/>
  <c r="T13" i="4"/>
  <c r="T15" i="4" s="1"/>
  <c r="P10" i="4"/>
  <c r="P13" i="4"/>
  <c r="P15" i="4" s="1"/>
  <c r="V10" i="4"/>
  <c r="W10" i="4"/>
  <c r="W13" i="4" s="1"/>
  <c r="W15" i="4" s="1"/>
  <c r="S10" i="4"/>
  <c r="S13" i="4" s="1"/>
  <c r="T8" i="15" l="1"/>
  <c r="T8" i="16"/>
  <c r="T9" i="16" s="1"/>
  <c r="T13" i="9"/>
  <c r="T14" i="9" s="1"/>
  <c r="T23" i="7"/>
  <c r="U15" i="4"/>
  <c r="W8" i="15"/>
  <c r="W8" i="16"/>
  <c r="W9" i="16" s="1"/>
  <c r="W23" i="7"/>
  <c r="W20" i="4"/>
  <c r="W13" i="9"/>
  <c r="W14" i="9" s="1"/>
  <c r="Q8" i="16"/>
  <c r="Q9" i="16" s="1"/>
  <c r="Q8" i="15"/>
  <c r="Q13" i="9"/>
  <c r="Q14" i="9" s="1"/>
  <c r="Q23" i="7"/>
  <c r="P8" i="15"/>
  <c r="P20" i="4"/>
  <c r="P23" i="7"/>
  <c r="P8" i="16"/>
  <c r="P9" i="16" s="1"/>
  <c r="P13" i="9"/>
  <c r="P14" i="9" s="1"/>
  <c r="R8" i="16"/>
  <c r="R9" i="16" s="1"/>
  <c r="R8" i="15"/>
  <c r="R23" i="7"/>
  <c r="R13" i="9"/>
  <c r="R14" i="9" s="1"/>
  <c r="R20" i="4"/>
  <c r="S15" i="4"/>
  <c r="S21" i="4"/>
  <c r="P18" i="4"/>
  <c r="P5" i="9" s="1"/>
  <c r="P6" i="9" s="1"/>
  <c r="T18" i="4"/>
  <c r="T5" i="9" s="1"/>
  <c r="T6" i="9" s="1"/>
  <c r="R18" i="4"/>
  <c r="R5" i="9" s="1"/>
  <c r="R6" i="9" s="1"/>
  <c r="R21" i="4"/>
  <c r="O15" i="4"/>
  <c r="W18" i="4"/>
  <c r="W5" i="9" s="1"/>
  <c r="W6" i="9" s="1"/>
  <c r="S18" i="4"/>
  <c r="S5" i="9" s="1"/>
  <c r="S6" i="9" s="1"/>
  <c r="Q18" i="4"/>
  <c r="Q5" i="9" s="1"/>
  <c r="Q6" i="9" s="1"/>
  <c r="U18" i="4"/>
  <c r="U5" i="9" s="1"/>
  <c r="U6" i="9" s="1"/>
  <c r="P21" i="4"/>
  <c r="Q21" i="4"/>
  <c r="Q20" i="4" s="1"/>
  <c r="T21" i="4"/>
  <c r="T20" i="4" s="1"/>
  <c r="V13" i="4"/>
  <c r="W21" i="4"/>
  <c r="O23" i="7" l="1"/>
  <c r="O21" i="4"/>
  <c r="O13" i="9"/>
  <c r="O8" i="16"/>
  <c r="O8" i="15"/>
  <c r="P24" i="7"/>
  <c r="O18" i="4"/>
  <c r="O5" i="9" s="1"/>
  <c r="R22" i="4"/>
  <c r="R26" i="7" s="1"/>
  <c r="R27" i="7" s="1"/>
  <c r="R20" i="9"/>
  <c r="P20" i="9"/>
  <c r="U13" i="9"/>
  <c r="U14" i="9" s="1"/>
  <c r="U8" i="15"/>
  <c r="U8" i="16"/>
  <c r="U9" i="16" s="1"/>
  <c r="U23" i="7"/>
  <c r="T20" i="9"/>
  <c r="Q20" i="9"/>
  <c r="W22" i="4"/>
  <c r="W26" i="7" s="1"/>
  <c r="W27" i="7" s="1"/>
  <c r="W25" i="7"/>
  <c r="P25" i="7"/>
  <c r="P22" i="4"/>
  <c r="P26" i="7" s="1"/>
  <c r="P27" i="7" s="1"/>
  <c r="S22" i="4"/>
  <c r="S26" i="7" s="1"/>
  <c r="S27" i="7" s="1"/>
  <c r="P10" i="16"/>
  <c r="Z47" i="13"/>
  <c r="Q10" i="16"/>
  <c r="AA47" i="13"/>
  <c r="W10" i="16"/>
  <c r="AG47" i="13"/>
  <c r="U21" i="4"/>
  <c r="T10" i="16"/>
  <c r="AD47" i="13"/>
  <c r="T22" i="4"/>
  <c r="T26" i="7" s="1"/>
  <c r="T27" i="7" s="1"/>
  <c r="T25" i="7"/>
  <c r="R10" i="16"/>
  <c r="AB47" i="13"/>
  <c r="W24" i="7"/>
  <c r="Q22" i="4"/>
  <c r="Q26" i="7" s="1"/>
  <c r="Q27" i="7" s="1"/>
  <c r="V15" i="4"/>
  <c r="V21" i="4"/>
  <c r="X13" i="4"/>
  <c r="S13" i="9"/>
  <c r="S14" i="9" s="1"/>
  <c r="S8" i="15"/>
  <c r="S23" i="7"/>
  <c r="S20" i="4"/>
  <c r="S8" i="16"/>
  <c r="S9" i="16" s="1"/>
  <c r="W20" i="9"/>
  <c r="S20" i="9" l="1"/>
  <c r="Y13" i="4"/>
  <c r="Y15" i="4" s="1"/>
  <c r="Y18" i="4" s="1"/>
  <c r="Y5" i="9" s="1"/>
  <c r="Y6" i="9" s="1"/>
  <c r="AA10" i="4"/>
  <c r="U22" i="4"/>
  <c r="U26" i="7" s="1"/>
  <c r="U27" i="7" s="1"/>
  <c r="W28" i="7" s="1"/>
  <c r="O9" i="16"/>
  <c r="X15" i="4"/>
  <c r="U20" i="4"/>
  <c r="U20" i="9"/>
  <c r="R16" i="16"/>
  <c r="R9" i="15"/>
  <c r="R24" i="7"/>
  <c r="O14" i="9"/>
  <c r="W9" i="15"/>
  <c r="W16" i="16"/>
  <c r="S24" i="7"/>
  <c r="V22" i="4"/>
  <c r="V26" i="7" s="1"/>
  <c r="V27" i="7" s="1"/>
  <c r="V25" i="7"/>
  <c r="V8" i="16"/>
  <c r="V9" i="16" s="1"/>
  <c r="V13" i="9"/>
  <c r="V14" i="9" s="1"/>
  <c r="V8" i="15"/>
  <c r="V20" i="4"/>
  <c r="V24" i="7" s="1"/>
  <c r="V23" i="7"/>
  <c r="V18" i="4"/>
  <c r="V5" i="9" s="1"/>
  <c r="V6" i="9" s="1"/>
  <c r="P17" i="16"/>
  <c r="P9" i="15"/>
  <c r="P16" i="16"/>
  <c r="R25" i="7"/>
  <c r="O8" i="18"/>
  <c r="O22" i="4"/>
  <c r="O26" i="7" s="1"/>
  <c r="O27" i="7" s="1"/>
  <c r="Q24" i="7"/>
  <c r="Q28" i="7" s="1"/>
  <c r="S10" i="16"/>
  <c r="AC47" i="13"/>
  <c r="X21" i="4"/>
  <c r="W17" i="16"/>
  <c r="Z13" i="4"/>
  <c r="Z15" i="4" s="1"/>
  <c r="AA15" i="4" s="1"/>
  <c r="Q25" i="7"/>
  <c r="R17" i="16"/>
  <c r="S25" i="7"/>
  <c r="Q9" i="15"/>
  <c r="Q16" i="16"/>
  <c r="Q17" i="16" s="1"/>
  <c r="T9" i="15"/>
  <c r="T16" i="16"/>
  <c r="T17" i="16" s="1"/>
  <c r="U10" i="16"/>
  <c r="AE47" i="13"/>
  <c r="O6" i="9"/>
  <c r="O7" i="9" s="1"/>
  <c r="O20" i="4"/>
  <c r="O24" i="7" s="1"/>
  <c r="T24" i="7"/>
  <c r="T28" i="7" s="1"/>
  <c r="AA13" i="4" l="1"/>
  <c r="Z21" i="4"/>
  <c r="Z22" i="4" s="1"/>
  <c r="Z26" i="7" s="1"/>
  <c r="Z27" i="7" s="1"/>
  <c r="Z18" i="4"/>
  <c r="Z5" i="9" s="1"/>
  <c r="Z6" i="9" s="1"/>
  <c r="AA41" i="13"/>
  <c r="T11" i="15"/>
  <c r="AD41" i="13"/>
  <c r="AG41" i="13"/>
  <c r="P8" i="18"/>
  <c r="P11" i="15"/>
  <c r="O28" i="7"/>
  <c r="AB41" i="13"/>
  <c r="Z41" i="13"/>
  <c r="R28" i="7"/>
  <c r="X8" i="16"/>
  <c r="X9" i="16" s="1"/>
  <c r="X8" i="15"/>
  <c r="X13" i="9"/>
  <c r="X23" i="7"/>
  <c r="X20" i="4"/>
  <c r="X18" i="4"/>
  <c r="X5" i="9" s="1"/>
  <c r="S28" i="7"/>
  <c r="W11" i="15"/>
  <c r="R11" i="15"/>
  <c r="U9" i="15"/>
  <c r="U16" i="16"/>
  <c r="U17" i="16" s="1"/>
  <c r="O10" i="16"/>
  <c r="Y47" i="13"/>
  <c r="Y13" i="9"/>
  <c r="Y14" i="9" s="1"/>
  <c r="Y8" i="15"/>
  <c r="Y8" i="16"/>
  <c r="Y9" i="16" s="1"/>
  <c r="Y23" i="7"/>
  <c r="X22" i="4"/>
  <c r="X26" i="7" s="1"/>
  <c r="X27" i="7" s="1"/>
  <c r="AA8" i="15"/>
  <c r="AA23" i="7"/>
  <c r="Q11" i="15"/>
  <c r="V20" i="9"/>
  <c r="O8" i="9"/>
  <c r="P7" i="9" s="1"/>
  <c r="Z8" i="15"/>
  <c r="Z13" i="9"/>
  <c r="Z14" i="9" s="1"/>
  <c r="Z8" i="16"/>
  <c r="Z9" i="16" s="1"/>
  <c r="Z23" i="7"/>
  <c r="O25" i="7"/>
  <c r="V10" i="16"/>
  <c r="AF47" i="13"/>
  <c r="O17" i="9"/>
  <c r="O20" i="9"/>
  <c r="U24" i="7"/>
  <c r="U28" i="7" s="1"/>
  <c r="U25" i="7"/>
  <c r="V28" i="7" s="1"/>
  <c r="Y21" i="4"/>
  <c r="Y20" i="4" s="1"/>
  <c r="S9" i="15"/>
  <c r="S16" i="16"/>
  <c r="S17" i="16" s="1"/>
  <c r="Z20" i="4" l="1"/>
  <c r="AE41" i="13"/>
  <c r="AC41" i="13"/>
  <c r="Z10" i="16"/>
  <c r="AJ47" i="13"/>
  <c r="Z20" i="9"/>
  <c r="X6" i="9"/>
  <c r="AA5" i="9"/>
  <c r="AA6" i="9" s="1"/>
  <c r="S11" i="15"/>
  <c r="Z24" i="7"/>
  <c r="X25" i="7"/>
  <c r="U11" i="15"/>
  <c r="X24" i="7"/>
  <c r="X28" i="7" s="1"/>
  <c r="AH47" i="13"/>
  <c r="X10" i="16"/>
  <c r="Q8" i="18"/>
  <c r="AA9" i="16"/>
  <c r="AA8" i="16"/>
  <c r="O16" i="9"/>
  <c r="P17" i="9"/>
  <c r="P28" i="7"/>
  <c r="P8" i="9"/>
  <c r="Q7" i="9" s="1"/>
  <c r="Y20" i="9"/>
  <c r="Y22" i="4"/>
  <c r="Y26" i="7" s="1"/>
  <c r="Y27" i="7" s="1"/>
  <c r="O16" i="16"/>
  <c r="O17" i="16" s="1"/>
  <c r="O9" i="15"/>
  <c r="V9" i="15"/>
  <c r="V16" i="16"/>
  <c r="V17" i="16" s="1"/>
  <c r="Y10" i="16"/>
  <c r="AI47" i="13"/>
  <c r="Z25" i="7"/>
  <c r="O29" i="7"/>
  <c r="X14" i="9"/>
  <c r="AA13" i="9"/>
  <c r="AA10" i="16" l="1"/>
  <c r="C24" i="19" s="1"/>
  <c r="C7" i="19" s="1"/>
  <c r="AF41" i="13"/>
  <c r="Z9" i="15"/>
  <c r="Z16" i="16"/>
  <c r="V11" i="15"/>
  <c r="P16" i="9"/>
  <c r="Q17" i="9"/>
  <c r="P29" i="7"/>
  <c r="O50" i="7"/>
  <c r="O14" i="15" s="1"/>
  <c r="C23" i="19"/>
  <c r="H47" i="13"/>
  <c r="Q8" i="9"/>
  <c r="R7" i="9" s="1"/>
  <c r="O15" i="15"/>
  <c r="O15" i="9"/>
  <c r="Y24" i="7"/>
  <c r="Y28" i="7" s="1"/>
  <c r="Z17" i="16"/>
  <c r="Y41" i="13"/>
  <c r="O23" i="17"/>
  <c r="X20" i="9"/>
  <c r="AA14" i="9"/>
  <c r="O9" i="18"/>
  <c r="O11" i="15"/>
  <c r="Y25" i="7"/>
  <c r="AA25" i="7" s="1"/>
  <c r="AA26" i="7" s="1"/>
  <c r="Y9" i="15"/>
  <c r="Y16" i="16"/>
  <c r="Y17" i="16" s="1"/>
  <c r="R8" i="18"/>
  <c r="AI41" i="13" l="1"/>
  <c r="O24" i="17"/>
  <c r="P23" i="17"/>
  <c r="Z11" i="15"/>
  <c r="R8" i="9"/>
  <c r="S7" i="9" s="1"/>
  <c r="Z28" i="7"/>
  <c r="AA28" i="7" s="1"/>
  <c r="P15" i="9"/>
  <c r="P15" i="15"/>
  <c r="O11" i="18"/>
  <c r="P9" i="18"/>
  <c r="Y11" i="15"/>
  <c r="X16" i="16"/>
  <c r="X9" i="15"/>
  <c r="AA20" i="9"/>
  <c r="AA9" i="15" s="1"/>
  <c r="AJ41" i="13"/>
  <c r="O14" i="18"/>
  <c r="O17" i="15"/>
  <c r="O21" i="15" s="1"/>
  <c r="O15" i="17"/>
  <c r="O17" i="17" s="1"/>
  <c r="O25" i="17" s="1"/>
  <c r="AA24" i="7"/>
  <c r="S8" i="18"/>
  <c r="O15" i="18"/>
  <c r="O5" i="17"/>
  <c r="Q29" i="7"/>
  <c r="P50" i="7"/>
  <c r="P14" i="15" s="1"/>
  <c r="Q16" i="9"/>
  <c r="R17" i="9"/>
  <c r="P15" i="17" l="1"/>
  <c r="P17" i="17" s="1"/>
  <c r="P17" i="15"/>
  <c r="P21" i="15" s="1"/>
  <c r="P14" i="18"/>
  <c r="T8" i="18"/>
  <c r="X11" i="15"/>
  <c r="Q9" i="18"/>
  <c r="P11" i="18"/>
  <c r="O40" i="15"/>
  <c r="Y42" i="13"/>
  <c r="Y43" i="13" s="1"/>
  <c r="Y45" i="13"/>
  <c r="Y46" i="13" s="1"/>
  <c r="O36" i="15"/>
  <c r="O35" i="15"/>
  <c r="R29" i="7"/>
  <c r="Q50" i="7"/>
  <c r="Q14" i="15" s="1"/>
  <c r="AA16" i="16"/>
  <c r="X17" i="16"/>
  <c r="R16" i="9"/>
  <c r="S17" i="9"/>
  <c r="O17" i="18"/>
  <c r="O21" i="18" s="1"/>
  <c r="O35" i="18" s="1"/>
  <c r="P15" i="18"/>
  <c r="P5" i="17"/>
  <c r="Q15" i="9"/>
  <c r="Q15" i="15"/>
  <c r="AA11" i="15"/>
  <c r="S8" i="9"/>
  <c r="T7" i="9" s="1"/>
  <c r="P24" i="17"/>
  <c r="Q23" i="17"/>
  <c r="P17" i="18" l="1"/>
  <c r="Q24" i="17"/>
  <c r="R23" i="17"/>
  <c r="H60" i="13"/>
  <c r="R50" i="7"/>
  <c r="R14" i="15" s="1"/>
  <c r="S29" i="7"/>
  <c r="Q5" i="17"/>
  <c r="Q15" i="18"/>
  <c r="R9" i="18"/>
  <c r="Q11" i="18"/>
  <c r="Y44" i="13"/>
  <c r="O41" i="15"/>
  <c r="P40" i="15"/>
  <c r="Z42" i="13"/>
  <c r="Z43" i="13" s="1"/>
  <c r="P35" i="15"/>
  <c r="Z45" i="13"/>
  <c r="Z46" i="13" s="1"/>
  <c r="Q14" i="18"/>
  <c r="Q15" i="17"/>
  <c r="Q17" i="17" s="1"/>
  <c r="Q25" i="17" s="1"/>
  <c r="Q17" i="15"/>
  <c r="Q21" i="15" s="1"/>
  <c r="AH41" i="13"/>
  <c r="AA17" i="16"/>
  <c r="T8" i="9"/>
  <c r="U7" i="9" s="1"/>
  <c r="S16" i="9"/>
  <c r="T17" i="9"/>
  <c r="R15" i="9"/>
  <c r="R15" i="15"/>
  <c r="P3" i="15"/>
  <c r="P36" i="15" s="1"/>
  <c r="O3" i="17"/>
  <c r="O7" i="17" s="1"/>
  <c r="O12" i="17" s="1"/>
  <c r="O27" i="17" s="1"/>
  <c r="P21" i="18"/>
  <c r="P35" i="18" s="1"/>
  <c r="U8" i="18"/>
  <c r="P25" i="17"/>
  <c r="Q3" i="15" l="1"/>
  <c r="Q36" i="15" s="1"/>
  <c r="P3" i="17"/>
  <c r="P7" i="17" s="1"/>
  <c r="P12" i="17" s="1"/>
  <c r="P27" i="17" s="1"/>
  <c r="S15" i="9"/>
  <c r="S15" i="15"/>
  <c r="AA42" i="13"/>
  <c r="AA43" i="13" s="1"/>
  <c r="Q40" i="15"/>
  <c r="Q35" i="15"/>
  <c r="AA45" i="13"/>
  <c r="AA46" i="13" s="1"/>
  <c r="R14" i="18"/>
  <c r="R15" i="17"/>
  <c r="R17" i="17" s="1"/>
  <c r="R17" i="15"/>
  <c r="R21" i="15" s="1"/>
  <c r="R5" i="17"/>
  <c r="R15" i="18"/>
  <c r="R24" i="17"/>
  <c r="S23" i="17"/>
  <c r="V8" i="18"/>
  <c r="H41" i="13"/>
  <c r="C25" i="19"/>
  <c r="C6" i="19" s="1"/>
  <c r="Q17" i="18"/>
  <c r="Q21" i="18" s="1"/>
  <c r="Q35" i="18" s="1"/>
  <c r="Z44" i="13"/>
  <c r="P41" i="15"/>
  <c r="S9" i="18"/>
  <c r="R11" i="18"/>
  <c r="T16" i="9"/>
  <c r="U17" i="9"/>
  <c r="U8" i="9"/>
  <c r="V7" i="9" s="1"/>
  <c r="T29" i="7"/>
  <c r="S50" i="7"/>
  <c r="S14" i="15" s="1"/>
  <c r="T9" i="18" l="1"/>
  <c r="S11" i="18"/>
  <c r="S24" i="17"/>
  <c r="T23" i="17"/>
  <c r="S15" i="18"/>
  <c r="S5" i="17"/>
  <c r="Q3" i="17"/>
  <c r="Q7" i="17" s="1"/>
  <c r="Q12" i="17" s="1"/>
  <c r="Q27" i="17" s="1"/>
  <c r="R3" i="15"/>
  <c r="R36" i="15" s="1"/>
  <c r="V8" i="9"/>
  <c r="W7" i="9" s="1"/>
  <c r="U16" i="9"/>
  <c r="V17" i="9"/>
  <c r="R40" i="15"/>
  <c r="R35" i="15"/>
  <c r="AB45" i="13"/>
  <c r="AB46" i="13" s="1"/>
  <c r="AB42" i="13"/>
  <c r="AB43" i="13" s="1"/>
  <c r="T50" i="7"/>
  <c r="T14" i="15" s="1"/>
  <c r="U29" i="7"/>
  <c r="R17" i="18"/>
  <c r="R21" i="18" s="1"/>
  <c r="R35" i="18" s="1"/>
  <c r="S14" i="18"/>
  <c r="S17" i="18" s="1"/>
  <c r="S17" i="15"/>
  <c r="S21" i="15" s="1"/>
  <c r="S15" i="17"/>
  <c r="S17" i="17" s="1"/>
  <c r="T15" i="9"/>
  <c r="T15" i="15"/>
  <c r="W8" i="18"/>
  <c r="R25" i="17"/>
  <c r="Q41" i="15"/>
  <c r="AA44" i="13"/>
  <c r="AB44" i="13" l="1"/>
  <c r="R41" i="15"/>
  <c r="W8" i="9"/>
  <c r="X7" i="9" s="1"/>
  <c r="S21" i="18"/>
  <c r="S35" i="18" s="1"/>
  <c r="T15" i="17"/>
  <c r="T17" i="17" s="1"/>
  <c r="T17" i="15"/>
  <c r="T21" i="15" s="1"/>
  <c r="T14" i="18"/>
  <c r="V16" i="9"/>
  <c r="W17" i="9"/>
  <c r="U9" i="18"/>
  <c r="T11" i="18"/>
  <c r="AC42" i="13"/>
  <c r="AC43" i="13" s="1"/>
  <c r="S35" i="15"/>
  <c r="AC45" i="13"/>
  <c r="AC46" i="13" s="1"/>
  <c r="S40" i="15"/>
  <c r="V29" i="7"/>
  <c r="U50" i="7"/>
  <c r="U14" i="15" s="1"/>
  <c r="T15" i="18"/>
  <c r="T5" i="17"/>
  <c r="X8" i="18"/>
  <c r="S25" i="17"/>
  <c r="U15" i="9"/>
  <c r="U15" i="15"/>
  <c r="S3" i="15"/>
  <c r="S36" i="15" s="1"/>
  <c r="R3" i="17"/>
  <c r="R7" i="17" s="1"/>
  <c r="R12" i="17" s="1"/>
  <c r="R27" i="17" s="1"/>
  <c r="T24" i="17"/>
  <c r="U23" i="17"/>
  <c r="T17" i="18" l="1"/>
  <c r="V15" i="9"/>
  <c r="V15" i="15"/>
  <c r="X8" i="9"/>
  <c r="Y7" i="9" s="1"/>
  <c r="W29" i="7"/>
  <c r="V50" i="7"/>
  <c r="V14" i="15" s="1"/>
  <c r="AC44" i="13"/>
  <c r="S41" i="15"/>
  <c r="T3" i="15"/>
  <c r="T36" i="15" s="1"/>
  <c r="S3" i="17"/>
  <c r="S7" i="17" s="1"/>
  <c r="S12" i="17" s="1"/>
  <c r="S27" i="17" s="1"/>
  <c r="V9" i="18"/>
  <c r="U11" i="18"/>
  <c r="T40" i="15"/>
  <c r="AD45" i="13"/>
  <c r="AD46" i="13" s="1"/>
  <c r="AD42" i="13"/>
  <c r="AD43" i="13" s="1"/>
  <c r="T35" i="15"/>
  <c r="T21" i="18"/>
  <c r="T35" i="18" s="1"/>
  <c r="Y8" i="18"/>
  <c r="U24" i="17"/>
  <c r="V23" i="17"/>
  <c r="U5" i="17"/>
  <c r="U15" i="18"/>
  <c r="U14" i="18"/>
  <c r="U17" i="18" s="1"/>
  <c r="U17" i="15"/>
  <c r="U21" i="15" s="1"/>
  <c r="U15" i="17"/>
  <c r="U17" i="17" s="1"/>
  <c r="W16" i="9"/>
  <c r="X17" i="9"/>
  <c r="T25" i="17"/>
  <c r="U25" i="17" l="1"/>
  <c r="U35" i="15"/>
  <c r="U40" i="15"/>
  <c r="AE45" i="13"/>
  <c r="AE46" i="13" s="1"/>
  <c r="AE42" i="13"/>
  <c r="AE43" i="13" s="1"/>
  <c r="V24" i="17"/>
  <c r="W23" i="17"/>
  <c r="AD44" i="13"/>
  <c r="T41" i="15"/>
  <c r="T3" i="17"/>
  <c r="T7" i="17" s="1"/>
  <c r="T12" i="17" s="1"/>
  <c r="T27" i="17" s="1"/>
  <c r="U3" i="15"/>
  <c r="U36" i="15" s="1"/>
  <c r="V14" i="18"/>
  <c r="V15" i="17"/>
  <c r="V17" i="17" s="1"/>
  <c r="V17" i="15"/>
  <c r="V21" i="15" s="1"/>
  <c r="V5" i="17"/>
  <c r="V15" i="18"/>
  <c r="Y8" i="9"/>
  <c r="Z7" i="9" s="1"/>
  <c r="W50" i="7"/>
  <c r="W14" i="15" s="1"/>
  <c r="X29" i="7"/>
  <c r="X16" i="9"/>
  <c r="Y17" i="9"/>
  <c r="U21" i="18"/>
  <c r="U35" i="18" s="1"/>
  <c r="W15" i="9"/>
  <c r="W15" i="15"/>
  <c r="Z8" i="18"/>
  <c r="W9" i="18"/>
  <c r="V11" i="18"/>
  <c r="V25" i="17" l="1"/>
  <c r="V17" i="18"/>
  <c r="V21" i="18"/>
  <c r="V35" i="18" s="1"/>
  <c r="W15" i="18"/>
  <c r="W5" i="17"/>
  <c r="X15" i="9"/>
  <c r="X15" i="15"/>
  <c r="Z8" i="9"/>
  <c r="AA8" i="9" s="1"/>
  <c r="AB7" i="9" s="1"/>
  <c r="AA7" i="9"/>
  <c r="V3" i="15"/>
  <c r="V36" i="15" s="1"/>
  <c r="U3" i="17"/>
  <c r="U7" i="17" s="1"/>
  <c r="U12" i="17" s="1"/>
  <c r="U27" i="17" s="1"/>
  <c r="Y16" i="9"/>
  <c r="Z17" i="9"/>
  <c r="X9" i="18"/>
  <c r="W11" i="18"/>
  <c r="W24" i="17"/>
  <c r="X23" i="17"/>
  <c r="AE44" i="13"/>
  <c r="U41" i="15"/>
  <c r="X50" i="7"/>
  <c r="X14" i="15" s="1"/>
  <c r="Y29" i="7"/>
  <c r="V40" i="15"/>
  <c r="V35" i="15"/>
  <c r="AF42" i="13"/>
  <c r="AF43" i="13" s="1"/>
  <c r="AF45" i="13"/>
  <c r="AF46" i="13" s="1"/>
  <c r="AA8" i="18"/>
  <c r="W14" i="18"/>
  <c r="W17" i="15"/>
  <c r="W21" i="15" s="1"/>
  <c r="W15" i="17"/>
  <c r="W17" i="17" s="1"/>
  <c r="W17" i="18" l="1"/>
  <c r="X14" i="18"/>
  <c r="X17" i="15"/>
  <c r="X21" i="15" s="1"/>
  <c r="X15" i="17"/>
  <c r="X17" i="17" s="1"/>
  <c r="Y15" i="9"/>
  <c r="Y15" i="15"/>
  <c r="W21" i="18"/>
  <c r="W35" i="18" s="1"/>
  <c r="AB8" i="9"/>
  <c r="AC7" i="9" s="1"/>
  <c r="V41" i="15"/>
  <c r="AF44" i="13"/>
  <c r="X5" i="17"/>
  <c r="X15" i="18"/>
  <c r="AB8" i="18"/>
  <c r="W25" i="17"/>
  <c r="Y9" i="18"/>
  <c r="X11" i="18"/>
  <c r="W3" i="15"/>
  <c r="W36" i="15" s="1"/>
  <c r="V3" i="17"/>
  <c r="V7" i="17" s="1"/>
  <c r="V12" i="17" s="1"/>
  <c r="V27" i="17" s="1"/>
  <c r="AG42" i="13"/>
  <c r="AG43" i="13" s="1"/>
  <c r="W40" i="15"/>
  <c r="W35" i="15"/>
  <c r="AG45" i="13"/>
  <c r="AG46" i="13" s="1"/>
  <c r="Z29" i="7"/>
  <c r="Y50" i="7"/>
  <c r="Y14" i="15" s="1"/>
  <c r="X24" i="17"/>
  <c r="Y23" i="17"/>
  <c r="Z16" i="9"/>
  <c r="AA17" i="9"/>
  <c r="AB17" i="9" s="1"/>
  <c r="X25" i="17" l="1"/>
  <c r="Y24" i="17"/>
  <c r="Z23" i="17"/>
  <c r="AC8" i="18"/>
  <c r="X40" i="15"/>
  <c r="AH45" i="13"/>
  <c r="AH46" i="13" s="1"/>
  <c r="X35" i="15"/>
  <c r="AH42" i="13"/>
  <c r="AH43" i="13" s="1"/>
  <c r="AC8" i="9"/>
  <c r="AD7" i="9" s="1"/>
  <c r="W3" i="17"/>
  <c r="W7" i="17" s="1"/>
  <c r="W12" i="17" s="1"/>
  <c r="W27" i="17" s="1"/>
  <c r="X3" i="15"/>
  <c r="X36" i="15" s="1"/>
  <c r="AB16" i="9"/>
  <c r="AC17" i="9"/>
  <c r="Y15" i="17"/>
  <c r="Y17" i="17" s="1"/>
  <c r="Y25" i="17" s="1"/>
  <c r="Y14" i="18"/>
  <c r="Y17" i="15"/>
  <c r="Y21" i="15" s="1"/>
  <c r="AG44" i="13"/>
  <c r="W41" i="15"/>
  <c r="Z15" i="9"/>
  <c r="AA15" i="9" s="1"/>
  <c r="AA16" i="9"/>
  <c r="Z15" i="15"/>
  <c r="Z50" i="7"/>
  <c r="Z14" i="15" s="1"/>
  <c r="AA29" i="7"/>
  <c r="Z9" i="18"/>
  <c r="Y11" i="18"/>
  <c r="Y5" i="17"/>
  <c r="Y15" i="18"/>
  <c r="X17" i="18"/>
  <c r="X21" i="18" s="1"/>
  <c r="X35" i="18" s="1"/>
  <c r="Z5" i="17" l="1"/>
  <c r="AA5" i="17" s="1"/>
  <c r="Z15" i="18"/>
  <c r="AA15" i="18" s="1"/>
  <c r="AA15" i="15"/>
  <c r="AC16" i="9"/>
  <c r="AD17" i="9"/>
  <c r="AD16" i="9" s="1"/>
  <c r="AD15" i="9" s="1"/>
  <c r="AA9" i="18"/>
  <c r="Z11" i="18"/>
  <c r="Y40" i="15"/>
  <c r="AI45" i="13"/>
  <c r="AI46" i="13" s="1"/>
  <c r="AI42" i="13"/>
  <c r="AI43" i="13" s="1"/>
  <c r="Y35" i="15"/>
  <c r="AB15" i="9"/>
  <c r="AB15" i="15"/>
  <c r="X41" i="15"/>
  <c r="AH44" i="13"/>
  <c r="AA23" i="17"/>
  <c r="Z24" i="17"/>
  <c r="AB28" i="7"/>
  <c r="AA50" i="7"/>
  <c r="AB14" i="15" s="1"/>
  <c r="Y17" i="18"/>
  <c r="Y21" i="18" s="1"/>
  <c r="Y35" i="18" s="1"/>
  <c r="Y3" i="15"/>
  <c r="Y36" i="15" s="1"/>
  <c r="X3" i="17"/>
  <c r="X7" i="17" s="1"/>
  <c r="X12" i="17" s="1"/>
  <c r="X27" i="17" s="1"/>
  <c r="AD8" i="9"/>
  <c r="Z15" i="17"/>
  <c r="Z17" i="15"/>
  <c r="Z21" i="15" s="1"/>
  <c r="Z14" i="18"/>
  <c r="AA14" i="15"/>
  <c r="AA17" i="15" s="1"/>
  <c r="AD8" i="18"/>
  <c r="AD15" i="15" l="1"/>
  <c r="AD17" i="15"/>
  <c r="AB23" i="17"/>
  <c r="AA24" i="17"/>
  <c r="C33" i="19" s="1"/>
  <c r="C4" i="19" s="1"/>
  <c r="Y41" i="15"/>
  <c r="AI44" i="13"/>
  <c r="AJ42" i="13"/>
  <c r="AJ43" i="13" s="1"/>
  <c r="Z35" i="15"/>
  <c r="AJ45" i="13"/>
  <c r="AJ46" i="13" s="1"/>
  <c r="Z40" i="15"/>
  <c r="AB17" i="15"/>
  <c r="Z21" i="18"/>
  <c r="Z35" i="18" s="1"/>
  <c r="AB9" i="18"/>
  <c r="AA11" i="18"/>
  <c r="Z17" i="18"/>
  <c r="AA14" i="18"/>
  <c r="AA17" i="18" s="1"/>
  <c r="AC15" i="9"/>
  <c r="AC15" i="15"/>
  <c r="AA15" i="17"/>
  <c r="AB15" i="17" s="1"/>
  <c r="Z17" i="17"/>
  <c r="Z25" i="17" s="1"/>
  <c r="H61" i="13"/>
  <c r="AA21" i="15"/>
  <c r="Z3" i="15"/>
  <c r="Z36" i="15" s="1"/>
  <c r="Z3" i="17" s="1"/>
  <c r="Y3" i="17"/>
  <c r="Y7" i="17" s="1"/>
  <c r="Y12" i="17" s="1"/>
  <c r="Y27" i="17" s="1"/>
  <c r="AB5" i="17"/>
  <c r="AB15" i="18"/>
  <c r="AA17" i="17" l="1"/>
  <c r="AA25" i="17" s="1"/>
  <c r="C30" i="19"/>
  <c r="C11" i="19" s="1"/>
  <c r="Z41" i="15"/>
  <c r="AJ44" i="13"/>
  <c r="AA40" i="15"/>
  <c r="H44" i="13"/>
  <c r="D30" i="19"/>
  <c r="D11" i="19" s="1"/>
  <c r="AC15" i="17"/>
  <c r="AB17" i="17"/>
  <c r="AC23" i="17"/>
  <c r="AB24" i="17"/>
  <c r="D33" i="19" s="1"/>
  <c r="D4" i="19" s="1"/>
  <c r="AB14" i="18"/>
  <c r="K61" i="13"/>
  <c r="AD21" i="15"/>
  <c r="AC9" i="18"/>
  <c r="AB11" i="18"/>
  <c r="Z7" i="17"/>
  <c r="Z12" i="17" s="1"/>
  <c r="Z27" i="17" s="1"/>
  <c r="AA3" i="17"/>
  <c r="H50" i="13"/>
  <c r="AA35" i="15"/>
  <c r="AA36" i="15"/>
  <c r="AB3" i="15" s="1"/>
  <c r="H42" i="13"/>
  <c r="H43" i="13" s="1"/>
  <c r="H45" i="13"/>
  <c r="H46" i="13" s="1"/>
  <c r="AC17" i="15"/>
  <c r="AC15" i="18"/>
  <c r="AD15" i="18" s="1"/>
  <c r="AC5" i="17"/>
  <c r="AD5" i="17" s="1"/>
  <c r="AA21" i="18"/>
  <c r="AA35" i="18" s="1"/>
  <c r="I61" i="13"/>
  <c r="AB21" i="15"/>
  <c r="AC21" i="15" l="1"/>
  <c r="J61" i="13"/>
  <c r="AB17" i="18"/>
  <c r="AB21" i="18" s="1"/>
  <c r="AB35" i="18" s="1"/>
  <c r="AC14" i="18"/>
  <c r="AD15" i="17"/>
  <c r="E30" i="19"/>
  <c r="E11" i="19" s="1"/>
  <c r="AC17" i="17"/>
  <c r="G53" i="13"/>
  <c r="G54" i="13"/>
  <c r="H52" i="13"/>
  <c r="H51" i="13"/>
  <c r="AD9" i="18"/>
  <c r="AD11" i="18" s="1"/>
  <c r="AC11" i="18"/>
  <c r="C26" i="19"/>
  <c r="AA7" i="17"/>
  <c r="AA12" i="17" s="1"/>
  <c r="AD35" i="15"/>
  <c r="K45" i="13"/>
  <c r="K42" i="13"/>
  <c r="K50" i="13"/>
  <c r="AD23" i="17"/>
  <c r="AD24" i="17" s="1"/>
  <c r="F33" i="19" s="1"/>
  <c r="F4" i="19" s="1"/>
  <c r="AC24" i="17"/>
  <c r="E33" i="19" s="1"/>
  <c r="E4" i="19" s="1"/>
  <c r="I50" i="13"/>
  <c r="AB35" i="15"/>
  <c r="AB40" i="15"/>
  <c r="I45" i="13"/>
  <c r="I46" i="13" s="1"/>
  <c r="I42" i="13"/>
  <c r="I43" i="13" s="1"/>
  <c r="AB36" i="15"/>
  <c r="AB25" i="17"/>
  <c r="I44" i="13" l="1"/>
  <c r="AB41" i="15"/>
  <c r="AC3" i="15"/>
  <c r="AC36" i="15" s="1"/>
  <c r="AB3" i="17"/>
  <c r="AC25" i="17"/>
  <c r="C29" i="19"/>
  <c r="AA27" i="17"/>
  <c r="AC21" i="18"/>
  <c r="AC35" i="18" s="1"/>
  <c r="AD14" i="18"/>
  <c r="AD17" i="18" s="1"/>
  <c r="AD21" i="18" s="1"/>
  <c r="AD35" i="18" s="1"/>
  <c r="AC17" i="18"/>
  <c r="K52" i="13"/>
  <c r="K51" i="13"/>
  <c r="I52" i="13"/>
  <c r="I51" i="13"/>
  <c r="F30" i="19"/>
  <c r="F11" i="19" s="1"/>
  <c r="AD17" i="17"/>
  <c r="AD25" i="17" s="1"/>
  <c r="AC40" i="15"/>
  <c r="J50" i="13"/>
  <c r="J42" i="13"/>
  <c r="J43" i="13" s="1"/>
  <c r="K43" i="13" s="1"/>
  <c r="J45" i="13"/>
  <c r="J46" i="13" s="1"/>
  <c r="K46" i="13" s="1"/>
  <c r="AC35" i="15"/>
  <c r="J52" i="13" l="1"/>
  <c r="J51" i="13"/>
  <c r="E16" i="13" s="1"/>
  <c r="K57" i="13"/>
  <c r="T57" i="13"/>
  <c r="M57" i="13"/>
  <c r="S57" i="13"/>
  <c r="H57" i="13"/>
  <c r="P57" i="13"/>
  <c r="G57" i="13"/>
  <c r="U57" i="13"/>
  <c r="AD3" i="15"/>
  <c r="AD36" i="15" s="1"/>
  <c r="AD3" i="17" s="1"/>
  <c r="AC3" i="17"/>
  <c r="AC41" i="15"/>
  <c r="J44" i="13"/>
  <c r="AD40" i="15"/>
  <c r="O57" i="13"/>
  <c r="I57" i="13"/>
  <c r="L50" i="13"/>
  <c r="E51" i="13" s="1"/>
  <c r="J57" i="13"/>
  <c r="C16" i="19"/>
  <c r="C13" i="19"/>
  <c r="C5" i="19"/>
  <c r="V57" i="13"/>
  <c r="E29" i="13"/>
  <c r="H54" i="13"/>
  <c r="H53" i="13"/>
  <c r="Z57" i="13"/>
  <c r="L57" i="13"/>
  <c r="AA57" i="13"/>
  <c r="X57" i="13"/>
  <c r="Y57" i="13"/>
  <c r="R57" i="13"/>
  <c r="N57" i="13"/>
  <c r="W57" i="13"/>
  <c r="D26" i="19"/>
  <c r="AB7" i="17"/>
  <c r="AB12" i="17" s="1"/>
  <c r="Q57" i="13"/>
  <c r="E26" i="19" l="1"/>
  <c r="AC7" i="17"/>
  <c r="AC12" i="17" s="1"/>
  <c r="E5" i="13"/>
  <c r="K44" i="13"/>
  <c r="J54" i="13" s="1"/>
  <c r="AD41" i="15"/>
  <c r="E11" i="13" s="1"/>
  <c r="E8" i="13"/>
  <c r="E44" i="13"/>
  <c r="F26" i="19"/>
  <c r="AD7" i="17"/>
  <c r="AD12" i="17" s="1"/>
  <c r="D29" i="19"/>
  <c r="AB27" i="17"/>
  <c r="I54" i="13"/>
  <c r="I53" i="13"/>
  <c r="L52" i="13"/>
  <c r="E18" i="13" s="1"/>
  <c r="L54" i="13"/>
  <c r="E31" i="13"/>
  <c r="K53" i="13" l="1"/>
  <c r="K54" i="13"/>
  <c r="E22" i="13" s="1"/>
  <c r="AC27" i="17"/>
  <c r="E29" i="19"/>
  <c r="D16" i="19"/>
  <c r="D13" i="19"/>
  <c r="D5" i="19"/>
  <c r="AD27" i="17"/>
  <c r="F29" i="19"/>
  <c r="J53" i="13"/>
  <c r="E20" i="13" l="1"/>
  <c r="F13" i="19"/>
  <c r="F16" i="19"/>
  <c r="F5" i="19"/>
  <c r="E13" i="19"/>
  <c r="E5" i="19"/>
  <c r="E16" i="19"/>
</calcChain>
</file>

<file path=xl/sharedStrings.xml><?xml version="1.0" encoding="utf-8"?>
<sst xmlns="http://schemas.openxmlformats.org/spreadsheetml/2006/main" count="405" uniqueCount="259">
  <si>
    <t>Deuda largo plazo</t>
  </si>
  <si>
    <t>Cuentas a pagar al inicio</t>
  </si>
  <si>
    <t>Caja / Activo</t>
  </si>
  <si>
    <t>Flujo de caja del negocio</t>
  </si>
  <si>
    <t>Variación cuentas a pagar</t>
  </si>
  <si>
    <t>Agua</t>
  </si>
  <si>
    <t>Punto de equilibrio</t>
  </si>
  <si>
    <t>Mes de inicio</t>
  </si>
  <si>
    <t>Variación cuentas a cobrar</t>
  </si>
  <si>
    <t>Tasa de descuento</t>
  </si>
  <si>
    <t>Aportes netos de retiros</t>
  </si>
  <si>
    <t>Sueldos a contado</t>
  </si>
  <si>
    <t>Gastos Comerciales</t>
  </si>
  <si>
    <t>El negocio no requiere inversión</t>
  </si>
  <si>
    <t>Papeleria</t>
  </si>
  <si>
    <t>Numero de mes</t>
  </si>
  <si>
    <t>Impresora</t>
  </si>
  <si>
    <t>Plazo promedio de cobranza</t>
  </si>
  <si>
    <t>Préstamos</t>
  </si>
  <si>
    <t>Total pagos a plazo</t>
  </si>
  <si>
    <t>VAN sin perpetuidad</t>
  </si>
  <si>
    <t>Luz</t>
  </si>
  <si>
    <t>CAJA INICIAL</t>
  </si>
  <si>
    <t>Deudas de largo plazo</t>
  </si>
  <si>
    <t>Inversiones</t>
  </si>
  <si>
    <t>Crédito fiscal IVA</t>
  </si>
  <si>
    <t>Precio</t>
  </si>
  <si>
    <t>Saldo final</t>
  </si>
  <si>
    <t>Días promedio de pago</t>
  </si>
  <si>
    <t>Cantidad empleados</t>
  </si>
  <si>
    <t>Tasa descuento</t>
  </si>
  <si>
    <t>Cantidad  días de venta que se podrían cubrir con inventarios</t>
  </si>
  <si>
    <t>Evolución de saldos al inicio</t>
  </si>
  <si>
    <t>RENTABILIDAD DEL NEGOCIO (TIR)</t>
  </si>
  <si>
    <t>Máquinas y herramientas</t>
  </si>
  <si>
    <t>Rentabilidad sobre activos (ROA)</t>
  </si>
  <si>
    <t>Deudas de corto plazo</t>
  </si>
  <si>
    <t>Año de inicio</t>
  </si>
  <si>
    <t>Saldo a favor IVA</t>
  </si>
  <si>
    <t>IVA compras</t>
  </si>
  <si>
    <t>Total pagos a contado</t>
  </si>
  <si>
    <t>Impuesto devengado</t>
  </si>
  <si>
    <t>Deuda financiera de corto plazo / deuda financiera total</t>
  </si>
  <si>
    <t>Rentabilidad sobre patrimonio neto (ROE)</t>
  </si>
  <si>
    <t>Saldo a favor del impuesto</t>
  </si>
  <si>
    <t>Gastos Operaciones</t>
  </si>
  <si>
    <t>En cada solapa debes cargar los valores de aquellas celdas que tengan letras o números en color azul, el resto de las celdas se calcularán automáticamente.</t>
  </si>
  <si>
    <t>Variacion saldo a favor del impuesto</t>
  </si>
  <si>
    <t>Tasa</t>
  </si>
  <si>
    <t>Renta</t>
  </si>
  <si>
    <t>Retiros de los dueños</t>
  </si>
  <si>
    <t>Ventas</t>
  </si>
  <si>
    <t>Amortizaciones</t>
  </si>
  <si>
    <t>Variación de inventarios</t>
  </si>
  <si>
    <t>Pagos a contado</t>
  </si>
  <si>
    <t>Flujo de caja libre</t>
  </si>
  <si>
    <t>Cálculo hoja Evaluación: Plazo para break even</t>
  </si>
  <si>
    <t>Otros gastos fijos</t>
  </si>
  <si>
    <t>Valor neto al fin</t>
  </si>
  <si>
    <t>Telefono e internet</t>
  </si>
  <si>
    <t>Dias de inventario</t>
  </si>
  <si>
    <t>Impuestos</t>
  </si>
  <si>
    <t>Establece la moneda en la que realizarás tus proyecciones financieras</t>
  </si>
  <si>
    <t>Mes de cobranza</t>
  </si>
  <si>
    <t>TOTAL IMPUESTOS</t>
  </si>
  <si>
    <t>Subsidios y donaciones</t>
  </si>
  <si>
    <t>Impuesto a pagar</t>
  </si>
  <si>
    <t>TIR ácida sin perpetuidad</t>
  </si>
  <si>
    <t>FF para cálculo VAN y TIR</t>
  </si>
  <si>
    <t>Saldo deuda corto plazo</t>
  </si>
  <si>
    <t>Saldo de caja del negocio</t>
  </si>
  <si>
    <t>Plazo de pago (días)</t>
  </si>
  <si>
    <t>Comparable 2</t>
  </si>
  <si>
    <t xml:space="preserve">Los valores monetarios se encuentran expresados en </t>
  </si>
  <si>
    <t>VAN con perpetuidad</t>
  </si>
  <si>
    <t>ACTIVO</t>
  </si>
  <si>
    <t>Activos fijos</t>
  </si>
  <si>
    <t>Días promedio de inventario</t>
  </si>
  <si>
    <t>Camionetas</t>
  </si>
  <si>
    <t>Venta</t>
  </si>
  <si>
    <t>Balance de inicio</t>
  </si>
  <si>
    <t>BIENVENIDO A LA SECCIÓN FINANZAS DE EMPREWARE!</t>
  </si>
  <si>
    <t>Representa la caja que genera o consume el negocio a un momento dado sin tener en cuenta el financiamiento. De esta forma se puede ver qué tan atractivo es el negocio en sí mismo, independientemente de cómo se financia.</t>
  </si>
  <si>
    <t>Administrativo</t>
  </si>
  <si>
    <t>Remuneración total</t>
  </si>
  <si>
    <t>Comparable 4</t>
  </si>
  <si>
    <t>Inversión en activos fijos</t>
  </si>
  <si>
    <t>TOTAL AMORTIZACIONES</t>
  </si>
  <si>
    <t>Pesos</t>
  </si>
  <si>
    <t>Amortizacion de activos fijos iniciales</t>
  </si>
  <si>
    <t>TOTAL GASTOS FIJOS</t>
  </si>
  <si>
    <t>El VAN (Valor Actual Neto) es una fórmula que calcula el valor de un negocio en base a su flujo de caja y la tasa de descuento.</t>
  </si>
  <si>
    <t>Ventas a contado</t>
  </si>
  <si>
    <t>Representa la ganancia (o pérdida) que genera el negocio a lo largo de los 5 años.</t>
  </si>
  <si>
    <t>Empreware te ayudará a realizar tus proyecciones financieras en forma muy simple</t>
  </si>
  <si>
    <t>Activo corriente</t>
  </si>
  <si>
    <t>Planta purificadora</t>
  </si>
  <si>
    <t>Finanzas y Administración</t>
  </si>
  <si>
    <t>Activos</t>
  </si>
  <si>
    <t>TOTAL CUENTAS POR COBRAR</t>
  </si>
  <si>
    <t>Devolución de préstamos</t>
  </si>
  <si>
    <t>Meses/Años de FCL Acumulado negativo</t>
  </si>
  <si>
    <t>Plazo promedio de pago</t>
  </si>
  <si>
    <t>Financiamiento</t>
  </si>
  <si>
    <t>TIR con perpetuidad</t>
  </si>
  <si>
    <t>Total costos de insumos</t>
  </si>
  <si>
    <t>TOTAL INGRESOS</t>
  </si>
  <si>
    <t>Considera que el flujo de caja del negocio finaliza al año 5.</t>
  </si>
  <si>
    <t>INDICES DE RENTABILIDAD</t>
  </si>
  <si>
    <t>Si deseas modificar alguna solapa (ya sea agregando, eliminando o modificando items) puedes hacer clic en el botón "Editar planilla" que se encuentra en la parte superior izquierda de cada solapa.</t>
  </si>
  <si>
    <t>Flujo de caja de los dueños</t>
  </si>
  <si>
    <t>Activo no corriente</t>
  </si>
  <si>
    <t>Cuentas a cobrar</t>
  </si>
  <si>
    <t>Muestra los fondos que se necesitan en cada período para que la caja no termine con un saldo negativo.</t>
  </si>
  <si>
    <t>Es la tasa a la que se descuenta el flujo de caja para calcular el VAN.</t>
  </si>
  <si>
    <t>Creditos fiscales</t>
  </si>
  <si>
    <t>Operario de Planta</t>
  </si>
  <si>
    <t>Patrimonio neto</t>
  </si>
  <si>
    <t>Marketing</t>
  </si>
  <si>
    <t>Costo de insumos</t>
  </si>
  <si>
    <t>TIR sin perpetuidad</t>
  </si>
  <si>
    <t>Ingresos y egresos extraordinarios</t>
  </si>
  <si>
    <t>Variación creditos fiscales</t>
  </si>
  <si>
    <t>Representa la caja que genera o consume el negocio sin tener en cuenta el financiamiento. De esta forma se puede ver qué tan atractivo es el negocio en sí mismo.</t>
  </si>
  <si>
    <t>GANANCIA TOTAL DEL NEGOCIO</t>
  </si>
  <si>
    <t>Insumo</t>
  </si>
  <si>
    <t>TIR ácida con perpetuidad</t>
  </si>
  <si>
    <t>Inventarios</t>
  </si>
  <si>
    <t>Amortizaciones acumuladas</t>
  </si>
  <si>
    <t>DATOS FINANCIEROS</t>
  </si>
  <si>
    <t>TOTAL EXTRAORDINARIOS</t>
  </si>
  <si>
    <t>Cuentas a pagar</t>
  </si>
  <si>
    <t>Proyección de pago</t>
  </si>
  <si>
    <t>Saldo deuda largo plazo</t>
  </si>
  <si>
    <t>Caja generada por operaciones</t>
  </si>
  <si>
    <t>Inversion en capital de trabajo</t>
  </si>
  <si>
    <t>TOTAL CUENTAS POR PAGAR</t>
  </si>
  <si>
    <t>Saldo al inicio</t>
  </si>
  <si>
    <t>Pago de intereses</t>
  </si>
  <si>
    <t>Años</t>
  </si>
  <si>
    <t>Días promedio de cobranza</t>
  </si>
  <si>
    <t>TOTAL FINANCIAMIENTO</t>
  </si>
  <si>
    <t>Resultado neto</t>
  </si>
  <si>
    <t>Son los meses que necesita el negocio para estar en condiciones de devolver el financiamiento necesario.</t>
  </si>
  <si>
    <t>Computadora</t>
  </si>
  <si>
    <t>Saldo pendiente de cobro al fin</t>
  </si>
  <si>
    <t>La TIR (Tasa Interna de Retorno) es una fórmula que calcula la rentabilidad de un negocio en base a su flujo de caja.</t>
  </si>
  <si>
    <t>Margen bruto</t>
  </si>
  <si>
    <t>Pagos</t>
  </si>
  <si>
    <t>INDICES OPERATIVOS</t>
  </si>
  <si>
    <t>Considera: a) que las inversiones necesarias en cada año se realizan al inicio de ese año; y b) que el flujo de caja del año 5 se repite a perpetuidad en los años posteriores.</t>
  </si>
  <si>
    <t>Resultado neto / Ventas</t>
  </si>
  <si>
    <t>Ventas a plazo</t>
  </si>
  <si>
    <t>SUBSIDIOS Y DONACIONES</t>
  </si>
  <si>
    <t>Caja</t>
  </si>
  <si>
    <t>Representa la caja que genera o consume el negocio, considerando el financiamiento que éste recibe.</t>
  </si>
  <si>
    <t>Variacion saldo a favor IVA</t>
  </si>
  <si>
    <t>TOTAL INVENTARIOS</t>
  </si>
  <si>
    <t>Pagos a plazo</t>
  </si>
  <si>
    <t>IVA</t>
  </si>
  <si>
    <t>ANÁLISIS DEL NEGOCIO</t>
  </si>
  <si>
    <t>VALOR DEL NEGOCIO (VAN)</t>
  </si>
  <si>
    <t>Sillas</t>
  </si>
  <si>
    <t>MESES PARA PODER DEVOLVER EL FINANCIAMIENTO</t>
  </si>
  <si>
    <t>Salarios</t>
  </si>
  <si>
    <t>No existe la TIR</t>
  </si>
  <si>
    <t>Deuda financiera de corto plazo</t>
  </si>
  <si>
    <t>Proyección de cobro</t>
  </si>
  <si>
    <t>Considera que el flujo de caja del año 5 se repite a perpetuidad en los años posteriores.</t>
  </si>
  <si>
    <t>Acumulado Flujo de Caja Libre</t>
  </si>
  <si>
    <t>Total egresos operativos</t>
  </si>
  <si>
    <t>CAJA FINAL</t>
  </si>
  <si>
    <t>Comparable 3</t>
  </si>
  <si>
    <t>Gastos fijos</t>
  </si>
  <si>
    <t>Cantidad</t>
  </si>
  <si>
    <t>IMPUESTO A LA RENTA / A LAS GANANCIAS</t>
  </si>
  <si>
    <t>Inventarios al inicio</t>
  </si>
  <si>
    <t>Cuentas a cobrar al inicio</t>
  </si>
  <si>
    <t>Plazo de cobranza (días)</t>
  </si>
  <si>
    <t>Deuda financiera / Activos</t>
  </si>
  <si>
    <t>DEUDA DE LARGO PLAZO</t>
  </si>
  <si>
    <t>Moneda</t>
  </si>
  <si>
    <t>Activos fijos netos al inicio</t>
  </si>
  <si>
    <t>Comparable 5</t>
  </si>
  <si>
    <t>APORTES Y RETIROS DE LOS DUEÑOS</t>
  </si>
  <si>
    <t>Deuda corto plazo</t>
  </si>
  <si>
    <t>PASIVO + PATRIMONIO</t>
  </si>
  <si>
    <t>Flujo de caja libre acumulado</t>
  </si>
  <si>
    <t>% Plazo</t>
  </si>
  <si>
    <t>Financiamiento necesario</t>
  </si>
  <si>
    <t>Cuentas por cobrar</t>
  </si>
  <si>
    <t>DEUDA DE CORTO PLAZO</t>
  </si>
  <si>
    <t>Resultado operativo / Ventas</t>
  </si>
  <si>
    <t>- Amortizaciones acumuladas</t>
  </si>
  <si>
    <t>Gastos Administrativos</t>
  </si>
  <si>
    <t>Costo de ventas</t>
  </si>
  <si>
    <t>Considera: a) que las inversiones necesarias en cada año se realizan al inicio de ese año; y b) que el flujo de caja del negocio finaliza al año 5.</t>
  </si>
  <si>
    <t>Saldo</t>
  </si>
  <si>
    <t>TOTAL COSTOS DE VENTAS</t>
  </si>
  <si>
    <t>Flujo de caja de la deuda</t>
  </si>
  <si>
    <t>Cuentas por pagar</t>
  </si>
  <si>
    <t>Cobranzas</t>
  </si>
  <si>
    <t>Representa el nivel mínimo de ventas que necesita el negocio a un momento dado para poder cubrir los costos fijos.</t>
  </si>
  <si>
    <t>Cargador</t>
  </si>
  <si>
    <t>Representa el financiamiento que necesita el negocio para que en ningún momento tenga caja negativa.</t>
  </si>
  <si>
    <t>Ingresos</t>
  </si>
  <si>
    <t>Resultado operativo</t>
  </si>
  <si>
    <t>Aportes netos de los dueños</t>
  </si>
  <si>
    <t>INDICES DE ENDEUDAMIENTO</t>
  </si>
  <si>
    <t>Escritorio</t>
  </si>
  <si>
    <t>Aportes de los dueños</t>
  </si>
  <si>
    <t>Inversión en capital de trabajo</t>
  </si>
  <si>
    <t>Operaciones</t>
  </si>
  <si>
    <t>Plazo</t>
  </si>
  <si>
    <t>Resultados acumulados</t>
  </si>
  <si>
    <t>Compras a plazo</t>
  </si>
  <si>
    <t>Pasivo corriente</t>
  </si>
  <si>
    <t>TOTAL INVERSIONES EN ACTIVOS FIJOS</t>
  </si>
  <si>
    <t>Pasivo no corriente</t>
  </si>
  <si>
    <t>Total IVA compras</t>
  </si>
  <si>
    <t>FLUJO DE CAJA DEL NEGOCIO</t>
  </si>
  <si>
    <t>IVA ventas</t>
  </si>
  <si>
    <t>Crédito fiscal Impuesto a la Renta / a las Ganancias</t>
  </si>
  <si>
    <t>TOTAL GASTOS DE PERSONAL</t>
  </si>
  <si>
    <t>Deuda financiera de largo plazo</t>
  </si>
  <si>
    <t>Sueldos</t>
  </si>
  <si>
    <t>Establece la fecha de inicio de tu proyecto o negocio:</t>
  </si>
  <si>
    <t>Resultados antes del impuesto</t>
  </si>
  <si>
    <t>Representa la caja que genera o consume el negocio a un momento dado, considerando su financiamiento. De esta forma se puede ver: a) si hay momenos en los que habrá faltantes de caja; y b) excedentes de caja que habrá en el futuro para que retiren los dueños.</t>
  </si>
  <si>
    <t>Debes completar las solapas que se encuentran debajo, al finalizar se habrán generado automáticamente los cuadros financieros de tu negocio.</t>
  </si>
  <si>
    <t>Residual</t>
  </si>
  <si>
    <t>Saldo pendiente de pago</t>
  </si>
  <si>
    <t>Compras a contado</t>
  </si>
  <si>
    <t>Comparable 1</t>
  </si>
  <si>
    <t>Check</t>
  </si>
  <si>
    <t>Flujo de caja del financiamiento</t>
  </si>
  <si>
    <t>Mes de pago</t>
  </si>
  <si>
    <t>Ganancias</t>
  </si>
  <si>
    <t>Costos de ventas por unidad</t>
  </si>
  <si>
    <t>Devolución</t>
  </si>
  <si>
    <t>Sueldos a plazo</t>
  </si>
  <si>
    <t>FINANCIAMIENTO NECESARIO</t>
  </si>
  <si>
    <t>DMAP</t>
  </si>
  <si>
    <t>Ac. Acetico</t>
  </si>
  <si>
    <t>H2O2</t>
  </si>
  <si>
    <t>Res. In. Cat</t>
  </si>
  <si>
    <t>Carbon activado</t>
  </si>
  <si>
    <t>Aceite usado</t>
  </si>
  <si>
    <t>Cuchara (Paquete 25 pz.)</t>
  </si>
  <si>
    <t>Cucharas (Paquete 25 pz.)</t>
  </si>
  <si>
    <t>Encargado</t>
  </si>
  <si>
    <t>Sistema de purificación</t>
  </si>
  <si>
    <t>Reactores</t>
  </si>
  <si>
    <t>Empaque</t>
  </si>
  <si>
    <t>Mesa de trabajo</t>
  </si>
  <si>
    <t>Ingresos  Paquetes</t>
  </si>
  <si>
    <r>
      <t xml:space="preserve">Total costos de ventas </t>
    </r>
    <r>
      <rPr>
        <b/>
        <sz val="8"/>
        <color rgb="FF000000"/>
        <rFont val="Arial"/>
        <family val="2"/>
      </rPr>
      <t>Cuchara (Paquete 25 pz.)</t>
    </r>
  </si>
  <si>
    <t>Anh. Maileico</t>
  </si>
  <si>
    <t>Sistema de inyección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</si>
</sst>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&quot;$&quot;\ #,##0"/>
    <numFmt numFmtId="166" formatCode="#,##0.0"/>
    <numFmt numFmtId="167" formatCode="0.0"/>
    <numFmt numFmtId="168" formatCode="&quot;$&quot;#,##0"/>
    <numFmt numFmtId="169" formatCode="[$-409]mmm\-yy;@"/>
    <numFmt numFmtId="170" formatCode="#0.0%"/>
    <numFmt numFmtId="171" formatCode="&quot;$&quot;\ #,##0;&quot;$&quot;\ \-#,##0"/>
    <numFmt numFmtId="172" formatCode="&quot;$&quot;\ #,##0.00;&quot;$&quot;\ \-#,##0.00"/>
    <numFmt numFmtId="173" formatCode="_ &quot;$&quot;\ * #,##0.00_ ;_ &quot;$&quot;\ * \-#,##0.00_ ;_ &quot;$&quot;\ * &quot;-&quot;??_ ;_ @_ "/>
    <numFmt numFmtId="174" formatCode="&quot;$&quot;#,##0.00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rgb="FF0000FF"/>
      <name val="Arial"/>
      <family val="2"/>
    </font>
    <font>
      <sz val="8"/>
      <color rgb="FF000000"/>
      <name val="Arial"/>
      <family val="2"/>
    </font>
    <font>
      <b/>
      <sz val="2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3"/>
      <color theme="0"/>
      <name val="Arial"/>
      <family val="2"/>
    </font>
    <font>
      <i/>
      <sz val="8"/>
      <color theme="3"/>
      <name val="Arial"/>
      <family val="2"/>
    </font>
    <font>
      <b/>
      <sz val="10"/>
      <color rgb="FF0000FF"/>
      <name val="Calibri"/>
      <family val="2"/>
      <scheme val="minor"/>
    </font>
    <font>
      <b/>
      <sz val="11"/>
      <color rgb="FFFFFFFF"/>
      <name val="Arial"/>
      <family val="2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4" tint="-0.249977111117893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FF"/>
      <name val="Arial"/>
      <family val="2"/>
    </font>
    <font>
      <b/>
      <sz val="16"/>
      <name val="Calibri"/>
      <family val="2"/>
      <scheme val="minor"/>
    </font>
    <font>
      <b/>
      <sz val="10"/>
      <color rgb="FF000000"/>
      <name val="Arial"/>
      <family val="2"/>
    </font>
    <font>
      <b/>
      <sz val="18"/>
      <name val="Calibri"/>
      <family val="2"/>
      <scheme val="minor"/>
    </font>
    <font>
      <b/>
      <sz val="11"/>
      <color theme="0"/>
      <name val="Arial"/>
      <family val="2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669B"/>
        <bgColor indexed="64"/>
      </patternFill>
    </fill>
    <fill>
      <patternFill patternType="solid">
        <fgColor rgb="FFF9F2BF"/>
        <bgColor indexed="64"/>
      </patternFill>
    </fill>
    <fill>
      <patternFill patternType="solid">
        <fgColor rgb="FF6794B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49">
    <xf numFmtId="0" fontId="0" fillId="0" borderId="0" applyNumberFormat="0" applyFont="0" applyFill="0" applyBorder="0" applyAlignment="0" applyProtection="0"/>
    <xf numFmtId="173" fontId="17" fillId="0" borderId="0" applyNumberFormat="0" applyFont="0" applyFill="0" applyBorder="0" applyAlignment="0" applyProtection="0"/>
    <xf numFmtId="173" fontId="17" fillId="0" borderId="0" applyNumberFormat="0" applyFont="0" applyFill="0" applyBorder="0" applyAlignment="0" applyProtection="0"/>
    <xf numFmtId="173" fontId="17" fillId="0" borderId="0" applyNumberFormat="0" applyFont="0" applyFill="0" applyBorder="0" applyAlignment="0" applyProtection="0"/>
    <xf numFmtId="173" fontId="17" fillId="0" borderId="0" applyNumberFormat="0" applyFont="0" applyFill="0" applyBorder="0" applyAlignment="0" applyProtection="0"/>
    <xf numFmtId="0" fontId="17" fillId="0" borderId="0" applyNumberFormat="0" applyFont="0" applyFill="0" applyBorder="0" applyAlignment="0" applyProtection="0"/>
    <xf numFmtId="0" fontId="17" fillId="0" borderId="0" applyNumberFormat="0" applyFont="0" applyFill="0" applyBorder="0" applyAlignment="0" applyProtection="0"/>
    <xf numFmtId="9" fontId="17" fillId="0" borderId="0" applyNumberFormat="0" applyFont="0" applyFill="0" applyBorder="0" applyAlignment="0" applyProtection="0"/>
    <xf numFmtId="9" fontId="17" fillId="0" borderId="0" applyNumberFormat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" applyNumberFormat="0" applyFill="0" applyAlignment="0" applyProtection="0"/>
    <xf numFmtId="0" fontId="49" fillId="0" borderId="7" applyNumberFormat="0" applyFill="0" applyAlignment="0" applyProtection="0"/>
    <xf numFmtId="0" fontId="50" fillId="0" borderId="6" applyNumberFormat="0" applyFill="0" applyAlignment="0" applyProtection="0"/>
    <xf numFmtId="0" fontId="50" fillId="0" borderId="0" applyNumberFormat="0" applyFill="0" applyBorder="0" applyAlignment="0" applyProtection="0"/>
    <xf numFmtId="0" fontId="51" fillId="11" borderId="0" applyNumberFormat="0" applyBorder="0" applyAlignment="0" applyProtection="0"/>
    <xf numFmtId="0" fontId="52" fillId="12" borderId="0" applyNumberFormat="0" applyBorder="0" applyAlignment="0" applyProtection="0"/>
    <xf numFmtId="0" fontId="53" fillId="13" borderId="3" applyNumberFormat="0" applyAlignment="0" applyProtection="0"/>
    <xf numFmtId="0" fontId="54" fillId="14" borderId="4" applyNumberFormat="0" applyAlignment="0" applyProtection="0"/>
    <xf numFmtId="0" fontId="55" fillId="14" borderId="3" applyNumberFormat="0" applyAlignment="0" applyProtection="0"/>
    <xf numFmtId="0" fontId="56" fillId="0" borderId="2" applyNumberFormat="0" applyFill="0" applyAlignment="0" applyProtection="0"/>
    <xf numFmtId="0" fontId="57" fillId="15" borderId="5" applyNumberFormat="0" applyAlignment="0" applyProtection="0"/>
    <xf numFmtId="0" fontId="58" fillId="0" borderId="0" applyNumberFormat="0" applyFill="0" applyBorder="0" applyAlignment="0" applyProtection="0"/>
    <xf numFmtId="0" fontId="17" fillId="16" borderId="8" applyNumberFormat="0" applyFont="0" applyAlignment="0" applyProtection="0"/>
    <xf numFmtId="0" fontId="59" fillId="0" borderId="0" applyNumberFormat="0" applyFill="0" applyBorder="0" applyAlignment="0" applyProtection="0"/>
    <xf numFmtId="0" fontId="60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0" borderId="0" applyNumberFormat="0" applyBorder="0" applyAlignment="0" applyProtection="0"/>
    <xf numFmtId="0" fontId="60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4" borderId="0" applyNumberFormat="0" applyBorder="0" applyAlignment="0" applyProtection="0"/>
    <xf numFmtId="0" fontId="60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61" fillId="28" borderId="0" applyNumberFormat="0" applyBorder="0" applyAlignment="0" applyProtection="0"/>
    <xf numFmtId="0" fontId="60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1" fillId="32" borderId="0" applyNumberFormat="0" applyBorder="0" applyAlignment="0" applyProtection="0"/>
    <xf numFmtId="0" fontId="60" fillId="33" borderId="0" applyNumberFormat="0" applyBorder="0" applyAlignment="0" applyProtection="0"/>
    <xf numFmtId="0" fontId="61" fillId="34" borderId="0" applyNumberFormat="0" applyBorder="0" applyAlignment="0" applyProtection="0"/>
    <xf numFmtId="0" fontId="61" fillId="35" borderId="0" applyNumberFormat="0" applyBorder="0" applyAlignment="0" applyProtection="0"/>
    <xf numFmtId="0" fontId="61" fillId="36" borderId="0" applyNumberFormat="0" applyBorder="0" applyAlignment="0" applyProtection="0"/>
    <xf numFmtId="0" fontId="60" fillId="37" borderId="0" applyNumberFormat="0" applyBorder="0" applyAlignment="0" applyProtection="0"/>
    <xf numFmtId="0" fontId="61" fillId="38" borderId="0" applyNumberFormat="0" applyBorder="0" applyAlignment="0" applyProtection="0"/>
    <xf numFmtId="0" fontId="61" fillId="39" borderId="0" applyNumberFormat="0" applyBorder="0" applyAlignment="0" applyProtection="0"/>
    <xf numFmtId="0" fontId="61" fillId="40" borderId="0" applyNumberFormat="0" applyBorder="0" applyAlignment="0" applyProtection="0"/>
    <xf numFmtId="173" fontId="1" fillId="0" borderId="0" applyFont="0" applyFill="0" applyBorder="0" applyAlignment="0" applyProtection="0"/>
  </cellStyleXfs>
  <cellXfs count="246">
    <xf numFmtId="0" fontId="0" fillId="0" borderId="0" xfId="0" applyNumberFormat="1" applyFont="1" applyFill="1" applyBorder="1" applyAlignment="1"/>
    <xf numFmtId="0" fontId="17" fillId="0" borderId="9" xfId="5" applyNumberFormat="1" applyFont="1" applyFill="1" applyBorder="1" applyAlignment="1">
      <alignment horizontal="center"/>
    </xf>
    <xf numFmtId="171" fontId="18" fillId="3" borderId="0" xfId="1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164" fontId="19" fillId="3" borderId="0" xfId="1" applyNumberFormat="1" applyFont="1" applyFill="1" applyBorder="1" applyProtection="1">
      <protection locked="0"/>
    </xf>
    <xf numFmtId="168" fontId="20" fillId="4" borderId="0" xfId="0" applyNumberFormat="1" applyFont="1" applyFill="1" applyBorder="1" applyAlignment="1" applyProtection="1">
      <alignment horizontal="right"/>
      <protection locked="0"/>
    </xf>
    <xf numFmtId="168" fontId="21" fillId="4" borderId="0" xfId="0" applyNumberFormat="1" applyFont="1" applyFill="1" applyBorder="1" applyAlignment="1" applyProtection="1">
      <alignment horizontal="right"/>
    </xf>
    <xf numFmtId="174" fontId="20" fillId="4" borderId="0" xfId="0" applyNumberFormat="1" applyFont="1" applyFill="1" applyBorder="1" applyAlignment="1" applyProtection="1">
      <alignment horizontal="right"/>
      <protection locked="0"/>
    </xf>
    <xf numFmtId="0" fontId="3" fillId="5" borderId="0" xfId="5" applyNumberFormat="1" applyFont="1" applyFill="1" applyBorder="1" applyAlignment="1">
      <alignment horizontal="center"/>
    </xf>
    <xf numFmtId="0" fontId="13" fillId="4" borderId="0" xfId="1" applyNumberFormat="1" applyFont="1" applyFill="1" applyBorder="1"/>
    <xf numFmtId="0" fontId="17" fillId="5" borderId="0" xfId="5" applyNumberFormat="1" applyFont="1" applyFill="1" applyBorder="1" applyAlignment="1">
      <alignment horizontal="left"/>
    </xf>
    <xf numFmtId="165" fontId="22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9" fontId="23" fillId="3" borderId="0" xfId="1" applyNumberFormat="1" applyFont="1" applyFill="1" applyBorder="1" applyAlignment="1" applyProtection="1">
      <alignment horizontal="left"/>
      <protection locked="0"/>
    </xf>
    <xf numFmtId="0" fontId="24" fillId="0" borderId="0" xfId="5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/>
    <xf numFmtId="165" fontId="25" fillId="6" borderId="0" xfId="0" applyNumberFormat="1" applyFont="1" applyFill="1" applyBorder="1"/>
    <xf numFmtId="9" fontId="26" fillId="0" borderId="0" xfId="0" applyNumberFormat="1" applyFont="1" applyFill="1" applyBorder="1" applyAlignment="1">
      <alignment horizontal="right"/>
    </xf>
    <xf numFmtId="170" fontId="20" fillId="4" borderId="0" xfId="1" applyNumberFormat="1" applyFont="1" applyFill="1" applyBorder="1" applyProtection="1">
      <protection locked="0"/>
    </xf>
    <xf numFmtId="3" fontId="15" fillId="0" borderId="0" xfId="0" applyNumberFormat="1" applyFont="1" applyFill="1" applyBorder="1" applyAlignment="1"/>
    <xf numFmtId="171" fontId="24" fillId="3" borderId="0" xfId="1" applyNumberFormat="1" applyFont="1" applyFill="1" applyBorder="1"/>
    <xf numFmtId="164" fontId="27" fillId="0" borderId="0" xfId="1" applyNumberFormat="1" applyFont="1" applyFill="1" applyBorder="1" applyProtection="1">
      <protection locked="0"/>
    </xf>
    <xf numFmtId="165" fontId="0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/>
    <xf numFmtId="0" fontId="28" fillId="7" borderId="0" xfId="0" applyNumberFormat="1" applyFont="1" applyFill="1" applyBorder="1" applyAlignment="1" applyProtection="1"/>
    <xf numFmtId="171" fontId="29" fillId="3" borderId="0" xfId="1" applyNumberFormat="1" applyFont="1" applyFill="1" applyBorder="1" applyAlignment="1">
      <alignment horizontal="left" vertical="top" wrapText="1"/>
    </xf>
    <xf numFmtId="171" fontId="30" fillId="3" borderId="0" xfId="1" applyNumberFormat="1" applyFont="1" applyFill="1" applyBorder="1" applyAlignment="1">
      <alignment vertical="top" wrapText="1"/>
    </xf>
    <xf numFmtId="172" fontId="13" fillId="8" borderId="0" xfId="4" applyNumberFormat="1" applyFont="1" applyFill="1" applyBorder="1"/>
    <xf numFmtId="0" fontId="31" fillId="0" borderId="0" xfId="5" applyNumberFormat="1" applyFont="1" applyFill="1" applyBorder="1" applyAlignment="1"/>
    <xf numFmtId="165" fontId="24" fillId="3" borderId="0" xfId="7" applyNumberFormat="1" applyFont="1" applyFill="1" applyBorder="1" applyAlignment="1">
      <alignment horizontal="left"/>
    </xf>
    <xf numFmtId="165" fontId="17" fillId="5" borderId="0" xfId="5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32" fillId="0" borderId="0" xfId="0" applyNumberFormat="1" applyFont="1" applyFill="1" applyBorder="1" applyAlignment="1"/>
    <xf numFmtId="0" fontId="33" fillId="0" borderId="0" xfId="5" applyNumberFormat="1" applyFont="1" applyFill="1" applyBorder="1" applyAlignment="1">
      <alignment horizontal="center"/>
    </xf>
    <xf numFmtId="0" fontId="17" fillId="5" borderId="0" xfId="5" applyNumberFormat="1" applyFont="1" applyFill="1" applyBorder="1" applyAlignment="1"/>
    <xf numFmtId="166" fontId="13" fillId="4" borderId="0" xfId="4" applyNumberFormat="1" applyFont="1" applyFill="1" applyBorder="1" applyAlignment="1">
      <alignment horizontal="right"/>
    </xf>
    <xf numFmtId="170" fontId="21" fillId="4" borderId="0" xfId="1" applyNumberFormat="1" applyFont="1" applyFill="1" applyBorder="1" applyProtection="1"/>
    <xf numFmtId="168" fontId="34" fillId="4" borderId="0" xfId="0" applyNumberFormat="1" applyFont="1" applyFill="1" applyBorder="1" applyAlignment="1" applyProtection="1"/>
    <xf numFmtId="165" fontId="13" fillId="4" borderId="0" xfId="4" applyNumberFormat="1" applyFont="1" applyFill="1" applyBorder="1"/>
    <xf numFmtId="172" fontId="13" fillId="8" borderId="0" xfId="1" applyNumberFormat="1" applyFont="1" applyFill="1" applyBorder="1"/>
    <xf numFmtId="2" fontId="5" fillId="0" borderId="0" xfId="0" applyNumberFormat="1" applyFont="1" applyFill="1" applyBorder="1" applyAlignment="1"/>
    <xf numFmtId="0" fontId="0" fillId="0" borderId="0" xfId="0"/>
    <xf numFmtId="0" fontId="6" fillId="0" borderId="0" xfId="0" applyNumberFormat="1" applyFont="1" applyFill="1" applyBorder="1" applyAlignment="1"/>
    <xf numFmtId="165" fontId="17" fillId="5" borderId="0" xfId="5" applyNumberFormat="1" applyFont="1" applyFill="1" applyBorder="1" applyAlignment="1">
      <alignment horizontal="center"/>
    </xf>
    <xf numFmtId="10" fontId="15" fillId="0" borderId="0" xfId="0" applyNumberFormat="1" applyFont="1" applyFill="1" applyBorder="1" applyAlignment="1">
      <alignment horizontal="right"/>
    </xf>
    <xf numFmtId="171" fontId="18" fillId="0" borderId="0" xfId="1" applyNumberFormat="1" applyFont="1" applyFill="1" applyBorder="1"/>
    <xf numFmtId="167" fontId="21" fillId="4" borderId="0" xfId="0" applyNumberFormat="1" applyFont="1" applyFill="1" applyBorder="1" applyAlignment="1" applyProtection="1">
      <alignment horizontal="right"/>
    </xf>
    <xf numFmtId="0" fontId="17" fillId="0" borderId="10" xfId="5" applyNumberFormat="1" applyFont="1" applyFill="1" applyBorder="1" applyAlignment="1">
      <alignment horizontal="center"/>
    </xf>
    <xf numFmtId="9" fontId="13" fillId="4" borderId="0" xfId="4" applyNumberFormat="1" applyFont="1" applyFill="1" applyBorder="1" applyAlignment="1">
      <alignment horizontal="right"/>
    </xf>
    <xf numFmtId="0" fontId="13" fillId="4" borderId="0" xfId="1" applyNumberFormat="1" applyFont="1" applyFill="1" applyBorder="1" applyProtection="1">
      <protection locked="0"/>
    </xf>
    <xf numFmtId="0" fontId="24" fillId="0" borderId="0" xfId="5" applyNumberFormat="1" applyFont="1" applyFill="1" applyBorder="1" applyAlignment="1"/>
    <xf numFmtId="166" fontId="13" fillId="4" borderId="0" xfId="1" applyNumberFormat="1" applyFont="1" applyFill="1" applyBorder="1" applyAlignment="1">
      <alignment horizontal="right"/>
    </xf>
    <xf numFmtId="0" fontId="35" fillId="0" borderId="0" xfId="0" applyNumberFormat="1" applyFont="1" applyFill="1" applyBorder="1" applyAlignment="1">
      <alignment horizontal="left"/>
    </xf>
    <xf numFmtId="165" fontId="13" fillId="4" borderId="0" xfId="1" applyNumberFormat="1" applyFont="1" applyFill="1" applyBorder="1"/>
    <xf numFmtId="165" fontId="28" fillId="9" borderId="0" xfId="0" applyNumberFormat="1" applyFont="1" applyFill="1" applyProtection="1"/>
    <xf numFmtId="3" fontId="33" fillId="3" borderId="0" xfId="2" applyNumberFormat="1" applyFont="1" applyFill="1" applyBorder="1" applyAlignment="1">
      <alignment horizontal="left"/>
    </xf>
    <xf numFmtId="165" fontId="24" fillId="0" borderId="0" xfId="5" applyNumberFormat="1" applyFont="1" applyFill="1" applyBorder="1" applyAlignment="1">
      <alignment horizontal="center"/>
    </xf>
    <xf numFmtId="0" fontId="36" fillId="0" borderId="0" xfId="5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/>
    <xf numFmtId="9" fontId="13" fillId="4" borderId="0" xfId="1" applyNumberFormat="1" applyFont="1" applyFill="1" applyBorder="1" applyAlignment="1">
      <alignment horizontal="right"/>
    </xf>
    <xf numFmtId="1" fontId="15" fillId="0" borderId="0" xfId="0" applyNumberFormat="1" applyFont="1" applyFill="1" applyBorder="1" applyAlignment="1">
      <alignment horizontal="right"/>
    </xf>
    <xf numFmtId="164" fontId="27" fillId="3" borderId="0" xfId="1" applyNumberFormat="1" applyFont="1" applyFill="1" applyBorder="1" applyProtection="1">
      <protection locked="0"/>
    </xf>
    <xf numFmtId="3" fontId="13" fillId="4" borderId="0" xfId="1" applyNumberFormat="1" applyFont="1" applyFill="1" applyBorder="1" applyProtection="1"/>
    <xf numFmtId="0" fontId="26" fillId="0" borderId="0" xfId="0" applyNumberFormat="1" applyFont="1" applyFill="1" applyBorder="1" applyAlignment="1">
      <alignment horizontal="right"/>
    </xf>
    <xf numFmtId="0" fontId="4" fillId="7" borderId="0" xfId="0" applyNumberFormat="1" applyFont="1" applyFill="1" applyBorder="1" applyAlignment="1" applyProtection="1">
      <alignment horizontal="right"/>
      <protection locked="0"/>
    </xf>
    <xf numFmtId="167" fontId="15" fillId="0" borderId="0" xfId="0" applyNumberFormat="1" applyFont="1" applyFill="1" applyBorder="1" applyAlignment="1">
      <alignment horizontal="right"/>
    </xf>
    <xf numFmtId="171" fontId="37" fillId="3" borderId="0" xfId="1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/>
    <xf numFmtId="1" fontId="28" fillId="7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/>
    <xf numFmtId="0" fontId="4" fillId="7" borderId="0" xfId="0" applyNumberFormat="1" applyFont="1" applyFill="1" applyBorder="1" applyAlignment="1"/>
    <xf numFmtId="3" fontId="13" fillId="4" borderId="0" xfId="1" applyNumberFormat="1" applyFont="1" applyFill="1" applyBorder="1" applyProtection="1">
      <protection locked="0"/>
    </xf>
    <xf numFmtId="3" fontId="0" fillId="0" borderId="0" xfId="0" applyNumberFormat="1" applyFont="1" applyFill="1" applyBorder="1" applyAlignment="1"/>
    <xf numFmtId="168" fontId="38" fillId="10" borderId="0" xfId="0" applyNumberFormat="1" applyFont="1" applyFill="1" applyBorder="1" applyAlignment="1" applyProtection="1"/>
    <xf numFmtId="168" fontId="0" fillId="0" borderId="0" xfId="0" applyNumberFormat="1" applyFont="1" applyFill="1" applyBorder="1" applyAlignment="1">
      <alignment horizontal="right"/>
    </xf>
    <xf numFmtId="0" fontId="17" fillId="0" borderId="11" xfId="5" applyNumberFormat="1" applyFont="1" applyFill="1" applyBorder="1" applyAlignment="1">
      <alignment horizontal="center"/>
    </xf>
    <xf numFmtId="165" fontId="17" fillId="5" borderId="0" xfId="5" applyNumberFormat="1" applyFont="1" applyFill="1" applyBorder="1" applyAlignment="1">
      <alignment horizontal="left"/>
    </xf>
    <xf numFmtId="168" fontId="21" fillId="4" borderId="0" xfId="0" applyNumberFormat="1" applyFont="1" applyFill="1" applyBorder="1" applyAlignment="1" applyProtection="1"/>
    <xf numFmtId="0" fontId="16" fillId="0" borderId="0" xfId="5" applyNumberFormat="1" applyFont="1" applyFill="1" applyBorder="1" applyAlignment="1">
      <alignment horizontal="center"/>
    </xf>
    <xf numFmtId="10" fontId="21" fillId="4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>
      <alignment vertical="top"/>
    </xf>
    <xf numFmtId="168" fontId="13" fillId="2" borderId="0" xfId="1" applyNumberFormat="1" applyFont="1" applyFill="1" applyBorder="1"/>
    <xf numFmtId="0" fontId="33" fillId="0" borderId="0" xfId="5" applyNumberFormat="1" applyFont="1" applyFill="1" applyBorder="1" applyAlignment="1"/>
    <xf numFmtId="171" fontId="10" fillId="4" borderId="0" xfId="1" applyNumberFormat="1" applyFont="1" applyFill="1" applyBorder="1" applyProtection="1"/>
    <xf numFmtId="0" fontId="37" fillId="0" borderId="0" xfId="0" applyNumberFormat="1" applyFont="1" applyFill="1" applyBorder="1" applyAlignment="1"/>
    <xf numFmtId="165" fontId="6" fillId="4" borderId="0" xfId="4" applyNumberFormat="1" applyFont="1" applyFill="1" applyBorder="1"/>
    <xf numFmtId="0" fontId="0" fillId="0" borderId="0" xfId="5" applyNumberFormat="1" applyFont="1" applyFill="1" applyBorder="1" applyAlignment="1">
      <alignment horizontal="center"/>
    </xf>
    <xf numFmtId="171" fontId="18" fillId="3" borderId="0" xfId="1" applyNumberFormat="1" applyFont="1" applyFill="1" applyBorder="1"/>
    <xf numFmtId="165" fontId="33" fillId="0" borderId="0" xfId="5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/>
    <xf numFmtId="165" fontId="17" fillId="5" borderId="0" xfId="5" applyNumberFormat="1" applyFont="1" applyFill="1" applyBorder="1" applyAlignment="1"/>
    <xf numFmtId="0" fontId="5" fillId="0" borderId="0" xfId="0" applyNumberFormat="1" applyFont="1" applyFill="1" applyBorder="1" applyAlignment="1"/>
    <xf numFmtId="3" fontId="5" fillId="0" borderId="0" xfId="0" applyNumberFormat="1" applyFont="1" applyFill="1" applyBorder="1" applyAlignment="1"/>
    <xf numFmtId="0" fontId="30" fillId="0" borderId="12" xfId="5" applyNumberFormat="1" applyFont="1" applyFill="1" applyBorder="1" applyAlignment="1">
      <alignment horizontal="center" vertical="center" wrapText="1"/>
    </xf>
    <xf numFmtId="0" fontId="13" fillId="0" borderId="0" xfId="0" applyFont="1"/>
    <xf numFmtId="165" fontId="3" fillId="5" borderId="0" xfId="5" applyNumberFormat="1" applyFont="1" applyFill="1" applyBorder="1" applyAlignment="1"/>
    <xf numFmtId="10" fontId="17" fillId="5" borderId="0" xfId="5" applyNumberFormat="1" applyFont="1" applyFill="1" applyBorder="1" applyAlignment="1">
      <alignment horizontal="center"/>
    </xf>
    <xf numFmtId="17" fontId="28" fillId="7" borderId="0" xfId="0" applyNumberFormat="1" applyFont="1" applyFill="1" applyBorder="1" applyAlignment="1" applyProtection="1">
      <alignment horizontal="right"/>
    </xf>
    <xf numFmtId="168" fontId="15" fillId="0" borderId="0" xfId="0" applyNumberFormat="1" applyFont="1" applyFill="1" applyBorder="1" applyAlignment="1"/>
    <xf numFmtId="171" fontId="13" fillId="4" borderId="0" xfId="4" applyNumberFormat="1" applyFont="1" applyFill="1" applyBorder="1"/>
    <xf numFmtId="165" fontId="0" fillId="0" borderId="0" xfId="0" applyNumberFormat="1" applyFont="1" applyFill="1" applyBorder="1" applyAlignment="1"/>
    <xf numFmtId="165" fontId="13" fillId="4" borderId="0" xfId="4" quotePrefix="1" applyNumberFormat="1" applyFont="1" applyFill="1" applyBorder="1"/>
    <xf numFmtId="165" fontId="33" fillId="3" borderId="0" xfId="2" applyNumberFormat="1" applyFont="1" applyFill="1" applyBorder="1" applyAlignment="1">
      <alignment horizontal="left"/>
    </xf>
    <xf numFmtId="3" fontId="15" fillId="0" borderId="0" xfId="4" applyNumberFormat="1" applyFont="1" applyFill="1" applyBorder="1" applyAlignment="1"/>
    <xf numFmtId="168" fontId="28" fillId="9" borderId="0" xfId="0" applyNumberFormat="1" applyFont="1" applyFill="1" applyProtection="1"/>
    <xf numFmtId="165" fontId="36" fillId="0" borderId="0" xfId="5" applyNumberFormat="1" applyFont="1" applyFill="1" applyBorder="1" applyAlignment="1">
      <alignment horizontal="center"/>
    </xf>
    <xf numFmtId="165" fontId="24" fillId="3" borderId="0" xfId="1" applyNumberFormat="1" applyFont="1" applyFill="1" applyBorder="1" applyAlignment="1">
      <alignment horizontal="left"/>
    </xf>
    <xf numFmtId="3" fontId="33" fillId="3" borderId="0" xfId="1" applyNumberFormat="1" applyFont="1" applyFill="1" applyBorder="1" applyAlignment="1">
      <alignment horizontal="left"/>
    </xf>
    <xf numFmtId="171" fontId="13" fillId="4" borderId="0" xfId="1" applyNumberFormat="1" applyFont="1" applyFill="1" applyBorder="1"/>
    <xf numFmtId="0" fontId="0" fillId="0" borderId="0" xfId="0" quotePrefix="1" applyNumberFormat="1" applyFont="1" applyFill="1" applyBorder="1" applyAlignment="1"/>
    <xf numFmtId="171" fontId="39" fillId="4" borderId="0" xfId="1" applyNumberFormat="1" applyFont="1" applyFill="1" applyBorder="1" applyProtection="1"/>
    <xf numFmtId="1" fontId="15" fillId="0" borderId="0" xfId="0" applyNumberFormat="1" applyFont="1" applyFill="1" applyBorder="1" applyAlignment="1"/>
    <xf numFmtId="0" fontId="37" fillId="0" borderId="0" xfId="5" applyNumberFormat="1" applyFont="1" applyFill="1" applyBorder="1" applyAlignment="1">
      <alignment horizontal="center"/>
    </xf>
    <xf numFmtId="165" fontId="7" fillId="4" borderId="0" xfId="1" applyNumberFormat="1" applyFont="1" applyFill="1" applyBorder="1"/>
    <xf numFmtId="0" fontId="0" fillId="0" borderId="0" xfId="5" applyNumberFormat="1" applyFont="1" applyFill="1" applyBorder="1" applyAlignment="1">
      <alignment horizontal="left"/>
    </xf>
    <xf numFmtId="0" fontId="0" fillId="0" borderId="0" xfId="5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 applyProtection="1">
      <alignment horizontal="right"/>
    </xf>
    <xf numFmtId="3" fontId="40" fillId="4" borderId="0" xfId="0" applyNumberFormat="1" applyFont="1" applyFill="1" applyBorder="1" applyAlignment="1" applyProtection="1">
      <alignment horizontal="right"/>
      <protection locked="0"/>
    </xf>
    <xf numFmtId="165" fontId="41" fillId="0" borderId="13" xfId="5" applyNumberFormat="1" applyFont="1" applyFill="1" applyBorder="1" applyAlignment="1">
      <alignment horizontal="center"/>
    </xf>
    <xf numFmtId="4" fontId="15" fillId="0" borderId="0" xfId="0" applyNumberFormat="1" applyFont="1" applyAlignment="1">
      <alignment horizontal="right"/>
    </xf>
    <xf numFmtId="165" fontId="4" fillId="7" borderId="0" xfId="0" applyNumberFormat="1" applyFont="1" applyFill="1" applyBorder="1" applyAlignment="1"/>
    <xf numFmtId="0" fontId="16" fillId="0" borderId="0" xfId="5" applyNumberFormat="1" applyFont="1" applyFill="1" applyBorder="1" applyAlignment="1"/>
    <xf numFmtId="4" fontId="13" fillId="0" borderId="0" xfId="0" applyNumberFormat="1" applyFont="1" applyAlignment="1">
      <alignment horizontal="right"/>
    </xf>
    <xf numFmtId="164" fontId="37" fillId="3" borderId="0" xfId="7" applyNumberFormat="1" applyFont="1" applyFill="1" applyBorder="1" applyAlignment="1">
      <alignment horizontal="left"/>
    </xf>
    <xf numFmtId="1" fontId="3" fillId="5" borderId="0" xfId="5" applyNumberFormat="1" applyFont="1" applyFill="1" applyBorder="1" applyAlignment="1">
      <alignment horizontal="center"/>
    </xf>
    <xf numFmtId="0" fontId="42" fillId="4" borderId="0" xfId="0" applyNumberFormat="1" applyFont="1" applyFill="1" applyBorder="1" applyAlignment="1" applyProtection="1"/>
    <xf numFmtId="0" fontId="0" fillId="0" borderId="0" xfId="5" applyNumberFormat="1" applyFont="1" applyFill="1" applyBorder="1" applyAlignment="1"/>
    <xf numFmtId="0" fontId="0" fillId="0" borderId="0" xfId="5" applyNumberFormat="1" applyFont="1" applyFill="1" applyBorder="1" applyAlignment="1">
      <alignment horizontal="left" vertical="center"/>
    </xf>
    <xf numFmtId="171" fontId="37" fillId="3" borderId="0" xfId="1" applyNumberFormat="1" applyFont="1" applyFill="1" applyBorder="1"/>
    <xf numFmtId="10" fontId="17" fillId="5" borderId="0" xfId="5" applyNumberFormat="1" applyFont="1" applyFill="1" applyBorder="1" applyAlignment="1">
      <alignment horizontal="left"/>
    </xf>
    <xf numFmtId="9" fontId="15" fillId="0" borderId="0" xfId="0" applyNumberFormat="1" applyFont="1" applyFill="1" applyBorder="1" applyAlignment="1">
      <alignment horizontal="right"/>
    </xf>
    <xf numFmtId="1" fontId="14" fillId="0" borderId="0" xfId="0" applyNumberFormat="1" applyFont="1" applyFill="1" applyBorder="1" applyAlignment="1"/>
    <xf numFmtId="172" fontId="10" fillId="4" borderId="0" xfId="1" applyNumberFormat="1" applyFont="1" applyFill="1" applyBorder="1" applyProtection="1"/>
    <xf numFmtId="3" fontId="21" fillId="4" borderId="0" xfId="1" applyNumberFormat="1" applyFont="1" applyFill="1" applyBorder="1" applyProtection="1"/>
    <xf numFmtId="165" fontId="9" fillId="0" borderId="0" xfId="0" applyNumberFormat="1" applyFont="1" applyFill="1" applyBorder="1" applyAlignment="1"/>
    <xf numFmtId="165" fontId="18" fillId="0" borderId="0" xfId="1" applyNumberFormat="1" applyFont="1" applyFill="1" applyBorder="1" applyAlignment="1">
      <alignment horizontal="left"/>
    </xf>
    <xf numFmtId="165" fontId="0" fillId="0" borderId="0" xfId="5" applyNumberFormat="1" applyFont="1" applyFill="1" applyBorder="1" applyAlignment="1">
      <alignment horizontal="center"/>
    </xf>
    <xf numFmtId="171" fontId="13" fillId="4" borderId="0" xfId="4" applyNumberFormat="1" applyFont="1" applyFill="1" applyBorder="1" applyProtection="1"/>
    <xf numFmtId="169" fontId="3" fillId="5" borderId="0" xfId="5" applyNumberFormat="1" applyFont="1" applyFill="1" applyBorder="1" applyAlignment="1">
      <alignment horizontal="center"/>
    </xf>
    <xf numFmtId="165" fontId="33" fillId="3" borderId="0" xfId="1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/>
    <xf numFmtId="165" fontId="5" fillId="0" borderId="0" xfId="0" applyNumberFormat="1" applyFont="1" applyFill="1" applyBorder="1" applyAlignment="1"/>
    <xf numFmtId="10" fontId="17" fillId="5" borderId="0" xfId="5" applyNumberFormat="1" applyFont="1" applyFill="1" applyBorder="1" applyAlignment="1"/>
    <xf numFmtId="165" fontId="18" fillId="3" borderId="0" xfId="2" applyNumberFormat="1" applyFont="1" applyFill="1" applyBorder="1" applyAlignment="1">
      <alignment horizontal="left"/>
    </xf>
    <xf numFmtId="0" fontId="17" fillId="0" borderId="12" xfId="5" applyNumberFormat="1" applyFont="1" applyFill="1" applyBorder="1" applyAlignment="1">
      <alignment horizontal="center"/>
    </xf>
    <xf numFmtId="167" fontId="15" fillId="0" borderId="0" xfId="0" applyNumberFormat="1" applyFont="1" applyFill="1" applyBorder="1" applyAlignment="1"/>
    <xf numFmtId="3" fontId="0" fillId="4" borderId="0" xfId="0" applyNumberFormat="1" applyFont="1" applyFill="1" applyBorder="1" applyAlignment="1" applyProtection="1">
      <alignment horizontal="right"/>
    </xf>
    <xf numFmtId="165" fontId="0" fillId="0" borderId="0" xfId="0" applyNumberFormat="1"/>
    <xf numFmtId="0" fontId="43" fillId="0" borderId="0" xfId="0" applyNumberFormat="1" applyFont="1" applyFill="1" applyBorder="1" applyAlignment="1"/>
    <xf numFmtId="168" fontId="6" fillId="0" borderId="0" xfId="0" applyNumberFormat="1" applyFont="1" applyFill="1" applyBorder="1" applyAlignment="1"/>
    <xf numFmtId="168" fontId="11" fillId="0" borderId="0" xfId="0" applyNumberFormat="1" applyFont="1" applyFill="1" applyBorder="1" applyAlignment="1"/>
    <xf numFmtId="3" fontId="42" fillId="4" borderId="0" xfId="0" applyNumberFormat="1" applyFont="1" applyFill="1" applyBorder="1" applyAlignment="1" applyProtection="1"/>
    <xf numFmtId="172" fontId="13" fillId="4" borderId="0" xfId="4" applyNumberFormat="1" applyFont="1" applyFill="1" applyBorder="1"/>
    <xf numFmtId="174" fontId="42" fillId="4" borderId="0" xfId="0" applyNumberFormat="1" applyFont="1" applyFill="1" applyBorder="1" applyAlignment="1" applyProtection="1">
      <alignment horizontal="right"/>
    </xf>
    <xf numFmtId="0" fontId="17" fillId="0" borderId="14" xfId="5" applyNumberFormat="1" applyFont="1" applyFill="1" applyBorder="1" applyAlignment="1">
      <alignment horizontal="center"/>
    </xf>
    <xf numFmtId="17" fontId="3" fillId="5" borderId="0" xfId="5" applyNumberFormat="1" applyFont="1" applyFill="1" applyBorder="1" applyAlignment="1">
      <alignment horizontal="center"/>
    </xf>
    <xf numFmtId="168" fontId="0" fillId="0" borderId="0" xfId="0" applyNumberFormat="1" applyFont="1" applyFill="1" applyBorder="1" applyAlignment="1"/>
    <xf numFmtId="10" fontId="0" fillId="0" borderId="0" xfId="0" applyNumberFormat="1" applyFont="1" applyFill="1" applyBorder="1" applyAlignment="1"/>
    <xf numFmtId="165" fontId="20" fillId="4" borderId="0" xfId="1" applyNumberFormat="1" applyFont="1" applyFill="1" applyBorder="1" applyProtection="1">
      <protection locked="0"/>
    </xf>
    <xf numFmtId="3" fontId="20" fillId="4" borderId="0" xfId="0" applyNumberFormat="1" applyFont="1" applyFill="1" applyBorder="1" applyAlignment="1" applyProtection="1">
      <alignment horizontal="right"/>
      <protection locked="0"/>
    </xf>
    <xf numFmtId="1" fontId="13" fillId="4" borderId="0" xfId="1" applyNumberFormat="1" applyFont="1" applyFill="1" applyBorder="1" applyProtection="1"/>
    <xf numFmtId="0" fontId="37" fillId="0" borderId="0" xfId="5" applyNumberFormat="1" applyFont="1" applyFill="1" applyBorder="1" applyAlignment="1"/>
    <xf numFmtId="0" fontId="0" fillId="0" borderId="0" xfId="5" applyNumberFormat="1" applyFont="1" applyFill="1" applyBorder="1" applyAlignment="1">
      <alignment vertical="center"/>
    </xf>
    <xf numFmtId="165" fontId="0" fillId="0" borderId="0" xfId="0" applyNumberFormat="1" applyFill="1"/>
    <xf numFmtId="172" fontId="13" fillId="4" borderId="0" xfId="1" applyNumberFormat="1" applyFont="1" applyFill="1" applyBorder="1"/>
    <xf numFmtId="165" fontId="37" fillId="3" borderId="0" xfId="7" applyNumberFormat="1" applyFont="1" applyFill="1" applyBorder="1" applyAlignment="1">
      <alignment horizontal="left"/>
    </xf>
    <xf numFmtId="9" fontId="0" fillId="0" borderId="0" xfId="0" applyNumberFormat="1" applyFont="1" applyFill="1" applyBorder="1" applyAlignment="1">
      <alignment horizontal="right"/>
    </xf>
    <xf numFmtId="4" fontId="15" fillId="0" borderId="0" xfId="0" applyNumberFormat="1" applyFont="1" applyAlignment="1">
      <alignment horizontal="left"/>
    </xf>
    <xf numFmtId="165" fontId="7" fillId="4" borderId="0" xfId="1" applyNumberFormat="1" applyFont="1" applyFill="1" applyBorder="1" applyAlignment="1">
      <alignment horizontal="left" indent="1"/>
    </xf>
    <xf numFmtId="165" fontId="37" fillId="0" borderId="0" xfId="5" applyNumberFormat="1" applyFont="1" applyFill="1" applyBorder="1" applyAlignment="1">
      <alignment horizontal="center"/>
    </xf>
    <xf numFmtId="4" fontId="13" fillId="0" borderId="0" xfId="0" applyNumberFormat="1" applyFont="1" applyAlignment="1">
      <alignment horizontal="left"/>
    </xf>
    <xf numFmtId="168" fontId="5" fillId="0" borderId="0" xfId="0" applyNumberFormat="1" applyFont="1" applyFill="1" applyBorder="1" applyAlignment="1"/>
    <xf numFmtId="165" fontId="44" fillId="9" borderId="0" xfId="0" applyNumberFormat="1" applyFont="1" applyFill="1"/>
    <xf numFmtId="171" fontId="24" fillId="3" borderId="0" xfId="1" applyNumberFormat="1" applyFont="1" applyFill="1" applyBorder="1" applyAlignment="1">
      <alignment horizontal="left"/>
    </xf>
    <xf numFmtId="0" fontId="32" fillId="0" borderId="0" xfId="0" applyNumberFormat="1" applyFont="1" applyFill="1" applyBorder="1" applyAlignment="1">
      <alignment horizontal="left" vertical="top" wrapText="1"/>
    </xf>
    <xf numFmtId="0" fontId="23" fillId="0" borderId="0" xfId="0" applyNumberFormat="1" applyFont="1" applyFill="1" applyBorder="1" applyAlignment="1" applyProtection="1">
      <alignment horizontal="left"/>
      <protection locked="0"/>
    </xf>
    <xf numFmtId="1" fontId="0" fillId="0" borderId="0" xfId="0" applyNumberFormat="1" applyFont="1" applyFill="1" applyBorder="1" applyAlignment="1"/>
    <xf numFmtId="0" fontId="0" fillId="4" borderId="0" xfId="0" applyNumberFormat="1" applyFont="1" applyFill="1" applyBorder="1" applyAlignment="1" applyProtection="1"/>
    <xf numFmtId="0" fontId="3" fillId="0" borderId="0" xfId="0" applyFont="1" applyFill="1"/>
    <xf numFmtId="168" fontId="42" fillId="4" borderId="0" xfId="0" applyNumberFormat="1" applyFont="1" applyFill="1" applyBorder="1" applyAlignment="1" applyProtection="1">
      <alignment horizontal="right"/>
    </xf>
    <xf numFmtId="165" fontId="18" fillId="3" borderId="0" xfId="1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wrapText="1"/>
    </xf>
    <xf numFmtId="0" fontId="15" fillId="0" borderId="0" xfId="0" applyNumberFormat="1" applyFont="1" applyFill="1" applyBorder="1" applyAlignment="1">
      <alignment horizontal="right"/>
    </xf>
    <xf numFmtId="0" fontId="45" fillId="0" borderId="0" xfId="5" applyNumberFormat="1" applyFont="1" applyFill="1" applyBorder="1" applyAlignment="1"/>
    <xf numFmtId="171" fontId="7" fillId="4" borderId="0" xfId="1" applyNumberFormat="1" applyFont="1" applyFill="1" applyBorder="1"/>
    <xf numFmtId="0" fontId="41" fillId="0" borderId="0" xfId="5" applyNumberFormat="1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right"/>
    </xf>
    <xf numFmtId="0" fontId="28" fillId="7" borderId="0" xfId="0" applyNumberFormat="1" applyFont="1" applyFill="1" applyBorder="1" applyAlignment="1" applyProtection="1">
      <alignment horizontal="right"/>
    </xf>
    <xf numFmtId="9" fontId="17" fillId="5" borderId="0" xfId="5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/>
    <xf numFmtId="172" fontId="13" fillId="4" borderId="0" xfId="4" applyNumberFormat="1" applyFont="1" applyFill="1" applyBorder="1" applyProtection="1"/>
    <xf numFmtId="17" fontId="17" fillId="5" borderId="0" xfId="5" applyNumberFormat="1" applyFont="1" applyFill="1" applyBorder="1" applyAlignment="1"/>
    <xf numFmtId="164" fontId="15" fillId="0" borderId="0" xfId="0" applyNumberFormat="1" applyFont="1" applyFill="1" applyBorder="1" applyAlignment="1">
      <alignment horizontal="right"/>
    </xf>
    <xf numFmtId="171" fontId="18" fillId="0" borderId="0" xfId="1" applyNumberFormat="1" applyFont="1" applyFill="1" applyBorder="1" applyAlignment="1">
      <alignment horizontal="left"/>
    </xf>
    <xf numFmtId="0" fontId="34" fillId="4" borderId="0" xfId="0" applyNumberFormat="1" applyFont="1" applyFill="1" applyBorder="1" applyAlignment="1" applyProtection="1"/>
    <xf numFmtId="174" fontId="40" fillId="4" borderId="0" xfId="0" applyNumberFormat="1" applyFont="1" applyFill="1" applyBorder="1" applyAlignment="1" applyProtection="1">
      <alignment horizontal="right"/>
      <protection locked="0"/>
    </xf>
    <xf numFmtId="174" fontId="0" fillId="4" borderId="0" xfId="0" applyNumberFormat="1" applyFont="1" applyFill="1" applyBorder="1" applyAlignment="1" applyProtection="1">
      <alignment horizontal="right"/>
    </xf>
    <xf numFmtId="172" fontId="13" fillId="4" borderId="0" xfId="1" applyNumberFormat="1" applyFont="1" applyFill="1" applyBorder="1" applyProtection="1"/>
    <xf numFmtId="171" fontId="33" fillId="3" borderId="0" xfId="1" applyNumberFormat="1" applyFont="1" applyFill="1" applyBorder="1" applyAlignment="1">
      <alignment horizontal="left"/>
    </xf>
    <xf numFmtId="168" fontId="44" fillId="9" borderId="0" xfId="0" applyNumberFormat="1" applyFont="1" applyFill="1"/>
    <xf numFmtId="165" fontId="8" fillId="0" borderId="0" xfId="0" applyNumberFormat="1" applyFont="1" applyFill="1" applyBorder="1" applyAlignment="1"/>
    <xf numFmtId="0" fontId="16" fillId="0" borderId="0" xfId="0" applyNumberFormat="1" applyFont="1" applyFill="1" applyBorder="1" applyAlignment="1">
      <alignment horizontal="right"/>
    </xf>
    <xf numFmtId="171" fontId="20" fillId="4" borderId="0" xfId="4" applyNumberFormat="1" applyFont="1" applyFill="1" applyBorder="1" applyProtection="1">
      <protection locked="0"/>
    </xf>
    <xf numFmtId="0" fontId="23" fillId="0" borderId="0" xfId="0" applyNumberFormat="1" applyFont="1" applyFill="1" applyBorder="1" applyAlignment="1" applyProtection="1">
      <protection locked="0"/>
    </xf>
    <xf numFmtId="165" fontId="22" fillId="0" borderId="0" xfId="0" applyNumberFormat="1" applyFont="1" applyFill="1" applyBorder="1" applyAlignment="1" applyProtection="1">
      <alignment horizontal="left"/>
    </xf>
    <xf numFmtId="171" fontId="20" fillId="4" borderId="0" xfId="1" applyNumberFormat="1" applyFont="1" applyFill="1" applyBorder="1" applyProtection="1"/>
    <xf numFmtId="0" fontId="38" fillId="10" borderId="0" xfId="0" applyNumberFormat="1" applyFont="1" applyFill="1" applyBorder="1" applyAlignment="1" applyProtection="1"/>
    <xf numFmtId="0" fontId="46" fillId="0" borderId="0" xfId="5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21" fillId="4" borderId="0" xfId="0" applyNumberFormat="1" applyFont="1" applyFill="1" applyBorder="1" applyAlignment="1" applyProtection="1"/>
    <xf numFmtId="165" fontId="13" fillId="4" borderId="0" xfId="1" applyNumberFormat="1" applyFont="1" applyFill="1" applyBorder="1" applyAlignment="1">
      <alignment horizontal="left" indent="2"/>
    </xf>
    <xf numFmtId="2" fontId="28" fillId="7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/>
    <xf numFmtId="171" fontId="20" fillId="4" borderId="0" xfId="1" applyNumberFormat="1" applyFont="1" applyFill="1" applyBorder="1" applyProtection="1">
      <protection locked="0"/>
    </xf>
    <xf numFmtId="171" fontId="21" fillId="4" borderId="0" xfId="1" applyNumberFormat="1" applyFont="1" applyFill="1" applyBorder="1" applyProtection="1"/>
    <xf numFmtId="165" fontId="43" fillId="0" borderId="0" xfId="0" applyNumberFormat="1" applyFont="1" applyFill="1" applyBorder="1" applyAlignment="1" applyProtection="1">
      <alignment horizontal="left"/>
    </xf>
    <xf numFmtId="0" fontId="17" fillId="0" borderId="15" xfId="5" applyNumberFormat="1" applyFont="1" applyFill="1" applyBorder="1" applyAlignment="1">
      <alignment horizontal="center"/>
    </xf>
    <xf numFmtId="3" fontId="6" fillId="8" borderId="0" xfId="0" applyNumberFormat="1" applyFont="1" applyFill="1"/>
    <xf numFmtId="168" fontId="34" fillId="4" borderId="0" xfId="0" applyNumberFormat="1" applyFont="1" applyFill="1" applyBorder="1" applyAlignment="1" applyProtection="1">
      <alignment horizontal="right"/>
    </xf>
    <xf numFmtId="0" fontId="41" fillId="0" borderId="0" xfId="5" applyNumberFormat="1" applyFont="1" applyFill="1" applyBorder="1" applyAlignment="1"/>
    <xf numFmtId="165" fontId="15" fillId="0" borderId="0" xfId="0" applyNumberFormat="1" applyFont="1" applyFill="1" applyBorder="1" applyAlignment="1">
      <alignment horizontal="right"/>
    </xf>
    <xf numFmtId="171" fontId="21" fillId="4" borderId="0" xfId="4" applyNumberFormat="1" applyFont="1" applyFill="1" applyBorder="1" applyProtection="1"/>
    <xf numFmtId="164" fontId="24" fillId="3" borderId="0" xfId="7" applyNumberFormat="1" applyFont="1" applyFill="1" applyBorder="1" applyAlignment="1">
      <alignment horizontal="left"/>
    </xf>
    <xf numFmtId="171" fontId="30" fillId="3" borderId="0" xfId="1" applyNumberFormat="1" applyFont="1" applyFill="1" applyBorder="1" applyAlignment="1">
      <alignment horizontal="left" vertical="top" wrapText="1"/>
    </xf>
    <xf numFmtId="165" fontId="41" fillId="0" borderId="0" xfId="5" applyNumberFormat="1" applyFont="1" applyFill="1" applyBorder="1" applyAlignment="1">
      <alignment horizontal="center"/>
    </xf>
    <xf numFmtId="0" fontId="17" fillId="5" borderId="0" xfId="5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/>
    <xf numFmtId="0" fontId="17" fillId="0" borderId="16" xfId="5" applyNumberFormat="1" applyFont="1" applyFill="1" applyBorder="1" applyAlignment="1">
      <alignment horizontal="center"/>
    </xf>
    <xf numFmtId="165" fontId="62" fillId="6" borderId="0" xfId="0" applyNumberFormat="1" applyFont="1" applyFill="1" applyBorder="1"/>
    <xf numFmtId="165" fontId="44" fillId="6" borderId="0" xfId="0" applyNumberFormat="1" applyFont="1" applyFill="1" applyBorder="1"/>
    <xf numFmtId="0" fontId="63" fillId="4" borderId="0" xfId="0" applyNumberFormat="1" applyFont="1" applyFill="1" applyBorder="1" applyAlignment="1" applyProtection="1"/>
    <xf numFmtId="0" fontId="63" fillId="0" borderId="0" xfId="0" applyFont="1"/>
    <xf numFmtId="4" fontId="13" fillId="4" borderId="0" xfId="1" applyNumberFormat="1" applyFont="1" applyFill="1" applyBorder="1" applyProtection="1">
      <protection locked="0"/>
    </xf>
    <xf numFmtId="4" fontId="21" fillId="4" borderId="0" xfId="1" applyNumberFormat="1" applyFont="1" applyFill="1" applyBorder="1" applyProtection="1"/>
    <xf numFmtId="165" fontId="64" fillId="6" borderId="0" xfId="0" applyNumberFormat="1" applyFont="1" applyFill="1" applyBorder="1"/>
    <xf numFmtId="165" fontId="64" fillId="9" borderId="0" xfId="0" applyNumberFormat="1" applyFont="1" applyFill="1"/>
    <xf numFmtId="0" fontId="30" fillId="0" borderId="0" xfId="0" applyNumberFormat="1" applyFont="1" applyFill="1" applyBorder="1" applyAlignment="1">
      <alignment horizontal="left" vertical="top" wrapText="1"/>
    </xf>
    <xf numFmtId="0" fontId="32" fillId="0" borderId="0" xfId="0" applyNumberFormat="1" applyFont="1" applyFill="1" applyBorder="1" applyAlignment="1">
      <alignment horizontal="left" vertical="top" wrapText="1"/>
    </xf>
    <xf numFmtId="165" fontId="41" fillId="0" borderId="0" xfId="5" applyNumberFormat="1" applyFont="1" applyFill="1" applyBorder="1" applyAlignment="1">
      <alignment horizontal="center"/>
    </xf>
    <xf numFmtId="165" fontId="41" fillId="0" borderId="17" xfId="5" applyNumberFormat="1" applyFont="1" applyFill="1" applyBorder="1" applyAlignment="1">
      <alignment horizontal="center"/>
    </xf>
    <xf numFmtId="165" fontId="41" fillId="0" borderId="18" xfId="5" applyNumberFormat="1" applyFont="1" applyFill="1" applyBorder="1" applyAlignment="1">
      <alignment horizontal="center"/>
    </xf>
    <xf numFmtId="165" fontId="41" fillId="0" borderId="19" xfId="5" applyNumberFormat="1" applyFont="1" applyFill="1" applyBorder="1" applyAlignment="1">
      <alignment horizontal="center"/>
    </xf>
    <xf numFmtId="165" fontId="36" fillId="0" borderId="0" xfId="5" applyNumberFormat="1" applyFont="1" applyFill="1" applyBorder="1" applyAlignment="1">
      <alignment horizontal="center"/>
    </xf>
    <xf numFmtId="0" fontId="36" fillId="0" borderId="0" xfId="5" applyNumberFormat="1" applyFont="1" applyFill="1" applyBorder="1" applyAlignment="1">
      <alignment horizontal="center"/>
    </xf>
  </cellXfs>
  <cellStyles count="49">
    <cellStyle name="20% - Énfasis1" xfId="25" builtinId="30" hidden="1"/>
    <cellStyle name="20% - Énfasis2" xfId="29" builtinId="34" hidden="1"/>
    <cellStyle name="20% - Énfasis3" xfId="33" builtinId="38" hidden="1"/>
    <cellStyle name="20% - Énfasis4" xfId="37" builtinId="42" hidden="1"/>
    <cellStyle name="20% - Énfasis5" xfId="41" builtinId="46" hidden="1"/>
    <cellStyle name="20% - Énfasis6" xfId="45" builtinId="50" hidden="1"/>
    <cellStyle name="40% - Énfasis1" xfId="26" builtinId="31" hidden="1"/>
    <cellStyle name="40% - Énfasis2" xfId="30" builtinId="35" hidden="1"/>
    <cellStyle name="40% - Énfasis3" xfId="34" builtinId="39" hidden="1"/>
    <cellStyle name="40% - Énfasis4" xfId="38" builtinId="43" hidden="1"/>
    <cellStyle name="40% - Énfasis5" xfId="42" builtinId="47" hidden="1"/>
    <cellStyle name="40% - Énfasis6" xfId="46" builtinId="51" hidden="1"/>
    <cellStyle name="60% - Énfasis1" xfId="27" builtinId="32" hidden="1"/>
    <cellStyle name="60% - Énfasis2" xfId="31" builtinId="36" hidden="1"/>
    <cellStyle name="60% - Énfasis3" xfId="35" builtinId="40" hidden="1"/>
    <cellStyle name="60% - Énfasis4" xfId="39" builtinId="44" hidden="1"/>
    <cellStyle name="60% - Énfasis5" xfId="43" builtinId="48" hidden="1"/>
    <cellStyle name="60% - Énfasis6" xfId="47" builtinId="52" hidden="1"/>
    <cellStyle name="Bueno" xfId="14" builtinId="26" hidden="1"/>
    <cellStyle name="Cálculo" xfId="18" builtinId="22" hidden="1"/>
    <cellStyle name="Celda de comprobación" xfId="20" builtinId="23" hidden="1"/>
    <cellStyle name="Celda vinculada" xfId="19" builtinId="24" hidden="1"/>
    <cellStyle name="Currency 2" xfId="1" xr:uid="{00000000-0005-0000-0000-000016000000}"/>
    <cellStyle name="Currency 2 2" xfId="2" xr:uid="{00000000-0005-0000-0000-000017000000}"/>
    <cellStyle name="Currency 3" xfId="3" xr:uid="{00000000-0005-0000-0000-000018000000}"/>
    <cellStyle name="Encabezado 1" xfId="10" builtinId="16" hidden="1"/>
    <cellStyle name="Encabezado 4" xfId="13" builtinId="19" hidden="1"/>
    <cellStyle name="Énfasis1" xfId="24" builtinId="29" hidden="1"/>
    <cellStyle name="Énfasis2" xfId="28" builtinId="33" hidden="1"/>
    <cellStyle name="Énfasis3" xfId="32" builtinId="37" hidden="1"/>
    <cellStyle name="Énfasis4" xfId="36" builtinId="41" hidden="1"/>
    <cellStyle name="Énfasis5" xfId="40" builtinId="45" hidden="1"/>
    <cellStyle name="Énfasis6" xfId="44" builtinId="49" hidden="1"/>
    <cellStyle name="Entrada" xfId="16" builtinId="20" hidden="1"/>
    <cellStyle name="Incorrecto" xfId="15" builtinId="27" hidden="1"/>
    <cellStyle name="Moneda" xfId="4" builtinId="4"/>
    <cellStyle name="Moneda 2" xfId="48" xr:uid="{309C0D21-EB35-41BD-A2EA-1BAF3CC1D874}"/>
    <cellStyle name="Normal" xfId="0" builtinId="0"/>
    <cellStyle name="Normal 2" xfId="5" xr:uid="{00000000-0005-0000-0000-000025000000}"/>
    <cellStyle name="Normal 2 2" xfId="6" xr:uid="{00000000-0005-0000-0000-000026000000}"/>
    <cellStyle name="Notas" xfId="22" builtinId="10" hidden="1"/>
    <cellStyle name="Percent 2" xfId="7" xr:uid="{00000000-0005-0000-0000-000028000000}"/>
    <cellStyle name="Percent 2 2" xfId="8" xr:uid="{00000000-0005-0000-0000-000029000000}"/>
    <cellStyle name="Salida" xfId="17" builtinId="21" hidden="1"/>
    <cellStyle name="Texto de advertencia" xfId="21" builtinId="11" hidden="1"/>
    <cellStyle name="Texto explicativo" xfId="23" builtinId="53" hidden="1"/>
    <cellStyle name="Título" xfId="9" builtinId="15" hidden="1"/>
    <cellStyle name="Título 2" xfId="11" builtinId="17" hidden="1"/>
    <cellStyle name="Título 3" xfId="12" builtinId="18" hidden="1"/>
  </cellStyles>
  <dxfs count="1">
    <dxf>
      <fill>
        <patternFill patternType="none"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FFFF00"/>
      <rgbColor rgb="000000FF"/>
      <rgbColor rgb="00FFFF99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83942987525903"/>
          <c:y val="6.5306122448979598E-2"/>
          <c:w val="0.76943800456340661"/>
          <c:h val="0.791836734693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Resumen!$G$40:$K$40</c:f>
              <c:numCache>
                <c:formatCode>"$"\ #,##0</c:formatCode>
                <c:ptCount val="5"/>
                <c:pt idx="0">
                  <c:v>20477952</c:v>
                </c:pt>
                <c:pt idx="1">
                  <c:v>31945605.119999997</c:v>
                </c:pt>
                <c:pt idx="2">
                  <c:v>51828549.746688008</c:v>
                </c:pt>
                <c:pt idx="3">
                  <c:v>80852537.60483329</c:v>
                </c:pt>
                <c:pt idx="4">
                  <c:v>126129958.66353996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6-4284-98A8-021CCCB6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317503"/>
        <c:axId val="1"/>
      </c:barChart>
      <c:catAx>
        <c:axId val="1388317503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8831750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96791443850268"/>
          <c:y val="6.0606284794791646E-2"/>
          <c:w val="0.75133689839572193"/>
          <c:h val="0.8068211663306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Resumen!$G$46:$K$46</c:f>
              <c:numCache>
                <c:formatCode>"$"\ #,##0</c:formatCode>
                <c:ptCount val="5"/>
                <c:pt idx="0">
                  <c:v>11843934.149881562</c:v>
                </c:pt>
                <c:pt idx="1">
                  <c:v>12745218.435933435</c:v>
                </c:pt>
                <c:pt idx="2">
                  <c:v>41954589.82245072</c:v>
                </c:pt>
                <c:pt idx="3">
                  <c:v>86511626.867969111</c:v>
                </c:pt>
                <c:pt idx="4">
                  <c:v>157044058.00074863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B-46B9-8401-79D4FD13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684847"/>
        <c:axId val="1"/>
      </c:barChart>
      <c:catAx>
        <c:axId val="1392684847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9268484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35911779446038"/>
          <c:y val="6.0606284794791646E-2"/>
          <c:w val="0.74406428314680273"/>
          <c:h val="0.7196996319381507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666CC"/>
              </a:solidFill>
              <a:ln>
                <a:solidFill>
                  <a:srgbClr val="6666CC"/>
                </a:solidFill>
                <a:prstDash val="solid"/>
              </a:ln>
            </c:spPr>
          </c:marker>
          <c:cat>
            <c:numRef>
              <c:f>Resumen!$M$38:$AJ$38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Resumen!$M$46:$AJ$46</c:f>
              <c:numCache>
                <c:formatCode>"$"\ #,##0</c:formatCode>
                <c:ptCount val="24"/>
                <c:pt idx="0">
                  <c:v>3173958.5805234634</c:v>
                </c:pt>
                <c:pt idx="1">
                  <c:v>3953971.1610469269</c:v>
                </c:pt>
                <c:pt idx="2">
                  <c:v>4733983.7415703908</c:v>
                </c:pt>
                <c:pt idx="3">
                  <c:v>5513996.3220938537</c:v>
                </c:pt>
                <c:pt idx="4">
                  <c:v>6294008.9026173167</c:v>
                </c:pt>
                <c:pt idx="5">
                  <c:v>7074021.4831407797</c:v>
                </c:pt>
                <c:pt idx="6">
                  <c:v>7854034.0636642426</c:v>
                </c:pt>
                <c:pt idx="7">
                  <c:v>8634046.6441877056</c:v>
                </c:pt>
                <c:pt idx="8">
                  <c:v>9414059.2247111686</c:v>
                </c:pt>
                <c:pt idx="9">
                  <c:v>10220065.746434633</c:v>
                </c:pt>
                <c:pt idx="10">
                  <c:v>11031999.948158097</c:v>
                </c:pt>
                <c:pt idx="11">
                  <c:v>11843934.14988156</c:v>
                </c:pt>
                <c:pt idx="12">
                  <c:v>10531050.64766058</c:v>
                </c:pt>
                <c:pt idx="13">
                  <c:v>10688893.545439599</c:v>
                </c:pt>
                <c:pt idx="14">
                  <c:v>10846736.443218619</c:v>
                </c:pt>
                <c:pt idx="15">
                  <c:v>11004579.340997638</c:v>
                </c:pt>
                <c:pt idx="16">
                  <c:v>11162422.238776658</c:v>
                </c:pt>
                <c:pt idx="17">
                  <c:v>11394778.021587769</c:v>
                </c:pt>
                <c:pt idx="18">
                  <c:v>11627133.804398879</c:v>
                </c:pt>
                <c:pt idx="19">
                  <c:v>11859489.58720999</c:v>
                </c:pt>
                <c:pt idx="20">
                  <c:v>12091845.370021101</c:v>
                </c:pt>
                <c:pt idx="21">
                  <c:v>12266306.986125212</c:v>
                </c:pt>
                <c:pt idx="22">
                  <c:v>12505762.711029323</c:v>
                </c:pt>
                <c:pt idx="23">
                  <c:v>12745218.435933433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4-4DF8-8AC3-6DA219FD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697327"/>
        <c:axId val="1"/>
      </c:lineChart>
      <c:dateAx>
        <c:axId val="139269732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9269732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51336898395721"/>
          <c:y val="6.0606284794791646E-2"/>
          <c:w val="0.79679144385026734"/>
          <c:h val="0.8068211663306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Resumen!$G$44:$K$44</c:f>
              <c:numCache>
                <c:formatCode>"$"\ #,##0</c:formatCode>
                <c:ptCount val="5"/>
                <c:pt idx="0">
                  <c:v>105580.76444444444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4-40DD-8FCF-7C8C6596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676943"/>
        <c:axId val="1"/>
      </c:barChart>
      <c:catAx>
        <c:axId val="1392676943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926769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47668257244796"/>
          <c:y val="6.0606284794791646E-2"/>
          <c:w val="0.76984325873031045"/>
          <c:h val="0.7196996319381507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666CC"/>
              </a:solidFill>
              <a:ln>
                <a:solidFill>
                  <a:srgbClr val="6666CC"/>
                </a:solidFill>
                <a:prstDash val="solid"/>
              </a:ln>
            </c:spPr>
          </c:marker>
          <c:cat>
            <c:numRef>
              <c:f>Resumen!$M$38:$AJ$38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Resumen!$M$44:$AJ$44</c:f>
              <c:numCache>
                <c:formatCode>"$"\ #,##0</c:formatCode>
                <c:ptCount val="24"/>
                <c:pt idx="0">
                  <c:v>105580.76444444444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5-415E-A2C3-BEBCFEB0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692751"/>
        <c:axId val="1"/>
      </c:lineChart>
      <c:dateAx>
        <c:axId val="139269275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926927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00050000130209"/>
          <c:y val="6.0606284794791646E-2"/>
          <c:w val="0.79733540972762951"/>
          <c:h val="0.8068211663306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Resumen!$G$47:$K$47</c:f>
              <c:numCache>
                <c:formatCode>"$"\ #,##0</c:formatCode>
                <c:ptCount val="5"/>
                <c:pt idx="0">
                  <c:v>2810972.6938775512</c:v>
                </c:pt>
                <c:pt idx="1">
                  <c:v>12254492.386424242</c:v>
                </c:pt>
                <c:pt idx="2">
                  <c:v>4890961.7197008133</c:v>
                </c:pt>
                <c:pt idx="3">
                  <c:v>6197340.2796183014</c:v>
                </c:pt>
                <c:pt idx="4">
                  <c:v>7938223.9860060364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C-4630-9DEC-71791C2F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697743"/>
        <c:axId val="1"/>
      </c:barChart>
      <c:catAx>
        <c:axId val="1392697743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926977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0417873951129"/>
          <c:y val="6.0606284794791646E-2"/>
          <c:w val="0.78891922220175192"/>
          <c:h val="0.7196996319381507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666CC"/>
              </a:solidFill>
              <a:ln>
                <a:solidFill>
                  <a:srgbClr val="6666CC"/>
                </a:solidFill>
                <a:prstDash val="solid"/>
              </a:ln>
            </c:spPr>
          </c:marker>
          <c:cat>
            <c:numRef>
              <c:f>Resumen!$M$38:$AJ$38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Resumen!$M$47:$AJ$47</c:f>
              <c:numCache>
                <c:formatCode>"$"\ #,##0</c:formatCode>
                <c:ptCount val="24"/>
                <c:pt idx="0">
                  <c:v>230277.55102040817</c:v>
                </c:pt>
                <c:pt idx="1">
                  <c:v>230277.55102040817</c:v>
                </c:pt>
                <c:pt idx="2">
                  <c:v>230277.55102040817</c:v>
                </c:pt>
                <c:pt idx="3">
                  <c:v>230277.55102040817</c:v>
                </c:pt>
                <c:pt idx="4">
                  <c:v>230277.55102040817</c:v>
                </c:pt>
                <c:pt idx="5">
                  <c:v>230277.55102040817</c:v>
                </c:pt>
                <c:pt idx="6">
                  <c:v>230277.55102040817</c:v>
                </c:pt>
                <c:pt idx="7">
                  <c:v>230277.55102040817</c:v>
                </c:pt>
                <c:pt idx="8">
                  <c:v>230277.55102040817</c:v>
                </c:pt>
                <c:pt idx="9">
                  <c:v>246158.24489795923</c:v>
                </c:pt>
                <c:pt idx="10">
                  <c:v>246158.24489795923</c:v>
                </c:pt>
                <c:pt idx="11">
                  <c:v>246158.24489795923</c:v>
                </c:pt>
                <c:pt idx="12">
                  <c:v>1005218.4727272727</c:v>
                </c:pt>
                <c:pt idx="13">
                  <c:v>1005218.4727272727</c:v>
                </c:pt>
                <c:pt idx="14">
                  <c:v>1005218.4727272727</c:v>
                </c:pt>
                <c:pt idx="15">
                  <c:v>1005218.4727272727</c:v>
                </c:pt>
                <c:pt idx="16">
                  <c:v>1005218.4727272727</c:v>
                </c:pt>
                <c:pt idx="17">
                  <c:v>1005218.4727272727</c:v>
                </c:pt>
                <c:pt idx="18">
                  <c:v>1005218.4727272727</c:v>
                </c:pt>
                <c:pt idx="19">
                  <c:v>1005218.4727272727</c:v>
                </c:pt>
                <c:pt idx="20">
                  <c:v>1005218.4727272727</c:v>
                </c:pt>
                <c:pt idx="21">
                  <c:v>1069176.4116363628</c:v>
                </c:pt>
                <c:pt idx="22">
                  <c:v>1069174.8601212113</c:v>
                </c:pt>
                <c:pt idx="23">
                  <c:v>1069174.8601212113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C-478B-A8DE-469012F8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693167"/>
        <c:axId val="1"/>
      </c:lineChart>
      <c:dateAx>
        <c:axId val="139269316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9269316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88221709006926E-2"/>
          <c:y val="5.0000071806169298E-2"/>
          <c:w val="0.70323325635103928"/>
          <c:h val="0.8470600400103975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Resumen!$D$60</c:f>
              <c:strCache>
                <c:ptCount val="1"/>
                <c:pt idx="0">
                  <c:v>Caja generada por operaciones</c:v>
                </c:pt>
              </c:strCache>
            </c:strRef>
          </c:tx>
          <c:spPr>
            <a:solidFill>
              <a:srgbClr val="8EB4E3"/>
            </a:solidFill>
            <a:ln w="25400">
              <a:noFill/>
            </a:ln>
          </c:spPr>
          <c:invertIfNegative val="0"/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Resumen!$G$60:$K$60</c:f>
              <c:numCache>
                <c:formatCode>"$"\ #,##0</c:formatCode>
                <c:ptCount val="5"/>
                <c:pt idx="0">
                  <c:v>10915099.690266669</c:v>
                </c:pt>
                <c:pt idx="1">
                  <c:v>3374598.1944123344</c:v>
                </c:pt>
                <c:pt idx="2">
                  <c:v>28596523.678844966</c:v>
                </c:pt>
                <c:pt idx="3">
                  <c:v>44926880.952462822</c:v>
                </c:pt>
                <c:pt idx="4">
                  <c:v>71072308.1613639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6-4B76-B80F-34657DF37D92}"/>
            </c:ext>
          </c:extLst>
        </c:ser>
        <c:ser>
          <c:idx val="1"/>
          <c:order val="2"/>
          <c:tx>
            <c:strRef>
              <c:f>Resumen!$D$61</c:f>
              <c:strCache>
                <c:ptCount val="1"/>
                <c:pt idx="0">
                  <c:v>Inversión en capital de trabajo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Resumen!$G$61:$K$61</c:f>
              <c:numCache>
                <c:formatCode>"$"\ #,##0</c:formatCode>
                <c:ptCount val="5"/>
                <c:pt idx="0">
                  <c:v>-238119.67999999999</c:v>
                </c:pt>
                <c:pt idx="1">
                  <c:v>-1535720.2432000004</c:v>
                </c:pt>
                <c:pt idx="2">
                  <c:v>1095617.7076723177</c:v>
                </c:pt>
                <c:pt idx="3">
                  <c:v>-369843.90694442997</c:v>
                </c:pt>
                <c:pt idx="4">
                  <c:v>-539877.02858438343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6-4B76-B80F-34657DF37D92}"/>
            </c:ext>
          </c:extLst>
        </c:ser>
        <c:ser>
          <c:idx val="2"/>
          <c:order val="3"/>
          <c:tx>
            <c:strRef>
              <c:f>Resumen!$D$62</c:f>
              <c:strCache>
                <c:ptCount val="1"/>
                <c:pt idx="0">
                  <c:v>Inversión en activos fijos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Resumen!$G$62:$K$62</c:f>
              <c:numCache>
                <c:formatCode>"$"\ #,##0</c:formatCode>
                <c:ptCount val="5"/>
                <c:pt idx="0">
                  <c:v>-775000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6-4B76-B80F-34657DF37D92}"/>
            </c:ext>
          </c:extLst>
        </c:ser>
        <c:ser>
          <c:idx val="3"/>
          <c:order val="4"/>
          <c:tx>
            <c:strRef>
              <c:f>Resumen!$D$63</c:f>
              <c:strCache>
                <c:ptCount val="1"/>
                <c:pt idx="0">
                  <c:v>Financiamiento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Resumen!$G$63:$K$63</c:f>
              <c:numCache>
                <c:formatCode>"$"\ #,##0</c:formatCode>
                <c:ptCount val="5"/>
                <c:pt idx="0">
                  <c:v>1941954.1396148934</c:v>
                </c:pt>
                <c:pt idx="1">
                  <c:v>-937593.6651604611</c:v>
                </c:pt>
                <c:pt idx="2">
                  <c:v>-482770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6-4B76-B80F-34657DF3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687759"/>
        <c:axId val="1"/>
      </c:barChart>
      <c:lineChart>
        <c:grouping val="standard"/>
        <c:varyColors val="0"/>
        <c:ser>
          <c:idx val="4"/>
          <c:order val="0"/>
          <c:tx>
            <c:v>Flujo de caja del negocio</c:v>
          </c:tx>
          <c:spPr>
            <a:ln w="25400">
              <a:solidFill>
                <a:srgbClr val="66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666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Resumen!$G$45:$K$45</c:f>
              <c:numCache>
                <c:formatCode>"$"\ #,##0</c:formatCode>
                <c:ptCount val="5"/>
                <c:pt idx="0">
                  <c:v>11843934.149881562</c:v>
                </c:pt>
                <c:pt idx="1">
                  <c:v>901284.28605187288</c:v>
                </c:pt>
                <c:pt idx="2">
                  <c:v>29209371.386517283</c:v>
                </c:pt>
                <c:pt idx="3">
                  <c:v>44557037.045518391</c:v>
                </c:pt>
                <c:pt idx="4">
                  <c:v>70532431.132779509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36-4B76-B80F-34657DF3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687759"/>
        <c:axId val="1"/>
      </c:lineChart>
      <c:catAx>
        <c:axId val="13926877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none"/>
        <c:minorTickMark val="none"/>
        <c:tickLblPos val="nextTo"/>
        <c:spPr>
          <a:ln w="12700">
            <a:solidFill>
              <a:srgbClr val="01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9268775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3787528868360275"/>
          <c:y val="0.32353002933456843"/>
          <c:w val="0.25404157043879905"/>
          <c:h val="0.4176476763933919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4851397344"/>
          <c:y val="6.4257280125502497E-2"/>
          <c:w val="0.76486587424233832"/>
          <c:h val="0.7028140013726835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666CC"/>
              </a:solidFill>
              <a:ln>
                <a:solidFill>
                  <a:srgbClr val="6666CC"/>
                </a:solidFill>
                <a:prstDash val="solid"/>
              </a:ln>
            </c:spPr>
          </c:marker>
          <c:cat>
            <c:numRef>
              <c:f>Resumen!$M$38:$AJ$38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Resumen!$M$40:$AJ$40</c:f>
              <c:numCache>
                <c:formatCode>"$"\ #,##0</c:formatCode>
                <c:ptCount val="24"/>
                <c:pt idx="0">
                  <c:v>1689600</c:v>
                </c:pt>
                <c:pt idx="1">
                  <c:v>1689600</c:v>
                </c:pt>
                <c:pt idx="2">
                  <c:v>1689600</c:v>
                </c:pt>
                <c:pt idx="3">
                  <c:v>1689600</c:v>
                </c:pt>
                <c:pt idx="4">
                  <c:v>1689600</c:v>
                </c:pt>
                <c:pt idx="5">
                  <c:v>1689600</c:v>
                </c:pt>
                <c:pt idx="6">
                  <c:v>1689600</c:v>
                </c:pt>
                <c:pt idx="7">
                  <c:v>1689600</c:v>
                </c:pt>
                <c:pt idx="8">
                  <c:v>1689600</c:v>
                </c:pt>
                <c:pt idx="9">
                  <c:v>1757184</c:v>
                </c:pt>
                <c:pt idx="10">
                  <c:v>1757184</c:v>
                </c:pt>
                <c:pt idx="11">
                  <c:v>1757184</c:v>
                </c:pt>
                <c:pt idx="12">
                  <c:v>2635776</c:v>
                </c:pt>
                <c:pt idx="13">
                  <c:v>2635776</c:v>
                </c:pt>
                <c:pt idx="14">
                  <c:v>2635776</c:v>
                </c:pt>
                <c:pt idx="15">
                  <c:v>2635776</c:v>
                </c:pt>
                <c:pt idx="16">
                  <c:v>2635776</c:v>
                </c:pt>
                <c:pt idx="17">
                  <c:v>2635776</c:v>
                </c:pt>
                <c:pt idx="18">
                  <c:v>2635776</c:v>
                </c:pt>
                <c:pt idx="19">
                  <c:v>2635776</c:v>
                </c:pt>
                <c:pt idx="20">
                  <c:v>2635776</c:v>
                </c:pt>
                <c:pt idx="21">
                  <c:v>2741207.0400000005</c:v>
                </c:pt>
                <c:pt idx="22">
                  <c:v>2741207.0400000005</c:v>
                </c:pt>
                <c:pt idx="23">
                  <c:v>2741207.0400000005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C-4897-BB12-98FE9D40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17919"/>
        <c:axId val="1"/>
      </c:lineChart>
      <c:dateAx>
        <c:axId val="138831791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8831791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67873303167421"/>
          <c:y val="5.2805450718887682E-2"/>
          <c:w val="0.89479638009049778"/>
          <c:h val="0.8316858488224809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CC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6666CC"/>
              </a:solidFill>
              <a:ln>
                <a:solidFill>
                  <a:srgbClr val="6666CC"/>
                </a:solidFill>
                <a:prstDash val="solid"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F3-44DA-9598-5E92908873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F3-44DA-9598-5E92908873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F3-44DA-9598-5E92908873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F3-44DA-9598-5E929088737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F3-44DA-9598-5E929088737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F3-44DA-9598-5E929088737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F3-44DA-9598-5E929088737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F3-44DA-9598-5E929088737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F3-44DA-9598-5E929088737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F3-44DA-9598-5E929088737D}"/>
                </c:ext>
              </c:extLst>
            </c:dLbl>
            <c:numFmt formatCode="\$\ 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Resumen!$G$56:$AA$56</c:f>
              <c:numCache>
                <c:formatCode>0.00%</c:formatCode>
                <c:ptCount val="21"/>
                <c:pt idx="0" formatCode="0%">
                  <c:v>0</c:v>
                </c:pt>
                <c:pt idx="1">
                  <c:v>0.05</c:v>
                </c:pt>
                <c:pt idx="2">
                  <c:v>0.1</c:v>
                </c:pt>
                <c:pt idx="3" formatCode="0%">
                  <c:v>0.15</c:v>
                </c:pt>
                <c:pt idx="4">
                  <c:v>0.2</c:v>
                </c:pt>
                <c:pt idx="5">
                  <c:v>0.25</c:v>
                </c:pt>
                <c:pt idx="6" formatCode="0%">
                  <c:v>0.3</c:v>
                </c:pt>
                <c:pt idx="7">
                  <c:v>0.35</c:v>
                </c:pt>
                <c:pt idx="8">
                  <c:v>0.4</c:v>
                </c:pt>
                <c:pt idx="9" formatCode="0%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 formatCode="0%">
                  <c:v>0.6</c:v>
                </c:pt>
                <c:pt idx="13">
                  <c:v>0.65</c:v>
                </c:pt>
                <c:pt idx="14">
                  <c:v>0.7</c:v>
                </c:pt>
                <c:pt idx="15" formatCode="0%">
                  <c:v>0.75</c:v>
                </c:pt>
                <c:pt idx="16">
                  <c:v>0.8</c:v>
                </c:pt>
                <c:pt idx="17">
                  <c:v>0.85</c:v>
                </c:pt>
                <c:pt idx="18" formatCode="0%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Resumen!$G$57:$AA$57</c:f>
              <c:numCache>
                <c:formatCode>"$"\ #,##0</c:formatCode>
                <c:ptCount val="21"/>
                <c:pt idx="0">
                  <c:v>156522467.52629417</c:v>
                </c:pt>
                <c:pt idx="1">
                  <c:v>128668751.79616603</c:v>
                </c:pt>
                <c:pt idx="2">
                  <c:v>107057825.43829633</c:v>
                </c:pt>
                <c:pt idx="3">
                  <c:v>90066652.643304482</c:v>
                </c:pt>
                <c:pt idx="4">
                  <c:v>76544771.586038113</c:v>
                </c:pt>
                <c:pt idx="5">
                  <c:v>65663471.694319606</c:v>
                </c:pt>
                <c:pt idx="6">
                  <c:v>56816950.010181643</c:v>
                </c:pt>
                <c:pt idx="7">
                  <c:v>49556315.703064352</c:v>
                </c:pt>
                <c:pt idx="8">
                  <c:v>43544766.99062264</c:v>
                </c:pt>
                <c:pt idx="9">
                  <c:v>38526664.838633053</c:v>
                </c:pt>
                <c:pt idx="10">
                  <c:v>34305882.035626352</c:v>
                </c:pt>
                <c:pt idx="11">
                  <c:v>30730439.795062963</c:v>
                </c:pt>
                <c:pt idx="12">
                  <c:v>27681468.261579748</c:v>
                </c:pt>
                <c:pt idx="13">
                  <c:v>25065180.627488941</c:v>
                </c:pt>
                <c:pt idx="14">
                  <c:v>22806974.035783198</c:v>
                </c:pt>
                <c:pt idx="15">
                  <c:v>20847049.055066802</c:v>
                </c:pt>
                <c:pt idx="16">
                  <c:v>19137125.389203999</c:v>
                </c:pt>
                <c:pt idx="17">
                  <c:v>17637957.125882383</c:v>
                </c:pt>
                <c:pt idx="18">
                  <c:v>16317436.802153451</c:v>
                </c:pt>
                <c:pt idx="19">
                  <c:v>15149137.077890644</c:v>
                </c:pt>
                <c:pt idx="20">
                  <c:v>14111180.454495337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F3-44DA-9598-5E929088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44127"/>
        <c:axId val="1"/>
      </c:lineChart>
      <c:catAx>
        <c:axId val="1388344127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8834412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66723611259403"/>
          <c:y val="6.0606284794791646E-2"/>
          <c:w val="0.77066867361633751"/>
          <c:h val="0.8068211663306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Resumen!$G$42:$K$42</c:f>
              <c:numCache>
                <c:formatCode>"$"\ #,##0</c:formatCode>
                <c:ptCount val="5"/>
                <c:pt idx="0">
                  <c:v>9901980.0102666691</c:v>
                </c:pt>
                <c:pt idx="1">
                  <c:v>1838877.951212334</c:v>
                </c:pt>
                <c:pt idx="2">
                  <c:v>29692141.386517283</c:v>
                </c:pt>
                <c:pt idx="3">
                  <c:v>44557037.045518391</c:v>
                </c:pt>
                <c:pt idx="4">
                  <c:v>70532431.132779509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9-48BD-8806-0535450F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340799"/>
        <c:axId val="1"/>
      </c:barChart>
      <c:catAx>
        <c:axId val="1388340799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8834079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5279628338901"/>
          <c:y val="6.0606284794791646E-2"/>
          <c:w val="0.75989543810737303"/>
          <c:h val="0.8181848447296872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666CC"/>
              </a:solidFill>
              <a:ln>
                <a:solidFill>
                  <a:srgbClr val="6666CC"/>
                </a:solidFill>
                <a:prstDash val="solid"/>
              </a:ln>
            </c:spPr>
          </c:marker>
          <c:cat>
            <c:numRef>
              <c:f>Resumen!$M$38:$AJ$38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Resumen!$M$42:$AJ$42</c:f>
              <c:numCache>
                <c:formatCode>"$"\ #,##0</c:formatCode>
                <c:ptCount val="24"/>
                <c:pt idx="0">
                  <c:v>-105580.76444444444</c:v>
                </c:pt>
                <c:pt idx="1">
                  <c:v>901611.23555555556</c:v>
                </c:pt>
                <c:pt idx="2">
                  <c:v>901611.23555555556</c:v>
                </c:pt>
                <c:pt idx="3">
                  <c:v>901611.23555555556</c:v>
                </c:pt>
                <c:pt idx="4">
                  <c:v>901611.23555555556</c:v>
                </c:pt>
                <c:pt idx="5">
                  <c:v>901611.23555555556</c:v>
                </c:pt>
                <c:pt idx="6">
                  <c:v>901611.23555555556</c:v>
                </c:pt>
                <c:pt idx="7">
                  <c:v>901611.23555555556</c:v>
                </c:pt>
                <c:pt idx="8">
                  <c:v>901611.23555555556</c:v>
                </c:pt>
                <c:pt idx="9">
                  <c:v>927605.17675555544</c:v>
                </c:pt>
                <c:pt idx="10">
                  <c:v>933532.85675555537</c:v>
                </c:pt>
                <c:pt idx="11">
                  <c:v>933532.85675555537</c:v>
                </c:pt>
                <c:pt idx="12">
                  <c:v>-1191284.8471888884</c:v>
                </c:pt>
                <c:pt idx="13">
                  <c:v>279441.55281111115</c:v>
                </c:pt>
                <c:pt idx="14">
                  <c:v>279441.55281111115</c:v>
                </c:pt>
                <c:pt idx="15">
                  <c:v>279441.55281111115</c:v>
                </c:pt>
                <c:pt idx="16">
                  <c:v>279441.55281111115</c:v>
                </c:pt>
                <c:pt idx="17">
                  <c:v>279441.55281111115</c:v>
                </c:pt>
                <c:pt idx="18">
                  <c:v>279441.55281111115</c:v>
                </c:pt>
                <c:pt idx="19">
                  <c:v>279441.55281111115</c:v>
                </c:pt>
                <c:pt idx="20">
                  <c:v>279441.55281111115</c:v>
                </c:pt>
                <c:pt idx="21">
                  <c:v>221547.38610411057</c:v>
                </c:pt>
                <c:pt idx="22">
                  <c:v>286541.49490411155</c:v>
                </c:pt>
                <c:pt idx="23">
                  <c:v>286541.49490411155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5-4B6F-ABF7-A0540831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45791"/>
        <c:axId val="1"/>
      </c:lineChart>
      <c:dateAx>
        <c:axId val="138834579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8834579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25133689839571"/>
          <c:y val="6.0606284794791646E-2"/>
          <c:w val="0.77005347593582885"/>
          <c:h val="0.8068211663306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Resumen!$G$45:$K$45</c:f>
              <c:numCache>
                <c:formatCode>"$"\ #,##0</c:formatCode>
                <c:ptCount val="5"/>
                <c:pt idx="0">
                  <c:v>11843934.149881562</c:v>
                </c:pt>
                <c:pt idx="1">
                  <c:v>901284.28605187288</c:v>
                </c:pt>
                <c:pt idx="2">
                  <c:v>29209371.386517283</c:v>
                </c:pt>
                <c:pt idx="3">
                  <c:v>44557037.045518391</c:v>
                </c:pt>
                <c:pt idx="4">
                  <c:v>70532431.132779509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3-4DFD-8883-829BD4D6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344543"/>
        <c:axId val="1"/>
      </c:barChart>
      <c:catAx>
        <c:axId val="1388344543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883445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93177737417682"/>
          <c:y val="6.0606284794791646E-2"/>
          <c:w val="0.74338816392858154"/>
          <c:h val="0.7196996319381507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666CC"/>
              </a:solidFill>
              <a:ln>
                <a:solidFill>
                  <a:srgbClr val="6666CC"/>
                </a:solidFill>
                <a:prstDash val="solid"/>
              </a:ln>
            </c:spPr>
          </c:marker>
          <c:cat>
            <c:numRef>
              <c:f>Resumen!$M$38:$AJ$38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Resumen!$M$45:$AJ$45</c:f>
              <c:numCache>
                <c:formatCode>"$"\ #,##0</c:formatCode>
                <c:ptCount val="24"/>
                <c:pt idx="0">
                  <c:v>3173958.5805234634</c:v>
                </c:pt>
                <c:pt idx="1">
                  <c:v>780012.58052346343</c:v>
                </c:pt>
                <c:pt idx="2">
                  <c:v>780012.58052346343</c:v>
                </c:pt>
                <c:pt idx="3">
                  <c:v>780012.58052346343</c:v>
                </c:pt>
                <c:pt idx="4">
                  <c:v>780012.58052346343</c:v>
                </c:pt>
                <c:pt idx="5">
                  <c:v>780012.58052346343</c:v>
                </c:pt>
                <c:pt idx="6">
                  <c:v>780012.58052346343</c:v>
                </c:pt>
                <c:pt idx="7">
                  <c:v>780012.58052346343</c:v>
                </c:pt>
                <c:pt idx="8">
                  <c:v>780012.58052346343</c:v>
                </c:pt>
                <c:pt idx="9">
                  <c:v>806006.5217234632</c:v>
                </c:pt>
                <c:pt idx="10">
                  <c:v>811934.20172346313</c:v>
                </c:pt>
                <c:pt idx="11">
                  <c:v>811934.20172346313</c:v>
                </c:pt>
                <c:pt idx="12">
                  <c:v>-1312883.5022209806</c:v>
                </c:pt>
                <c:pt idx="13">
                  <c:v>157842.89777901897</c:v>
                </c:pt>
                <c:pt idx="14">
                  <c:v>157842.89777901897</c:v>
                </c:pt>
                <c:pt idx="15">
                  <c:v>157842.89777901897</c:v>
                </c:pt>
                <c:pt idx="16">
                  <c:v>157842.89777901897</c:v>
                </c:pt>
                <c:pt idx="17">
                  <c:v>232355.78281111116</c:v>
                </c:pt>
                <c:pt idx="18">
                  <c:v>232355.78281111116</c:v>
                </c:pt>
                <c:pt idx="19">
                  <c:v>232355.78281111116</c:v>
                </c:pt>
                <c:pt idx="20">
                  <c:v>232355.78281111116</c:v>
                </c:pt>
                <c:pt idx="21">
                  <c:v>174461.61610411058</c:v>
                </c:pt>
                <c:pt idx="22">
                  <c:v>239455.72490411156</c:v>
                </c:pt>
                <c:pt idx="23">
                  <c:v>239455.72490411156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6-43E2-A9F0-F79A124A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44959"/>
        <c:axId val="1"/>
      </c:lineChart>
      <c:dateAx>
        <c:axId val="138834495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8834495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96791443850268"/>
          <c:y val="6.3670644862786979E-2"/>
          <c:w val="0.75133689839572193"/>
          <c:h val="0.805246390911717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Resumen!$G$38:$K$38</c:f>
              <c:numCache>
                <c:formatCode>0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Resumen!$G$43:$K$43</c:f>
              <c:numCache>
                <c:formatCode>"$"\ #,##0</c:formatCode>
                <c:ptCount val="5"/>
                <c:pt idx="0">
                  <c:v>9901980.0102666691</c:v>
                </c:pt>
                <c:pt idx="1">
                  <c:v>11740857.961479003</c:v>
                </c:pt>
                <c:pt idx="2">
                  <c:v>41432999.347996287</c:v>
                </c:pt>
                <c:pt idx="3">
                  <c:v>85990036.393514678</c:v>
                </c:pt>
                <c:pt idx="4">
                  <c:v>156522467.52629417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9-45E8-B48D-477371AF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343711"/>
        <c:axId val="1"/>
      </c:barChart>
      <c:catAx>
        <c:axId val="1388343711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8834371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35911779446038"/>
          <c:y val="5.9701601310345208E-2"/>
          <c:w val="0.74406428314680273"/>
          <c:h val="0.847016468590522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666CC"/>
              </a:solidFill>
              <a:ln>
                <a:solidFill>
                  <a:srgbClr val="6666CC"/>
                </a:solidFill>
                <a:prstDash val="solid"/>
              </a:ln>
            </c:spPr>
          </c:marker>
          <c:cat>
            <c:numRef>
              <c:f>Resumen!$M$38:$AJ$38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Resumen!$M$43:$AJ$43</c:f>
              <c:numCache>
                <c:formatCode>"$"\ #,##0</c:formatCode>
                <c:ptCount val="24"/>
                <c:pt idx="0">
                  <c:v>-105580.76444444444</c:v>
                </c:pt>
                <c:pt idx="1">
                  <c:v>796030.47111111111</c:v>
                </c:pt>
                <c:pt idx="2">
                  <c:v>1697641.7066666665</c:v>
                </c:pt>
                <c:pt idx="3">
                  <c:v>2599252.9422222222</c:v>
                </c:pt>
                <c:pt idx="4">
                  <c:v>3500864.1777777779</c:v>
                </c:pt>
                <c:pt idx="5">
                  <c:v>4402475.4133333331</c:v>
                </c:pt>
                <c:pt idx="6">
                  <c:v>5304086.6488888888</c:v>
                </c:pt>
                <c:pt idx="7">
                  <c:v>6205697.8844444444</c:v>
                </c:pt>
                <c:pt idx="8">
                  <c:v>7107309.1200000001</c:v>
                </c:pt>
                <c:pt idx="9">
                  <c:v>8034914.296755556</c:v>
                </c:pt>
                <c:pt idx="10">
                  <c:v>8968447.1535111107</c:v>
                </c:pt>
                <c:pt idx="11">
                  <c:v>9901980.0102666654</c:v>
                </c:pt>
                <c:pt idx="12">
                  <c:v>8710695.1630777773</c:v>
                </c:pt>
                <c:pt idx="13">
                  <c:v>8990136.7158888876</c:v>
                </c:pt>
                <c:pt idx="14">
                  <c:v>9269578.268699998</c:v>
                </c:pt>
                <c:pt idx="15">
                  <c:v>9549019.8215111084</c:v>
                </c:pt>
                <c:pt idx="16">
                  <c:v>9828461.3743222188</c:v>
                </c:pt>
                <c:pt idx="17">
                  <c:v>10107902.927133329</c:v>
                </c:pt>
                <c:pt idx="18">
                  <c:v>10387344.47994444</c:v>
                </c:pt>
                <c:pt idx="19">
                  <c:v>10666786.03275555</c:v>
                </c:pt>
                <c:pt idx="20">
                  <c:v>10946227.58556666</c:v>
                </c:pt>
                <c:pt idx="21">
                  <c:v>11167774.971670771</c:v>
                </c:pt>
                <c:pt idx="22">
                  <c:v>11454316.466574883</c:v>
                </c:pt>
                <c:pt idx="23">
                  <c:v>11740857.961478995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1-408F-82C1-75E56786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45375"/>
        <c:axId val="1"/>
      </c:lineChart>
      <c:dateAx>
        <c:axId val="138834537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&quot;$&quot;\ 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8834537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25</xdr:row>
      <xdr:rowOff>114300</xdr:rowOff>
    </xdr:from>
    <xdr:to>
      <xdr:col>1</xdr:col>
      <xdr:colOff>3629025</xdr:colOff>
      <xdr:row>38</xdr:row>
      <xdr:rowOff>95250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C631584A-458A-48C1-8ED9-D8BFADF9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25</xdr:row>
      <xdr:rowOff>114300</xdr:rowOff>
    </xdr:from>
    <xdr:to>
      <xdr:col>3</xdr:col>
      <xdr:colOff>3609975</xdr:colOff>
      <xdr:row>38</xdr:row>
      <xdr:rowOff>133350</xdr:rowOff>
    </xdr:to>
    <xdr:graphicFrame macro="">
      <xdr:nvGraphicFramePr>
        <xdr:cNvPr id="1042" name="Chart 2">
          <a:extLst>
            <a:ext uri="{FF2B5EF4-FFF2-40B4-BE49-F238E27FC236}">
              <a16:creationId xmlns:a16="http://schemas.microsoft.com/office/drawing/2014/main" id="{B88C489E-45FA-4CA2-8936-2E38C2C76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3</xdr:row>
      <xdr:rowOff>0</xdr:rowOff>
    </xdr:from>
    <xdr:to>
      <xdr:col>4</xdr:col>
      <xdr:colOff>0</xdr:colOff>
      <xdr:row>20</xdr:row>
      <xdr:rowOff>133350</xdr:rowOff>
    </xdr:to>
    <xdr:graphicFrame macro="">
      <xdr:nvGraphicFramePr>
        <xdr:cNvPr id="1043" name="Chart 1">
          <a:extLst>
            <a:ext uri="{FF2B5EF4-FFF2-40B4-BE49-F238E27FC236}">
              <a16:creationId xmlns:a16="http://schemas.microsoft.com/office/drawing/2014/main" id="{F3D3FE0A-C7BA-4939-8F9E-4E1279AC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43</xdr:row>
      <xdr:rowOff>114300</xdr:rowOff>
    </xdr:from>
    <xdr:to>
      <xdr:col>1</xdr:col>
      <xdr:colOff>3629025</xdr:colOff>
      <xdr:row>56</xdr:row>
      <xdr:rowOff>152400</xdr:rowOff>
    </xdr:to>
    <xdr:graphicFrame macro="">
      <xdr:nvGraphicFramePr>
        <xdr:cNvPr id="1044" name="Chart 1">
          <a:extLst>
            <a:ext uri="{FF2B5EF4-FFF2-40B4-BE49-F238E27FC236}">
              <a16:creationId xmlns:a16="http://schemas.microsoft.com/office/drawing/2014/main" id="{64D3EAAB-8CAB-4487-8CDA-6C6DBD634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47625</xdr:colOff>
      <xdr:row>43</xdr:row>
      <xdr:rowOff>104775</xdr:rowOff>
    </xdr:from>
    <xdr:to>
      <xdr:col>3</xdr:col>
      <xdr:colOff>3657600</xdr:colOff>
      <xdr:row>56</xdr:row>
      <xdr:rowOff>142875</xdr:rowOff>
    </xdr:to>
    <xdr:graphicFrame macro="">
      <xdr:nvGraphicFramePr>
        <xdr:cNvPr id="1045" name="Chart 2">
          <a:extLst>
            <a:ext uri="{FF2B5EF4-FFF2-40B4-BE49-F238E27FC236}">
              <a16:creationId xmlns:a16="http://schemas.microsoft.com/office/drawing/2014/main" id="{567F961C-E1F2-4D71-BE0A-12F84FF7B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47625</xdr:colOff>
      <xdr:row>100</xdr:row>
      <xdr:rowOff>85725</xdr:rowOff>
    </xdr:from>
    <xdr:to>
      <xdr:col>1</xdr:col>
      <xdr:colOff>3609975</xdr:colOff>
      <xdr:row>113</xdr:row>
      <xdr:rowOff>123825</xdr:rowOff>
    </xdr:to>
    <xdr:graphicFrame macro="">
      <xdr:nvGraphicFramePr>
        <xdr:cNvPr id="1046" name="Chart 1">
          <a:extLst>
            <a:ext uri="{FF2B5EF4-FFF2-40B4-BE49-F238E27FC236}">
              <a16:creationId xmlns:a16="http://schemas.microsoft.com/office/drawing/2014/main" id="{D33E51C2-5651-49A3-B2F3-89F39CA43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28575</xdr:colOff>
      <xdr:row>100</xdr:row>
      <xdr:rowOff>114300</xdr:rowOff>
    </xdr:from>
    <xdr:to>
      <xdr:col>3</xdr:col>
      <xdr:colOff>3629025</xdr:colOff>
      <xdr:row>113</xdr:row>
      <xdr:rowOff>152400</xdr:rowOff>
    </xdr:to>
    <xdr:graphicFrame macro="">
      <xdr:nvGraphicFramePr>
        <xdr:cNvPr id="1047" name="Chart 2">
          <a:extLst>
            <a:ext uri="{FF2B5EF4-FFF2-40B4-BE49-F238E27FC236}">
              <a16:creationId xmlns:a16="http://schemas.microsoft.com/office/drawing/2014/main" id="{1779C535-8647-4667-87F5-D3A9992ED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47625</xdr:colOff>
      <xdr:row>62</xdr:row>
      <xdr:rowOff>123825</xdr:rowOff>
    </xdr:from>
    <xdr:to>
      <xdr:col>1</xdr:col>
      <xdr:colOff>3609975</xdr:colOff>
      <xdr:row>76</xdr:row>
      <xdr:rowOff>0</xdr:rowOff>
    </xdr:to>
    <xdr:graphicFrame macro="">
      <xdr:nvGraphicFramePr>
        <xdr:cNvPr id="1048" name="Chart 1">
          <a:extLst>
            <a:ext uri="{FF2B5EF4-FFF2-40B4-BE49-F238E27FC236}">
              <a16:creationId xmlns:a16="http://schemas.microsoft.com/office/drawing/2014/main" id="{04F2F447-BF6F-45EB-841F-419BAE699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47625</xdr:colOff>
      <xdr:row>62</xdr:row>
      <xdr:rowOff>76200</xdr:rowOff>
    </xdr:from>
    <xdr:to>
      <xdr:col>3</xdr:col>
      <xdr:colOff>3657600</xdr:colOff>
      <xdr:row>75</xdr:row>
      <xdr:rowOff>152400</xdr:rowOff>
    </xdr:to>
    <xdr:graphicFrame macro="">
      <xdr:nvGraphicFramePr>
        <xdr:cNvPr id="1049" name="Chart 2">
          <a:extLst>
            <a:ext uri="{FF2B5EF4-FFF2-40B4-BE49-F238E27FC236}">
              <a16:creationId xmlns:a16="http://schemas.microsoft.com/office/drawing/2014/main" id="{4E4BF46F-C1EB-4296-8FAF-55C38E041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47625</xdr:colOff>
      <xdr:row>141</xdr:row>
      <xdr:rowOff>104775</xdr:rowOff>
    </xdr:from>
    <xdr:to>
      <xdr:col>1</xdr:col>
      <xdr:colOff>3609975</xdr:colOff>
      <xdr:row>154</xdr:row>
      <xdr:rowOff>142875</xdr:rowOff>
    </xdr:to>
    <xdr:graphicFrame macro="">
      <xdr:nvGraphicFramePr>
        <xdr:cNvPr id="1050" name="Chart 1">
          <a:extLst>
            <a:ext uri="{FF2B5EF4-FFF2-40B4-BE49-F238E27FC236}">
              <a16:creationId xmlns:a16="http://schemas.microsoft.com/office/drawing/2014/main" id="{A9C9B968-9F28-42D1-BC8D-271AD821B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47625</xdr:colOff>
      <xdr:row>141</xdr:row>
      <xdr:rowOff>104775</xdr:rowOff>
    </xdr:from>
    <xdr:to>
      <xdr:col>3</xdr:col>
      <xdr:colOff>3657600</xdr:colOff>
      <xdr:row>154</xdr:row>
      <xdr:rowOff>142875</xdr:rowOff>
    </xdr:to>
    <xdr:graphicFrame macro="">
      <xdr:nvGraphicFramePr>
        <xdr:cNvPr id="1051" name="Chart 2">
          <a:extLst>
            <a:ext uri="{FF2B5EF4-FFF2-40B4-BE49-F238E27FC236}">
              <a16:creationId xmlns:a16="http://schemas.microsoft.com/office/drawing/2014/main" id="{66FA26B1-F091-44FD-96A5-45E893252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104775</xdr:colOff>
      <xdr:row>81</xdr:row>
      <xdr:rowOff>123825</xdr:rowOff>
    </xdr:from>
    <xdr:to>
      <xdr:col>1</xdr:col>
      <xdr:colOff>3667125</xdr:colOff>
      <xdr:row>94</xdr:row>
      <xdr:rowOff>161925</xdr:rowOff>
    </xdr:to>
    <xdr:graphicFrame macro="">
      <xdr:nvGraphicFramePr>
        <xdr:cNvPr id="1052" name="Chart 1">
          <a:extLst>
            <a:ext uri="{FF2B5EF4-FFF2-40B4-BE49-F238E27FC236}">
              <a16:creationId xmlns:a16="http://schemas.microsoft.com/office/drawing/2014/main" id="{E56E401E-C450-4CFC-996F-7447C2E7B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47625</xdr:colOff>
      <xdr:row>81</xdr:row>
      <xdr:rowOff>114300</xdr:rowOff>
    </xdr:from>
    <xdr:to>
      <xdr:col>3</xdr:col>
      <xdr:colOff>3648075</xdr:colOff>
      <xdr:row>94</xdr:row>
      <xdr:rowOff>152400</xdr:rowOff>
    </xdr:to>
    <xdr:graphicFrame macro="">
      <xdr:nvGraphicFramePr>
        <xdr:cNvPr id="1053" name="Chart 2">
          <a:extLst>
            <a:ext uri="{FF2B5EF4-FFF2-40B4-BE49-F238E27FC236}">
              <a16:creationId xmlns:a16="http://schemas.microsoft.com/office/drawing/2014/main" id="{860870A2-48FA-43EE-B763-90C56BC45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57150</xdr:colOff>
      <xdr:row>160</xdr:row>
      <xdr:rowOff>123825</xdr:rowOff>
    </xdr:from>
    <xdr:to>
      <xdr:col>1</xdr:col>
      <xdr:colOff>3629025</xdr:colOff>
      <xdr:row>173</xdr:row>
      <xdr:rowOff>161925</xdr:rowOff>
    </xdr:to>
    <xdr:graphicFrame macro="">
      <xdr:nvGraphicFramePr>
        <xdr:cNvPr id="1054" name="Chart 1">
          <a:extLst>
            <a:ext uri="{FF2B5EF4-FFF2-40B4-BE49-F238E27FC236}">
              <a16:creationId xmlns:a16="http://schemas.microsoft.com/office/drawing/2014/main" id="{99942830-0D6D-48D7-BA49-CA05D220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</xdr:colOff>
      <xdr:row>160</xdr:row>
      <xdr:rowOff>104775</xdr:rowOff>
    </xdr:from>
    <xdr:to>
      <xdr:col>3</xdr:col>
      <xdr:colOff>3657600</xdr:colOff>
      <xdr:row>173</xdr:row>
      <xdr:rowOff>142875</xdr:rowOff>
    </xdr:to>
    <xdr:graphicFrame macro="">
      <xdr:nvGraphicFramePr>
        <xdr:cNvPr id="1055" name="Chart 2">
          <a:extLst>
            <a:ext uri="{FF2B5EF4-FFF2-40B4-BE49-F238E27FC236}">
              <a16:creationId xmlns:a16="http://schemas.microsoft.com/office/drawing/2014/main" id="{9B4BB278-51FF-457F-86C2-53E997534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76200</xdr:colOff>
      <xdr:row>119</xdr:row>
      <xdr:rowOff>0</xdr:rowOff>
    </xdr:from>
    <xdr:to>
      <xdr:col>3</xdr:col>
      <xdr:colOff>3876675</xdr:colOff>
      <xdr:row>136</xdr:row>
      <xdr:rowOff>161925</xdr:rowOff>
    </xdr:to>
    <xdr:graphicFrame macro="">
      <xdr:nvGraphicFramePr>
        <xdr:cNvPr id="1056" name="Chart 1">
          <a:extLst>
            <a:ext uri="{FF2B5EF4-FFF2-40B4-BE49-F238E27FC236}">
              <a16:creationId xmlns:a16="http://schemas.microsoft.com/office/drawing/2014/main" id="{E4D42880-5AB6-446E-B4DB-D202B23D2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"/>
  <sheetViews>
    <sheetView showGridLines="0" showRowColHeaders="0" topLeftCell="A4" workbookViewId="0">
      <selection activeCell="E15" sqref="E15"/>
    </sheetView>
  </sheetViews>
  <sheetFormatPr baseColWidth="10" defaultColWidth="9.140625" defaultRowHeight="12.75" x14ac:dyDescent="0.2"/>
  <cols>
    <col min="1" max="1" width="13.85546875" customWidth="1"/>
    <col min="2" max="2" width="12.140625" customWidth="1"/>
    <col min="3" max="8" width="8.7109375" customWidth="1"/>
    <col min="9" max="9" width="16.28515625" customWidth="1"/>
    <col min="10" max="11" width="8.7109375" customWidth="1"/>
    <col min="12" max="12" width="19.28515625" customWidth="1"/>
    <col min="14" max="16" width="9.140625" customWidth="1"/>
  </cols>
  <sheetData>
    <row r="1" spans="2:17" s="33" customFormat="1" ht="15.75" x14ac:dyDescent="0.25"/>
    <row r="2" spans="2:17" s="33" customFormat="1" ht="23.25" x14ac:dyDescent="0.35">
      <c r="B2" s="150" t="s">
        <v>81</v>
      </c>
    </row>
    <row r="3" spans="2:17" s="33" customFormat="1" ht="8.25" customHeight="1" x14ac:dyDescent="0.25"/>
    <row r="4" spans="2:17" s="214" customFormat="1" ht="18.75" x14ac:dyDescent="0.3">
      <c r="B4" s="214" t="s">
        <v>94</v>
      </c>
    </row>
    <row r="5" spans="2:17" s="33" customFormat="1" ht="15.75" x14ac:dyDescent="0.25"/>
    <row r="6" spans="2:17" s="81" customFormat="1" ht="37.5" customHeight="1" x14ac:dyDescent="0.2">
      <c r="B6" s="239" t="s">
        <v>229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176"/>
      <c r="N6" s="176"/>
      <c r="O6" s="176"/>
      <c r="P6" s="176"/>
      <c r="Q6" s="176"/>
    </row>
    <row r="7" spans="2:17" s="33" customFormat="1" ht="8.1" customHeight="1" x14ac:dyDescent="0.25"/>
    <row r="8" spans="2:17" s="81" customFormat="1" ht="35.25" customHeight="1" x14ac:dyDescent="0.2">
      <c r="B8" s="239" t="s">
        <v>46</v>
      </c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176"/>
      <c r="N8" s="176"/>
      <c r="O8" s="176"/>
      <c r="P8" s="176"/>
      <c r="Q8" s="176"/>
    </row>
    <row r="9" spans="2:17" s="33" customFormat="1" ht="8.1" customHeight="1" x14ac:dyDescent="0.25"/>
    <row r="10" spans="2:17" s="81" customFormat="1" ht="39" customHeight="1" x14ac:dyDescent="0.2">
      <c r="B10" s="239" t="s">
        <v>109</v>
      </c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176"/>
      <c r="N10" s="176"/>
      <c r="O10" s="176"/>
      <c r="P10" s="176"/>
      <c r="Q10" s="176"/>
    </row>
    <row r="11" spans="2:17" s="33" customFormat="1" ht="15.75" x14ac:dyDescent="0.25">
      <c r="N11"/>
      <c r="O11"/>
    </row>
    <row r="12" spans="2:17" s="33" customFormat="1" ht="15.75" x14ac:dyDescent="0.25">
      <c r="B12" s="85" t="s">
        <v>226</v>
      </c>
      <c r="N12"/>
      <c r="O12"/>
    </row>
    <row r="13" spans="2:17" ht="15.75" x14ac:dyDescent="0.25">
      <c r="B13" s="33"/>
      <c r="C13" s="33" t="s">
        <v>7</v>
      </c>
      <c r="E13" s="177">
        <v>4</v>
      </c>
      <c r="F13" s="53"/>
      <c r="N13" s="111"/>
    </row>
    <row r="14" spans="2:17" ht="15.75" x14ac:dyDescent="0.25">
      <c r="B14" s="33"/>
      <c r="C14" s="33" t="s">
        <v>37</v>
      </c>
      <c r="E14" s="177">
        <v>2021</v>
      </c>
    </row>
    <row r="15" spans="2:17" ht="15.75" x14ac:dyDescent="0.25">
      <c r="B15" s="33"/>
      <c r="C15" s="33"/>
      <c r="E15" s="33"/>
      <c r="F15" s="33"/>
    </row>
    <row r="16" spans="2:17" ht="15.75" x14ac:dyDescent="0.25">
      <c r="B16" s="85" t="s">
        <v>62</v>
      </c>
      <c r="C16" s="33"/>
      <c r="E16" s="33"/>
      <c r="F16" s="33"/>
    </row>
    <row r="17" spans="2:11" ht="15.75" x14ac:dyDescent="0.25">
      <c r="B17" s="33"/>
      <c r="C17" s="33" t="s">
        <v>181</v>
      </c>
      <c r="E17" s="205" t="s">
        <v>88</v>
      </c>
    </row>
    <row r="20" spans="2:11" ht="12" customHeight="1" x14ac:dyDescent="0.2"/>
    <row r="21" spans="2:11" ht="13.5" customHeight="1" x14ac:dyDescent="0.2"/>
    <row r="22" spans="2:11" ht="1.5" customHeight="1" x14ac:dyDescent="0.2"/>
    <row r="23" spans="2:11" x14ac:dyDescent="0.2">
      <c r="C23" s="238"/>
      <c r="D23" s="238"/>
      <c r="E23" s="238"/>
      <c r="F23" s="238"/>
      <c r="G23" s="238"/>
      <c r="H23" s="238"/>
      <c r="I23" s="238"/>
      <c r="J23" s="183"/>
      <c r="K23" s="183"/>
    </row>
  </sheetData>
  <sheetProtection sheet="1" objects="1" scenarios="1"/>
  <mergeCells count="4">
    <mergeCell ref="C23:I23"/>
    <mergeCell ref="B6:L6"/>
    <mergeCell ref="B8:L8"/>
    <mergeCell ref="B10:L10"/>
  </mergeCells>
  <pageMargins left="0.7" right="0.7" top="0.75" bottom="0.7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0"/>
  <sheetViews>
    <sheetView showGridLines="0" tabSelected="1" zoomScale="115" zoomScaleNormal="115" workbookViewId="0">
      <pane xSplit="1" ySplit="1" topLeftCell="B5" activePane="bottomRight" state="frozen"/>
      <selection activeCell="G19" sqref="G19"/>
      <selection pane="topRight" activeCell="G19" sqref="G19"/>
      <selection pane="bottomLeft" activeCell="G19" sqref="G19"/>
      <selection pane="bottomRight" activeCell="A14" sqref="A14"/>
    </sheetView>
  </sheetViews>
  <sheetFormatPr baseColWidth="10" defaultColWidth="11.7109375" defaultRowHeight="12.75" outlineLevelCol="1" x14ac:dyDescent="0.2"/>
  <cols>
    <col min="1" max="1" width="42.85546875" customWidth="1"/>
    <col min="2" max="13" width="13.28515625" style="73" customWidth="1" outlineLevel="1"/>
    <col min="14" max="14" width="13.28515625" style="73" customWidth="1"/>
    <col min="15" max="26" width="13.28515625" style="73" hidden="1" customWidth="1" outlineLevel="1"/>
    <col min="27" max="27" width="13.28515625" style="73" customWidth="1" collapsed="1"/>
    <col min="28" max="30" width="13.28515625" style="73" customWidth="1"/>
    <col min="32" max="32" width="11.7109375" hidden="1" customWidth="1"/>
  </cols>
  <sheetData>
    <row r="1" spans="1:256" ht="15.75" customHeight="1" x14ac:dyDescent="0.25">
      <c r="A1" s="213" t="str">
        <f>"IMPUESTOS (" &amp; Introducción!E17 &amp; ")"</f>
        <v>IMPUESTOS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</row>
    <row r="2" spans="1:256" ht="12.75" customHeight="1" x14ac:dyDescent="0.2">
      <c r="A2" s="9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10"/>
    </row>
    <row r="3" spans="1:256" s="93" customFormat="1" ht="12.75" customHeight="1" x14ac:dyDescent="0.2">
      <c r="A3" s="70" t="s">
        <v>159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40" customFormat="1" ht="12.75" customHeight="1" x14ac:dyDescent="0.2">
      <c r="A4" s="110" t="s">
        <v>221</v>
      </c>
      <c r="B4" s="110">
        <f>Ingresos!B10+Extraordinarios!B6</f>
        <v>0</v>
      </c>
      <c r="C4" s="110">
        <f>Ingresos!C10+Extraordinarios!C6</f>
        <v>0</v>
      </c>
      <c r="D4" s="110">
        <f>Ingresos!D10+Extraordinarios!D6</f>
        <v>0</v>
      </c>
      <c r="E4" s="110">
        <f>Ingresos!E10+Extraordinarios!E6</f>
        <v>0</v>
      </c>
      <c r="F4" s="110">
        <f>Ingresos!F10+Extraordinarios!F6</f>
        <v>0</v>
      </c>
      <c r="G4" s="110">
        <f>Ingresos!G10+Extraordinarios!G6</f>
        <v>0</v>
      </c>
      <c r="H4" s="110">
        <f>Ingresos!H10+Extraordinarios!H6</f>
        <v>0</v>
      </c>
      <c r="I4" s="110">
        <f>Ingresos!I10+Extraordinarios!I6</f>
        <v>0</v>
      </c>
      <c r="J4" s="110">
        <f>Ingresos!J10+Extraordinarios!J6</f>
        <v>0</v>
      </c>
      <c r="K4" s="110">
        <f>Ingresos!K10+Extraordinarios!K6</f>
        <v>0</v>
      </c>
      <c r="L4" s="110">
        <f>Ingresos!L10+Extraordinarios!L6</f>
        <v>0</v>
      </c>
      <c r="M4" s="110">
        <f>Ingresos!M10+Extraordinarios!M6</f>
        <v>0</v>
      </c>
      <c r="N4" s="110">
        <f>SUM(B4:M4)</f>
        <v>0</v>
      </c>
      <c r="O4" s="110">
        <f>Ingresos!O10+Extraordinarios!O6</f>
        <v>0</v>
      </c>
      <c r="P4" s="110">
        <f>Ingresos!P10+Extraordinarios!P6</f>
        <v>0</v>
      </c>
      <c r="Q4" s="110">
        <f>Ingresos!Q10+Extraordinarios!Q6</f>
        <v>0</v>
      </c>
      <c r="R4" s="110">
        <f>Ingresos!R10+Extraordinarios!R6</f>
        <v>0</v>
      </c>
      <c r="S4" s="110">
        <f>Ingresos!S10+Extraordinarios!S6</f>
        <v>0</v>
      </c>
      <c r="T4" s="110">
        <f>Ingresos!T10+Extraordinarios!T6</f>
        <v>0</v>
      </c>
      <c r="U4" s="110">
        <f>Ingresos!U10+Extraordinarios!U6</f>
        <v>0</v>
      </c>
      <c r="V4" s="110">
        <f>Ingresos!V10+Extraordinarios!V6</f>
        <v>0</v>
      </c>
      <c r="W4" s="110">
        <f>Ingresos!W10+Extraordinarios!W6</f>
        <v>0</v>
      </c>
      <c r="X4" s="110">
        <f>Ingresos!X10+Extraordinarios!X6</f>
        <v>0</v>
      </c>
      <c r="Y4" s="110">
        <f>Ingresos!Y10+Extraordinarios!Y6</f>
        <v>0</v>
      </c>
      <c r="Z4" s="110">
        <f>Ingresos!Z10+Extraordinarios!Z6</f>
        <v>0</v>
      </c>
      <c r="AA4" s="110">
        <f>SUM(O4:Z4)</f>
        <v>0</v>
      </c>
      <c r="AB4" s="110">
        <f>Ingresos!AB10+Extraordinarios!AB6</f>
        <v>0</v>
      </c>
      <c r="AC4" s="110">
        <f>Ingresos!AC10+Extraordinarios!AC6</f>
        <v>0</v>
      </c>
      <c r="AD4" s="110">
        <f>Ingresos!AD10+Extraordinarios!AD6</f>
        <v>0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40" customFormat="1" ht="12.75" customHeight="1" x14ac:dyDescent="0.2">
      <c r="A5" s="110" t="s">
        <v>39</v>
      </c>
      <c r="B5" s="110">
        <f>'Costo de Ventas'!B21+'Gastos Fijos'!B18+Inversiones!B35+Extraordinarios!B7</f>
        <v>84000</v>
      </c>
      <c r="C5" s="110">
        <f>'Costo de Ventas'!C21+'Gastos Fijos'!C18+Inversiones!C35+Extraordinarios!C7</f>
        <v>0</v>
      </c>
      <c r="D5" s="110">
        <f>'Costo de Ventas'!D21+'Gastos Fijos'!D18+Inversiones!D35+Extraordinarios!D7</f>
        <v>0</v>
      </c>
      <c r="E5" s="110">
        <f>'Costo de Ventas'!E21+'Gastos Fijos'!E18+Inversiones!E35+Extraordinarios!E7</f>
        <v>0</v>
      </c>
      <c r="F5" s="110">
        <f>'Costo de Ventas'!F21+'Gastos Fijos'!F18+Inversiones!F35+Extraordinarios!F7</f>
        <v>0</v>
      </c>
      <c r="G5" s="110">
        <f>'Costo de Ventas'!G21+'Gastos Fijos'!G18+Inversiones!G35+Extraordinarios!G7</f>
        <v>0</v>
      </c>
      <c r="H5" s="110">
        <f>'Costo de Ventas'!H21+'Gastos Fijos'!H18+Inversiones!H35+Extraordinarios!H7</f>
        <v>0</v>
      </c>
      <c r="I5" s="110">
        <f>'Costo de Ventas'!I21+'Gastos Fijos'!I18+Inversiones!I35+Extraordinarios!I7</f>
        <v>0</v>
      </c>
      <c r="J5" s="110">
        <f>'Costo de Ventas'!J21+'Gastos Fijos'!J18+Inversiones!J35+Extraordinarios!J7</f>
        <v>0</v>
      </c>
      <c r="K5" s="110">
        <f>'Costo de Ventas'!K21+'Gastos Fijos'!K18+Inversiones!K35+Extraordinarios!K7</f>
        <v>0</v>
      </c>
      <c r="L5" s="110">
        <f>'Costo de Ventas'!L21+'Gastos Fijos'!L18+Inversiones!L35+Extraordinarios!L7</f>
        <v>0</v>
      </c>
      <c r="M5" s="110">
        <f>'Costo de Ventas'!M21+'Gastos Fijos'!M18+Inversiones!M35+Extraordinarios!M7</f>
        <v>0</v>
      </c>
      <c r="N5" s="110">
        <f>SUM(B5:M5)</f>
        <v>84000</v>
      </c>
      <c r="O5" s="110">
        <f>'Costo de Ventas'!O21+'Gastos Fijos'!O18+Inversiones!O35+Extraordinarios!O7</f>
        <v>0</v>
      </c>
      <c r="P5" s="110">
        <f>'Costo de Ventas'!P21+'Gastos Fijos'!P18+Inversiones!P35+Extraordinarios!P7</f>
        <v>0</v>
      </c>
      <c r="Q5" s="110">
        <f>'Costo de Ventas'!Q21+'Gastos Fijos'!Q18+Inversiones!Q35+Extraordinarios!Q7</f>
        <v>0</v>
      </c>
      <c r="R5" s="110">
        <f>'Costo de Ventas'!R21+'Gastos Fijos'!R18+Inversiones!R35+Extraordinarios!R7</f>
        <v>0</v>
      </c>
      <c r="S5" s="110">
        <f>'Costo de Ventas'!S21+'Gastos Fijos'!S18+Inversiones!S35+Extraordinarios!S7</f>
        <v>0</v>
      </c>
      <c r="T5" s="110">
        <f>'Costo de Ventas'!T21+'Gastos Fijos'!T18+Inversiones!T35+Extraordinarios!T7</f>
        <v>0</v>
      </c>
      <c r="U5" s="110">
        <f>'Costo de Ventas'!U21+'Gastos Fijos'!U18+Inversiones!U35+Extraordinarios!U7</f>
        <v>0</v>
      </c>
      <c r="V5" s="110">
        <f>'Costo de Ventas'!V21+'Gastos Fijos'!V18+Inversiones!V35+Extraordinarios!V7</f>
        <v>0</v>
      </c>
      <c r="W5" s="110">
        <f>'Costo de Ventas'!W21+'Gastos Fijos'!W18+Inversiones!W35+Extraordinarios!W7</f>
        <v>0</v>
      </c>
      <c r="X5" s="110">
        <f>'Costo de Ventas'!X21+'Gastos Fijos'!X18+Inversiones!X35+Extraordinarios!X7</f>
        <v>0</v>
      </c>
      <c r="Y5" s="110">
        <f>'Costo de Ventas'!Y21+'Gastos Fijos'!Y18+Inversiones!Y35+Extraordinarios!Y7</f>
        <v>0</v>
      </c>
      <c r="Z5" s="110">
        <f>'Costo de Ventas'!Z21+'Gastos Fijos'!Z18+Inversiones!Z35+Extraordinarios!Z7</f>
        <v>0</v>
      </c>
      <c r="AA5" s="110">
        <f>SUM(O5:Z5)</f>
        <v>0</v>
      </c>
      <c r="AB5" s="110">
        <f>'Costo de Ventas'!AB21+'Gastos Fijos'!AB18+Inversiones!AB35+Extraordinarios!AB7</f>
        <v>0</v>
      </c>
      <c r="AC5" s="110">
        <f>'Costo de Ventas'!AC21+'Gastos Fijos'!AC18+Inversiones!AC35+Extraordinarios!AC7</f>
        <v>0</v>
      </c>
      <c r="AD5" s="110">
        <f>'Costo de Ventas'!AD21+'Gastos Fijos'!AD18+Inversiones!AD35+Extraordinarios!AD7</f>
        <v>0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40" customFormat="1" ht="12.75" customHeight="1" x14ac:dyDescent="0.2">
      <c r="A6" s="110" t="s">
        <v>197</v>
      </c>
      <c r="B6" s="110">
        <f t="shared" ref="B6:AD6" si="2">B4-B5</f>
        <v>-84000</v>
      </c>
      <c r="C6" s="110">
        <f t="shared" si="2"/>
        <v>0</v>
      </c>
      <c r="D6" s="110">
        <f t="shared" si="2"/>
        <v>0</v>
      </c>
      <c r="E6" s="110">
        <f t="shared" si="2"/>
        <v>0</v>
      </c>
      <c r="F6" s="110">
        <f t="shared" si="2"/>
        <v>0</v>
      </c>
      <c r="G6" s="110">
        <f t="shared" si="2"/>
        <v>0</v>
      </c>
      <c r="H6" s="110">
        <f t="shared" si="2"/>
        <v>0</v>
      </c>
      <c r="I6" s="110">
        <f t="shared" si="2"/>
        <v>0</v>
      </c>
      <c r="J6" s="110">
        <f t="shared" si="2"/>
        <v>0</v>
      </c>
      <c r="K6" s="110">
        <f t="shared" si="2"/>
        <v>0</v>
      </c>
      <c r="L6" s="110">
        <f t="shared" si="2"/>
        <v>0</v>
      </c>
      <c r="M6" s="110">
        <f t="shared" si="2"/>
        <v>0</v>
      </c>
      <c r="N6" s="216">
        <f t="shared" si="2"/>
        <v>-84000</v>
      </c>
      <c r="O6" s="110">
        <f t="shared" si="2"/>
        <v>0</v>
      </c>
      <c r="P6" s="110">
        <f t="shared" si="2"/>
        <v>0</v>
      </c>
      <c r="Q6" s="110">
        <f t="shared" si="2"/>
        <v>0</v>
      </c>
      <c r="R6" s="110">
        <f t="shared" si="2"/>
        <v>0</v>
      </c>
      <c r="S6" s="110">
        <f t="shared" si="2"/>
        <v>0</v>
      </c>
      <c r="T6" s="110">
        <f t="shared" si="2"/>
        <v>0</v>
      </c>
      <c r="U6" s="110">
        <f t="shared" si="2"/>
        <v>0</v>
      </c>
      <c r="V6" s="110">
        <f t="shared" si="2"/>
        <v>0</v>
      </c>
      <c r="W6" s="110">
        <f t="shared" si="2"/>
        <v>0</v>
      </c>
      <c r="X6" s="110">
        <f t="shared" si="2"/>
        <v>0</v>
      </c>
      <c r="Y6" s="110">
        <f t="shared" si="2"/>
        <v>0</v>
      </c>
      <c r="Z6" s="110">
        <f t="shared" si="2"/>
        <v>0</v>
      </c>
      <c r="AA6" s="110">
        <f t="shared" si="2"/>
        <v>0</v>
      </c>
      <c r="AB6" s="110">
        <f t="shared" si="2"/>
        <v>0</v>
      </c>
      <c r="AC6" s="110">
        <f t="shared" si="2"/>
        <v>0</v>
      </c>
      <c r="AD6" s="110">
        <f t="shared" si="2"/>
        <v>0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40" customFormat="1" ht="12.75" hidden="1" customHeight="1" x14ac:dyDescent="0.2">
      <c r="A7" s="110" t="s">
        <v>156</v>
      </c>
      <c r="B7" s="110">
        <f>IF(B6&lt;0,-B6,IF(B6&gt;'Valores de Inicio'!B8,-'Valores de Inicio'!B8,-B6))</f>
        <v>84000</v>
      </c>
      <c r="C7" s="110">
        <f t="shared" ref="C7:M7" si="3">IF(C6&lt;0,-C6,IF(C6&gt;B8,-B8,-C6))</f>
        <v>0</v>
      </c>
      <c r="D7" s="110">
        <f t="shared" si="3"/>
        <v>0</v>
      </c>
      <c r="E7" s="110">
        <f t="shared" si="3"/>
        <v>0</v>
      </c>
      <c r="F7" s="110">
        <f t="shared" si="3"/>
        <v>0</v>
      </c>
      <c r="G7" s="110">
        <f t="shared" si="3"/>
        <v>0</v>
      </c>
      <c r="H7" s="110">
        <f t="shared" si="3"/>
        <v>0</v>
      </c>
      <c r="I7" s="110">
        <f t="shared" si="3"/>
        <v>0</v>
      </c>
      <c r="J7" s="110">
        <f t="shared" si="3"/>
        <v>0</v>
      </c>
      <c r="K7" s="110">
        <f t="shared" si="3"/>
        <v>0</v>
      </c>
      <c r="L7" s="110">
        <f t="shared" si="3"/>
        <v>0</v>
      </c>
      <c r="M7" s="110">
        <f t="shared" si="3"/>
        <v>0</v>
      </c>
      <c r="N7" s="110">
        <f>SUM(B7:M7)</f>
        <v>84000</v>
      </c>
      <c r="O7" s="110">
        <f t="shared" ref="O7:Z7" si="4">IF(O6&lt;0,-O6,IF(O6&gt;N8,-N8,-O6))</f>
        <v>0</v>
      </c>
      <c r="P7" s="110">
        <f t="shared" si="4"/>
        <v>0</v>
      </c>
      <c r="Q7" s="110">
        <f t="shared" si="4"/>
        <v>0</v>
      </c>
      <c r="R7" s="110">
        <f t="shared" si="4"/>
        <v>0</v>
      </c>
      <c r="S7" s="110">
        <f t="shared" si="4"/>
        <v>0</v>
      </c>
      <c r="T7" s="110">
        <f t="shared" si="4"/>
        <v>0</v>
      </c>
      <c r="U7" s="110">
        <f t="shared" si="4"/>
        <v>0</v>
      </c>
      <c r="V7" s="110">
        <f t="shared" si="4"/>
        <v>0</v>
      </c>
      <c r="W7" s="110">
        <f t="shared" si="4"/>
        <v>0</v>
      </c>
      <c r="X7" s="110">
        <f t="shared" si="4"/>
        <v>0</v>
      </c>
      <c r="Y7" s="110">
        <f t="shared" si="4"/>
        <v>0</v>
      </c>
      <c r="Z7" s="110">
        <f t="shared" si="4"/>
        <v>0</v>
      </c>
      <c r="AA7" s="110">
        <f>SUM(O7:Z7)</f>
        <v>0</v>
      </c>
      <c r="AB7" s="110">
        <f>IF(AB6&lt;0,-AB6,IF(AB6&gt;AA8,-AA8,-AB6))</f>
        <v>0</v>
      </c>
      <c r="AC7" s="110">
        <f>IF(AC6&lt;0,-AC6,IF(AC6&gt;AB8,-AB8,-AC6))</f>
        <v>0</v>
      </c>
      <c r="AD7" s="110">
        <f>IF(AD6&lt;0,-AD6,IF(AD6&gt;AC8,-AC8,-AD6))</f>
        <v>0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40" customFormat="1" ht="12.75" customHeight="1" x14ac:dyDescent="0.2">
      <c r="A8" s="110" t="s">
        <v>38</v>
      </c>
      <c r="B8" s="110">
        <f>B7+'Valores de Inicio'!B8</f>
        <v>84000</v>
      </c>
      <c r="C8" s="110">
        <f t="shared" ref="C8:M8" si="5">C7+B8</f>
        <v>84000</v>
      </c>
      <c r="D8" s="110">
        <f t="shared" si="5"/>
        <v>84000</v>
      </c>
      <c r="E8" s="110">
        <f t="shared" si="5"/>
        <v>84000</v>
      </c>
      <c r="F8" s="110">
        <f t="shared" si="5"/>
        <v>84000</v>
      </c>
      <c r="G8" s="110">
        <f t="shared" si="5"/>
        <v>84000</v>
      </c>
      <c r="H8" s="110">
        <f t="shared" si="5"/>
        <v>84000</v>
      </c>
      <c r="I8" s="110">
        <f t="shared" si="5"/>
        <v>84000</v>
      </c>
      <c r="J8" s="110">
        <f t="shared" si="5"/>
        <v>84000</v>
      </c>
      <c r="K8" s="110">
        <f t="shared" si="5"/>
        <v>84000</v>
      </c>
      <c r="L8" s="110">
        <f t="shared" si="5"/>
        <v>84000</v>
      </c>
      <c r="M8" s="110">
        <f t="shared" si="5"/>
        <v>84000</v>
      </c>
      <c r="N8" s="110">
        <f>M8</f>
        <v>84000</v>
      </c>
      <c r="O8" s="110">
        <f>O7+M8</f>
        <v>84000</v>
      </c>
      <c r="P8" s="110">
        <f t="shared" ref="P8:Z8" si="6">P7+O8</f>
        <v>84000</v>
      </c>
      <c r="Q8" s="110">
        <f t="shared" si="6"/>
        <v>84000</v>
      </c>
      <c r="R8" s="110">
        <f t="shared" si="6"/>
        <v>84000</v>
      </c>
      <c r="S8" s="110">
        <f t="shared" si="6"/>
        <v>84000</v>
      </c>
      <c r="T8" s="110">
        <f t="shared" si="6"/>
        <v>84000</v>
      </c>
      <c r="U8" s="110">
        <f t="shared" si="6"/>
        <v>84000</v>
      </c>
      <c r="V8" s="110">
        <f t="shared" si="6"/>
        <v>84000</v>
      </c>
      <c r="W8" s="110">
        <f t="shared" si="6"/>
        <v>84000</v>
      </c>
      <c r="X8" s="110">
        <f t="shared" si="6"/>
        <v>84000</v>
      </c>
      <c r="Y8" s="110">
        <f t="shared" si="6"/>
        <v>84000</v>
      </c>
      <c r="Z8" s="110">
        <f t="shared" si="6"/>
        <v>84000</v>
      </c>
      <c r="AA8" s="110">
        <f>Z8</f>
        <v>84000</v>
      </c>
      <c r="AB8" s="110">
        <f>AB7+AA8</f>
        <v>84000</v>
      </c>
      <c r="AC8" s="110">
        <f>AC7+AB8</f>
        <v>84000</v>
      </c>
      <c r="AD8" s="110">
        <f>AD7+AC8</f>
        <v>84000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2.75" customHeight="1" x14ac:dyDescent="0.2">
      <c r="A9" s="93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</row>
    <row r="10" spans="1:256" ht="12.75" customHeight="1" x14ac:dyDescent="0.2">
      <c r="A10" s="93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</row>
    <row r="11" spans="1:256" s="93" customFormat="1" ht="12.75" customHeight="1" x14ac:dyDescent="0.2">
      <c r="A11" s="70" t="s">
        <v>175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219" customFormat="1" ht="12.75" customHeight="1" x14ac:dyDescent="0.2">
      <c r="A12" s="110" t="s">
        <v>48</v>
      </c>
      <c r="B12" s="19">
        <v>0.16</v>
      </c>
      <c r="C12" s="19">
        <v>0.16</v>
      </c>
      <c r="D12" s="19">
        <v>0.16</v>
      </c>
      <c r="E12" s="19">
        <v>0.16</v>
      </c>
      <c r="F12" s="19">
        <v>0.16</v>
      </c>
      <c r="G12" s="19">
        <v>0.16</v>
      </c>
      <c r="H12" s="19">
        <v>0.16</v>
      </c>
      <c r="I12" s="19">
        <v>0.16</v>
      </c>
      <c r="J12" s="19">
        <v>0.16</v>
      </c>
      <c r="K12" s="19">
        <v>0.16</v>
      </c>
      <c r="L12" s="19">
        <v>0.16</v>
      </c>
      <c r="M12" s="19">
        <v>0.16</v>
      </c>
      <c r="N12" s="37">
        <f>SUM(B12:M12) / 12</f>
        <v>0.15999999999999998</v>
      </c>
      <c r="O12" s="19">
        <v>0.17</v>
      </c>
      <c r="P12" s="19">
        <v>0.17</v>
      </c>
      <c r="Q12" s="19">
        <v>0.17</v>
      </c>
      <c r="R12" s="19">
        <v>0.17</v>
      </c>
      <c r="S12" s="19">
        <v>0.17</v>
      </c>
      <c r="T12" s="19">
        <v>0.17</v>
      </c>
      <c r="U12" s="19">
        <v>0.17</v>
      </c>
      <c r="V12" s="19">
        <v>0.17</v>
      </c>
      <c r="W12" s="19">
        <v>0.17</v>
      </c>
      <c r="X12" s="19">
        <v>0.17</v>
      </c>
      <c r="Y12" s="19">
        <v>0.17</v>
      </c>
      <c r="Z12" s="19">
        <v>0.17</v>
      </c>
      <c r="AA12" s="37">
        <f>SUM(O12:Z12) / 12</f>
        <v>0.16999999999999996</v>
      </c>
      <c r="AB12" s="19">
        <v>0.18</v>
      </c>
      <c r="AC12" s="19">
        <v>0.19</v>
      </c>
      <c r="AD12" s="19">
        <v>0.2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219" customFormat="1" ht="12.75" customHeight="1" x14ac:dyDescent="0.2">
      <c r="A13" s="110" t="s">
        <v>227</v>
      </c>
      <c r="B13" s="110">
        <f>Ingresos!B7-'Costo de Ventas'!B16-'Gastos Fijos'!B15-Salarios!B20-Inversiones!B32+Extraordinarios!B3-SUMPRODUCT(B18:B19,$AF18:$AF19)-Financiamiento!B14-Financiamiento!B22+Financiamiento!B26</f>
        <v>1068692.2777777778</v>
      </c>
      <c r="C13" s="110">
        <f>Ingresos!C7-'Costo de Ventas'!C16-'Gastos Fijos'!C15-Salarios!C20-Inversiones!C32+Extraordinarios!C3-SUMPRODUCT(C18:C19,$AF18:$AF19)-Financiamiento!C14-Financiamiento!C22+Financiamiento!C26</f>
        <v>1068692.2777777778</v>
      </c>
      <c r="D13" s="110">
        <f>Ingresos!D7-'Costo de Ventas'!D16-'Gastos Fijos'!D15-Salarios!D20-Inversiones!D32+Extraordinarios!D3-SUMPRODUCT(D18:D19,$AF18:$AF19)-Financiamiento!D14-Financiamiento!D22+Financiamiento!D26</f>
        <v>1068692.2777777778</v>
      </c>
      <c r="E13" s="110">
        <f>Ingresos!E7-'Costo de Ventas'!E16-'Gastos Fijos'!E15-Salarios!E20-Inversiones!E32+Extraordinarios!E3-SUMPRODUCT(E18:E19,$AF18:$AF19)-Financiamiento!E14-Financiamiento!E22+Financiamiento!E26</f>
        <v>1068692.2777777778</v>
      </c>
      <c r="F13" s="110">
        <f>Ingresos!F7-'Costo de Ventas'!F16-'Gastos Fijos'!F15-Salarios!F20-Inversiones!F32+Extraordinarios!F3-SUMPRODUCT(F18:F19,$AF18:$AF19)-Financiamiento!F14-Financiamiento!F22+Financiamiento!F26</f>
        <v>1068692.2777777778</v>
      </c>
      <c r="G13" s="110">
        <f>Ingresos!G7-'Costo de Ventas'!G16-'Gastos Fijos'!G15-Salarios!G20-Inversiones!G32+Extraordinarios!G3-SUMPRODUCT(G18:G19,$AF18:$AF19)-Financiamiento!G14-Financiamiento!G22+Financiamiento!G26</f>
        <v>1068692.2777777778</v>
      </c>
      <c r="H13" s="110">
        <f>Ingresos!H7-'Costo de Ventas'!H16-'Gastos Fijos'!H15-Salarios!H20-Inversiones!H32+Extraordinarios!H3-SUMPRODUCT(H18:H19,$AF18:$AF19)-Financiamiento!H14-Financiamiento!H22+Financiamiento!H26</f>
        <v>1068692.2777777778</v>
      </c>
      <c r="I13" s="110">
        <f>Ingresos!I7-'Costo de Ventas'!I16-'Gastos Fijos'!I15-Salarios!I20-Inversiones!I32+Extraordinarios!I3-SUMPRODUCT(I18:I19,$AF18:$AF19)-Financiamiento!I14-Financiamiento!I22+Financiamiento!I26</f>
        <v>1068692.2777777778</v>
      </c>
      <c r="J13" s="110">
        <f>Ingresos!J7-'Costo de Ventas'!J16-'Gastos Fijos'!J15-Salarios!J20-Inversiones!J32+Extraordinarios!J3-SUMPRODUCT(J18:J19,$AF18:$AF19)-Financiamiento!J14-Financiamiento!J22+Financiamiento!J26</f>
        <v>1068692.2777777778</v>
      </c>
      <c r="K13" s="110">
        <f>Ingresos!K7-'Costo de Ventas'!K16-'Gastos Fijos'!K15-Salarios!K20-Inversiones!K32+Extraordinarios!K3-SUMPRODUCT(K18:K19,$AF18:$AF19)-Financiamiento!K14-Financiamiento!K22+Financiamiento!K26</f>
        <v>1106694.2077777775</v>
      </c>
      <c r="L13" s="110">
        <f>Ingresos!L7-'Costo de Ventas'!L16-'Gastos Fijos'!L15-Salarios!L20-Inversiones!L32+Extraordinarios!L3-SUMPRODUCT(L18:L19,$AF18:$AF19)-Financiamiento!L14-Financiamiento!L22+Financiamiento!L26</f>
        <v>1106694.2077777775</v>
      </c>
      <c r="M13" s="110">
        <f>Ingresos!M7-'Costo de Ventas'!M16-'Gastos Fijos'!M15-Salarios!M20-Inversiones!M32+Extraordinarios!M3-SUMPRODUCT(M18:M19,$AF18:$AF19)-Financiamiento!M14-Financiamiento!M22+Financiamiento!M26</f>
        <v>1106694.2077777775</v>
      </c>
      <c r="N13" s="110">
        <f>SUM(B13:M13)</f>
        <v>12938313.123333333</v>
      </c>
      <c r="O13" s="110">
        <f>Ingresos!O7-'Costo de Ventas'!O16-'Gastos Fijos'!O15-Salarios!O20-Inversiones!O32+Extraordinarios!O3-SUMPRODUCT(O18:O19,$AF18:$AF19)-Financiamiento!O14-Financiamiento!O22+Financiamiento!O26</f>
        <v>334476.10111111117</v>
      </c>
      <c r="P13" s="110">
        <f>Ingresos!P7-'Costo de Ventas'!P16-'Gastos Fijos'!P15-Salarios!P20-Inversiones!P32+Extraordinarios!P3-SUMPRODUCT(P18:P19,$AF18:$AF19)-Financiamiento!P14-Financiamiento!P22+Financiamiento!P26</f>
        <v>334476.10111111117</v>
      </c>
      <c r="Q13" s="110">
        <f>Ingresos!Q7-'Costo de Ventas'!Q16-'Gastos Fijos'!Q15-Salarios!Q20-Inversiones!Q32+Extraordinarios!Q3-SUMPRODUCT(Q18:Q19,$AF18:$AF19)-Financiamiento!Q14-Financiamiento!Q22+Financiamiento!Q26</f>
        <v>334476.10111111117</v>
      </c>
      <c r="R13" s="110">
        <f>Ingresos!R7-'Costo de Ventas'!R16-'Gastos Fijos'!R15-Salarios!R20-Inversiones!R32+Extraordinarios!R3-SUMPRODUCT(R18:R19,$AF18:$AF19)-Financiamiento!R14-Financiamiento!R22+Financiamiento!R26</f>
        <v>334476.10111111117</v>
      </c>
      <c r="S13" s="110">
        <f>Ingresos!S7-'Costo de Ventas'!S16-'Gastos Fijos'!S15-Salarios!S20-Inversiones!S32+Extraordinarios!S3-SUMPRODUCT(S18:S19,$AF18:$AF19)-Financiamiento!S14-Financiamiento!S22+Financiamiento!S26</f>
        <v>334476.10111111117</v>
      </c>
      <c r="T13" s="110">
        <f>Ingresos!T7-'Costo de Ventas'!T16-'Gastos Fijos'!T15-Salarios!T20-Inversiones!T32+Extraordinarios!T3-SUMPRODUCT(T18:T19,$AF18:$AF19)-Financiamiento!T14-Financiamiento!T22+Financiamiento!T26</f>
        <v>334476.10111111117</v>
      </c>
      <c r="U13" s="110">
        <f>Ingresos!U7-'Costo de Ventas'!U16-'Gastos Fijos'!U15-Salarios!U20-Inversiones!U32+Extraordinarios!U3-SUMPRODUCT(U18:U19,$AF18:$AF19)-Financiamiento!U14-Financiamiento!U22+Financiamiento!U26</f>
        <v>334476.10111111117</v>
      </c>
      <c r="V13" s="110">
        <f>Ingresos!V7-'Costo de Ventas'!V16-'Gastos Fijos'!V15-Salarios!V20-Inversiones!V32+Extraordinarios!V3-SUMPRODUCT(V18:V19,$AF18:$AF19)-Financiamiento!V14-Financiamiento!V22+Financiamiento!V26</f>
        <v>334476.10111111117</v>
      </c>
      <c r="W13" s="110">
        <f>Ingresos!W7-'Costo de Ventas'!W16-'Gastos Fijos'!W15-Salarios!W20-Inversiones!W32+Extraordinarios!W3-SUMPRODUCT(W18:W19,$AF18:$AF19)-Financiamiento!W14-Financiamiento!W22+Financiamiento!W26</f>
        <v>334476.10111111117</v>
      </c>
      <c r="X13" s="110">
        <f>Ingresos!X7-'Costo de Ventas'!X16-'Gastos Fijos'!X15-Salarios!X20-Inversiones!X32+Extraordinarios!X3-SUMPRODUCT(X18:X19,$AF18:$AF19)-Financiamiento!X14-Financiamiento!X22+Financiamiento!X26</f>
        <v>343029.92821111169</v>
      </c>
      <c r="Y13" s="110">
        <f>Ingresos!Y7-'Costo de Ventas'!Y16-'Gastos Fijos'!Y15-Salarios!Y20-Inversiones!Y32+Extraordinarios!Y3-SUMPRODUCT(Y18:Y19,$AF18:$AF19)-Financiamiento!Y14-Financiamiento!Y22+Financiamiento!Y26</f>
        <v>343030.24821111164</v>
      </c>
      <c r="Z13" s="110">
        <f>Ingresos!Z7-'Costo de Ventas'!Z16-'Gastos Fijos'!Z15-Salarios!Z20-Inversiones!Z32+Extraordinarios!Z3-SUMPRODUCT(Z18:Z19,$AF18:$AF19)-Financiamiento!Z14-Financiamiento!Z22+Financiamiento!Z26</f>
        <v>343030.24821111164</v>
      </c>
      <c r="AA13" s="110">
        <f>SUM(O13:Z13)</f>
        <v>4039375.3346333355</v>
      </c>
      <c r="AB13" s="110">
        <f>Ingresos!AB7-'Costo de Ventas'!AB16-'Gastos Fijos'!AB15-Salarios!AB20-Inversiones!AB32+Extraordinarios!AB3-SUMPRODUCT(AB18:AB19,$AF18:$AF19)-Financiamiento!AB14-Financiamiento!AB22+Financiamiento!AB26</f>
        <v>34850130.502656467</v>
      </c>
      <c r="AC13" s="110">
        <f>Ingresos!AC7-'Costo de Ventas'!AC16-'Gastos Fijos'!AC15-Salarios!AC20-Inversiones!AC32+Extraordinarios!AC3-SUMPRODUCT(AC18:AC19,$AF18:$AF19)-Financiamiento!AC14-Financiamiento!AC22+Financiamiento!AC26</f>
        <v>55441313.933081672</v>
      </c>
      <c r="AD13" s="110">
        <f>Ingresos!AD7-'Costo de Ventas'!AD16-'Gastos Fijos'!AD15-Salarios!AD20-Inversiones!AD32+Extraordinarios!AD3-SUMPRODUCT(AD18:AD19,$AF18:$AF19)-Financiamiento!AD14-Financiamiento!AD22+Financiamiento!AD26</f>
        <v>88817676.868371546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40" customFormat="1" ht="12.75" customHeight="1" x14ac:dyDescent="0.2">
      <c r="A14" s="110" t="s">
        <v>41</v>
      </c>
      <c r="B14" s="110">
        <f t="shared" ref="B14:M14" si="7">B13*B12</f>
        <v>170990.76444444444</v>
      </c>
      <c r="C14" s="110">
        <f t="shared" si="7"/>
        <v>170990.76444444444</v>
      </c>
      <c r="D14" s="110">
        <f t="shared" si="7"/>
        <v>170990.76444444444</v>
      </c>
      <c r="E14" s="110">
        <f t="shared" si="7"/>
        <v>170990.76444444444</v>
      </c>
      <c r="F14" s="110">
        <f t="shared" si="7"/>
        <v>170990.76444444444</v>
      </c>
      <c r="G14" s="110">
        <f t="shared" si="7"/>
        <v>170990.76444444444</v>
      </c>
      <c r="H14" s="110">
        <f t="shared" si="7"/>
        <v>170990.76444444444</v>
      </c>
      <c r="I14" s="110">
        <f t="shared" si="7"/>
        <v>170990.76444444444</v>
      </c>
      <c r="J14" s="110">
        <f t="shared" si="7"/>
        <v>170990.76444444444</v>
      </c>
      <c r="K14" s="110">
        <f t="shared" si="7"/>
        <v>177071.07324444439</v>
      </c>
      <c r="L14" s="110">
        <f t="shared" si="7"/>
        <v>177071.07324444439</v>
      </c>
      <c r="M14" s="110">
        <f t="shared" si="7"/>
        <v>177071.07324444439</v>
      </c>
      <c r="N14" s="110">
        <f>SUM(B14:M14)</f>
        <v>2070130.0997333329</v>
      </c>
      <c r="O14" s="110">
        <f t="shared" ref="O14:Z14" si="8">O13*O12</f>
        <v>56860.9371888889</v>
      </c>
      <c r="P14" s="110">
        <f t="shared" si="8"/>
        <v>56860.9371888889</v>
      </c>
      <c r="Q14" s="110">
        <f t="shared" si="8"/>
        <v>56860.9371888889</v>
      </c>
      <c r="R14" s="110">
        <f t="shared" si="8"/>
        <v>56860.9371888889</v>
      </c>
      <c r="S14" s="110">
        <f t="shared" si="8"/>
        <v>56860.9371888889</v>
      </c>
      <c r="T14" s="110">
        <f t="shared" si="8"/>
        <v>56860.9371888889</v>
      </c>
      <c r="U14" s="110">
        <f t="shared" si="8"/>
        <v>56860.9371888889</v>
      </c>
      <c r="V14" s="110">
        <f t="shared" si="8"/>
        <v>56860.9371888889</v>
      </c>
      <c r="W14" s="110">
        <f t="shared" si="8"/>
        <v>56860.9371888889</v>
      </c>
      <c r="X14" s="110">
        <f t="shared" si="8"/>
        <v>58315.087795888991</v>
      </c>
      <c r="Y14" s="110">
        <f t="shared" si="8"/>
        <v>58315.142195888984</v>
      </c>
      <c r="Z14" s="110">
        <f t="shared" si="8"/>
        <v>58315.142195888984</v>
      </c>
      <c r="AA14" s="110">
        <f>SUM(O14:Z14)</f>
        <v>686693.80688766716</v>
      </c>
      <c r="AB14" s="110">
        <f>AB13*AB12</f>
        <v>6273023.4904781636</v>
      </c>
      <c r="AC14" s="110">
        <f>AC13*AC12</f>
        <v>10533849.647285517</v>
      </c>
      <c r="AD14" s="110">
        <f>AD13*AD12</f>
        <v>17763535.373674311</v>
      </c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40" customFormat="1" ht="12.75" customHeight="1" x14ac:dyDescent="0.2">
      <c r="A15" s="110" t="s">
        <v>66</v>
      </c>
      <c r="B15" s="110">
        <f t="shared" ref="B15:M15" si="9">B14+B16</f>
        <v>170990.76444444444</v>
      </c>
      <c r="C15" s="110">
        <f t="shared" si="9"/>
        <v>170990.76444444444</v>
      </c>
      <c r="D15" s="110">
        <f t="shared" si="9"/>
        <v>170990.76444444444</v>
      </c>
      <c r="E15" s="110">
        <f t="shared" si="9"/>
        <v>170990.76444444444</v>
      </c>
      <c r="F15" s="110">
        <f t="shared" si="9"/>
        <v>170990.76444444444</v>
      </c>
      <c r="G15" s="110">
        <f t="shared" si="9"/>
        <v>170990.76444444444</v>
      </c>
      <c r="H15" s="110">
        <f t="shared" si="9"/>
        <v>170990.76444444444</v>
      </c>
      <c r="I15" s="110">
        <f t="shared" si="9"/>
        <v>170990.76444444444</v>
      </c>
      <c r="J15" s="110">
        <f t="shared" si="9"/>
        <v>170990.76444444444</v>
      </c>
      <c r="K15" s="110">
        <f t="shared" si="9"/>
        <v>177071.07324444439</v>
      </c>
      <c r="L15" s="110">
        <f t="shared" si="9"/>
        <v>177071.07324444439</v>
      </c>
      <c r="M15" s="110">
        <f t="shared" si="9"/>
        <v>177071.07324444439</v>
      </c>
      <c r="N15" s="110">
        <f>SUM(B15:M15)</f>
        <v>2070130.0997333329</v>
      </c>
      <c r="O15" s="110">
        <f t="shared" ref="O15:Z15" si="10">O14+O16</f>
        <v>56860.9371888889</v>
      </c>
      <c r="P15" s="110">
        <f t="shared" si="10"/>
        <v>56860.9371888889</v>
      </c>
      <c r="Q15" s="110">
        <f t="shared" si="10"/>
        <v>56860.9371888889</v>
      </c>
      <c r="R15" s="110">
        <f t="shared" si="10"/>
        <v>56860.9371888889</v>
      </c>
      <c r="S15" s="110">
        <f t="shared" si="10"/>
        <v>56860.9371888889</v>
      </c>
      <c r="T15" s="110">
        <f t="shared" si="10"/>
        <v>56860.9371888889</v>
      </c>
      <c r="U15" s="110">
        <f t="shared" si="10"/>
        <v>56860.9371888889</v>
      </c>
      <c r="V15" s="110">
        <f t="shared" si="10"/>
        <v>56860.9371888889</v>
      </c>
      <c r="W15" s="110">
        <f t="shared" si="10"/>
        <v>56860.9371888889</v>
      </c>
      <c r="X15" s="110">
        <f t="shared" si="10"/>
        <v>58315.087795888991</v>
      </c>
      <c r="Y15" s="110">
        <f t="shared" si="10"/>
        <v>58315.142195888984</v>
      </c>
      <c r="Z15" s="110">
        <f t="shared" si="10"/>
        <v>58315.142195888984</v>
      </c>
      <c r="AA15" s="110">
        <f>SUM(O15:Z15)</f>
        <v>686693.80688766716</v>
      </c>
      <c r="AB15" s="110">
        <f>AB14+AB16</f>
        <v>6273023.4904781636</v>
      </c>
      <c r="AC15" s="110">
        <f>AC14+AC16</f>
        <v>10533849.647285517</v>
      </c>
      <c r="AD15" s="110">
        <f>AD14+AD16</f>
        <v>17763535.373674311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40" customFormat="1" ht="12.75" customHeight="1" x14ac:dyDescent="0.2">
      <c r="A16" s="110" t="s">
        <v>47</v>
      </c>
      <c r="B16" s="110">
        <f>B17-'Valores de Inicio'!B9</f>
        <v>0</v>
      </c>
      <c r="C16" s="110">
        <f t="shared" ref="C16:M16" si="11">C17-B17</f>
        <v>0</v>
      </c>
      <c r="D16" s="110">
        <f t="shared" si="11"/>
        <v>0</v>
      </c>
      <c r="E16" s="110">
        <f t="shared" si="11"/>
        <v>0</v>
      </c>
      <c r="F16" s="110">
        <f t="shared" si="11"/>
        <v>0</v>
      </c>
      <c r="G16" s="110">
        <f t="shared" si="11"/>
        <v>0</v>
      </c>
      <c r="H16" s="110">
        <f t="shared" si="11"/>
        <v>0</v>
      </c>
      <c r="I16" s="110">
        <f t="shared" si="11"/>
        <v>0</v>
      </c>
      <c r="J16" s="110">
        <f t="shared" si="11"/>
        <v>0</v>
      </c>
      <c r="K16" s="110">
        <f t="shared" si="11"/>
        <v>0</v>
      </c>
      <c r="L16" s="110">
        <f t="shared" si="11"/>
        <v>0</v>
      </c>
      <c r="M16" s="110">
        <f t="shared" si="11"/>
        <v>0</v>
      </c>
      <c r="N16" s="110">
        <f>SUM(B16:M16)</f>
        <v>0</v>
      </c>
      <c r="O16" s="110">
        <f t="shared" ref="O16:Z16" si="12">O17-N17</f>
        <v>0</v>
      </c>
      <c r="P16" s="110">
        <f t="shared" si="12"/>
        <v>0</v>
      </c>
      <c r="Q16" s="110">
        <f t="shared" si="12"/>
        <v>0</v>
      </c>
      <c r="R16" s="110">
        <f t="shared" si="12"/>
        <v>0</v>
      </c>
      <c r="S16" s="110">
        <f t="shared" si="12"/>
        <v>0</v>
      </c>
      <c r="T16" s="110">
        <f t="shared" si="12"/>
        <v>0</v>
      </c>
      <c r="U16" s="110">
        <f t="shared" si="12"/>
        <v>0</v>
      </c>
      <c r="V16" s="110">
        <f t="shared" si="12"/>
        <v>0</v>
      </c>
      <c r="W16" s="110">
        <f t="shared" si="12"/>
        <v>0</v>
      </c>
      <c r="X16" s="110">
        <f t="shared" si="12"/>
        <v>0</v>
      </c>
      <c r="Y16" s="110">
        <f t="shared" si="12"/>
        <v>0</v>
      </c>
      <c r="Z16" s="110">
        <f t="shared" si="12"/>
        <v>0</v>
      </c>
      <c r="AA16" s="110">
        <f>SUM(O16:Z16)</f>
        <v>0</v>
      </c>
      <c r="AB16" s="110">
        <f>AB17-AA17</f>
        <v>0</v>
      </c>
      <c r="AC16" s="110">
        <f>AC17-AB17</f>
        <v>0</v>
      </c>
      <c r="AD16" s="110">
        <f>AD17-AC17</f>
        <v>0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40" customFormat="1" ht="12.75" customHeight="1" x14ac:dyDescent="0.2">
      <c r="A17" s="110" t="s">
        <v>44</v>
      </c>
      <c r="B17" s="110">
        <f>IF(B14&lt;0,'Valores de Inicio'!B9-B14,IF(B14&lt;'Valores de Inicio'!B9,'Valores de Inicio'!B9-B14,0))</f>
        <v>0</v>
      </c>
      <c r="C17" s="110">
        <f t="shared" ref="C17:M17" si="13">IF(C14&lt;0,B17-C14,IF(C14&lt;B17,B17-C14,0))</f>
        <v>0</v>
      </c>
      <c r="D17" s="110">
        <f t="shared" si="13"/>
        <v>0</v>
      </c>
      <c r="E17" s="110">
        <f t="shared" si="13"/>
        <v>0</v>
      </c>
      <c r="F17" s="110">
        <f t="shared" si="13"/>
        <v>0</v>
      </c>
      <c r="G17" s="110">
        <f t="shared" si="13"/>
        <v>0</v>
      </c>
      <c r="H17" s="110">
        <f t="shared" si="13"/>
        <v>0</v>
      </c>
      <c r="I17" s="110">
        <f t="shared" si="13"/>
        <v>0</v>
      </c>
      <c r="J17" s="110">
        <f t="shared" si="13"/>
        <v>0</v>
      </c>
      <c r="K17" s="110">
        <f t="shared" si="13"/>
        <v>0</v>
      </c>
      <c r="L17" s="110">
        <f t="shared" si="13"/>
        <v>0</v>
      </c>
      <c r="M17" s="110">
        <f t="shared" si="13"/>
        <v>0</v>
      </c>
      <c r="N17" s="110">
        <f>M17</f>
        <v>0</v>
      </c>
      <c r="O17" s="110">
        <f t="shared" ref="O17:Z17" si="14">IF(O14&lt;0,N17-O14,IF(O14&lt;N17,N17-O14,0))</f>
        <v>0</v>
      </c>
      <c r="P17" s="110">
        <f t="shared" si="14"/>
        <v>0</v>
      </c>
      <c r="Q17" s="110">
        <f t="shared" si="14"/>
        <v>0</v>
      </c>
      <c r="R17" s="110">
        <f t="shared" si="14"/>
        <v>0</v>
      </c>
      <c r="S17" s="110">
        <f t="shared" si="14"/>
        <v>0</v>
      </c>
      <c r="T17" s="110">
        <f t="shared" si="14"/>
        <v>0</v>
      </c>
      <c r="U17" s="110">
        <f t="shared" si="14"/>
        <v>0</v>
      </c>
      <c r="V17" s="110">
        <f t="shared" si="14"/>
        <v>0</v>
      </c>
      <c r="W17" s="110">
        <f t="shared" si="14"/>
        <v>0</v>
      </c>
      <c r="X17" s="110">
        <f t="shared" si="14"/>
        <v>0</v>
      </c>
      <c r="Y17" s="110">
        <f t="shared" si="14"/>
        <v>0</v>
      </c>
      <c r="Z17" s="110">
        <f t="shared" si="14"/>
        <v>0</v>
      </c>
      <c r="AA17" s="110">
        <f>Z17</f>
        <v>0</v>
      </c>
      <c r="AB17" s="110">
        <f>IF(AB14&lt;0,AA17-AB14,IF(AB14&lt;AA17,AA17-AB14,0))</f>
        <v>0</v>
      </c>
      <c r="AC17" s="110">
        <f>IF(AC14&lt;0,AB17-AC14,IF(AC14&lt;AB17,AB17-AC14,0))</f>
        <v>0</v>
      </c>
      <c r="AD17" s="110">
        <f>IF(AD14&lt;0,AC17-AD14,IF(AD14&lt;AC17,AC17-AD14,0))</f>
        <v>0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2.75" customHeight="1" x14ac:dyDescent="0.2">
      <c r="A18" s="93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</row>
    <row r="19" spans="1:256" ht="12.75" customHeight="1" x14ac:dyDescent="0.2">
      <c r="A19" s="93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</row>
    <row r="20" spans="1:256" ht="15" x14ac:dyDescent="0.25">
      <c r="A20" s="174" t="s">
        <v>64</v>
      </c>
      <c r="B20" s="174">
        <f t="shared" ref="B20:M20" si="15">B14</f>
        <v>170990.76444444444</v>
      </c>
      <c r="C20" s="174">
        <f t="shared" si="15"/>
        <v>170990.76444444444</v>
      </c>
      <c r="D20" s="174">
        <f t="shared" si="15"/>
        <v>170990.76444444444</v>
      </c>
      <c r="E20" s="174">
        <f t="shared" si="15"/>
        <v>170990.76444444444</v>
      </c>
      <c r="F20" s="174">
        <f t="shared" si="15"/>
        <v>170990.76444444444</v>
      </c>
      <c r="G20" s="174">
        <f t="shared" si="15"/>
        <v>170990.76444444444</v>
      </c>
      <c r="H20" s="174">
        <f t="shared" si="15"/>
        <v>170990.76444444444</v>
      </c>
      <c r="I20" s="174">
        <f t="shared" si="15"/>
        <v>170990.76444444444</v>
      </c>
      <c r="J20" s="174">
        <f t="shared" si="15"/>
        <v>170990.76444444444</v>
      </c>
      <c r="K20" s="174">
        <f t="shared" si="15"/>
        <v>177071.07324444439</v>
      </c>
      <c r="L20" s="174">
        <f t="shared" si="15"/>
        <v>177071.07324444439</v>
      </c>
      <c r="M20" s="174">
        <f t="shared" si="15"/>
        <v>177071.07324444439</v>
      </c>
      <c r="N20" s="174">
        <f>SUM(B20:M20)</f>
        <v>2070130.0997333329</v>
      </c>
      <c r="O20" s="174">
        <f t="shared" ref="O20:Z20" si="16">O14</f>
        <v>56860.9371888889</v>
      </c>
      <c r="P20" s="174">
        <f t="shared" si="16"/>
        <v>56860.9371888889</v>
      </c>
      <c r="Q20" s="174">
        <f t="shared" si="16"/>
        <v>56860.9371888889</v>
      </c>
      <c r="R20" s="174">
        <f t="shared" si="16"/>
        <v>56860.9371888889</v>
      </c>
      <c r="S20" s="174">
        <f t="shared" si="16"/>
        <v>56860.9371888889</v>
      </c>
      <c r="T20" s="174">
        <f t="shared" si="16"/>
        <v>56860.9371888889</v>
      </c>
      <c r="U20" s="174">
        <f t="shared" si="16"/>
        <v>56860.9371888889</v>
      </c>
      <c r="V20" s="174">
        <f t="shared" si="16"/>
        <v>56860.9371888889</v>
      </c>
      <c r="W20" s="174">
        <f t="shared" si="16"/>
        <v>56860.9371888889</v>
      </c>
      <c r="X20" s="174">
        <f t="shared" si="16"/>
        <v>58315.087795888991</v>
      </c>
      <c r="Y20" s="174">
        <f t="shared" si="16"/>
        <v>58315.142195888984</v>
      </c>
      <c r="Z20" s="174">
        <f t="shared" si="16"/>
        <v>58315.142195888984</v>
      </c>
      <c r="AA20" s="174">
        <f>SUM(O20:Z20)</f>
        <v>686693.80688766716</v>
      </c>
      <c r="AB20" s="174">
        <f>AB14</f>
        <v>6273023.4904781636</v>
      </c>
      <c r="AC20" s="174">
        <f>AC14</f>
        <v>10533849.647285517</v>
      </c>
      <c r="AD20" s="174">
        <f>AD14</f>
        <v>17763535.373674311</v>
      </c>
    </row>
  </sheetData>
  <pageMargins left="0.75" right="0.75" top="1" bottom="1" header="0.5" footer="0.5"/>
  <pageSetup paperSize="9" fitToWidth="0" fitToHeight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9"/>
  <sheetViews>
    <sheetView showGridLines="0" workbookViewId="0">
      <pane xSplit="1" ySplit="1" topLeftCell="B2" activePane="bottomRight" state="frozen"/>
      <selection activeCell="G19" sqref="G19"/>
      <selection pane="topRight" activeCell="G19" sqref="G19"/>
      <selection pane="bottomLeft" activeCell="G19" sqref="G19"/>
      <selection pane="bottomRight" activeCell="T20" sqref="T20"/>
    </sheetView>
  </sheetViews>
  <sheetFormatPr baseColWidth="10" defaultColWidth="11.42578125" defaultRowHeight="12.75" outlineLevelCol="1" x14ac:dyDescent="0.2"/>
  <cols>
    <col min="1" max="1" width="42.85546875" customWidth="1"/>
    <col min="2" max="13" width="13.28515625" customWidth="1" outlineLevel="1"/>
    <col min="14" max="14" width="13.28515625" customWidth="1"/>
    <col min="15" max="26" width="13.28515625" customWidth="1" outlineLevel="1"/>
    <col min="27" max="30" width="13.28515625" customWidth="1"/>
  </cols>
  <sheetData>
    <row r="1" spans="1:31" ht="15.75" customHeight="1" x14ac:dyDescent="0.25">
      <c r="A1" s="213" t="str">
        <f>"FINANCIAMIENTO (" &amp; Introducción!E17 &amp; ")"</f>
        <v>FINANCIAMIENTO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</row>
    <row r="2" spans="1:31" x14ac:dyDescent="0.2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31" x14ac:dyDescent="0.2">
      <c r="A3" s="43" t="s">
        <v>184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</row>
    <row r="4" spans="1:31" x14ac:dyDescent="0.2">
      <c r="A4" s="166" t="s">
        <v>210</v>
      </c>
      <c r="B4" s="215">
        <v>0</v>
      </c>
      <c r="C4" s="215">
        <v>0</v>
      </c>
      <c r="D4" s="215">
        <v>0</v>
      </c>
      <c r="E4" s="215">
        <v>0</v>
      </c>
      <c r="F4" s="215">
        <v>0</v>
      </c>
      <c r="G4" s="215">
        <v>0</v>
      </c>
      <c r="H4" s="215">
        <v>0</v>
      </c>
      <c r="I4" s="215">
        <v>0</v>
      </c>
      <c r="J4" s="215">
        <v>0</v>
      </c>
      <c r="K4" s="215">
        <v>0</v>
      </c>
      <c r="L4" s="215">
        <v>0</v>
      </c>
      <c r="M4" s="215">
        <v>0</v>
      </c>
      <c r="N4" s="216">
        <f>SUM(B4:M4)</f>
        <v>0</v>
      </c>
      <c r="O4" s="215">
        <v>0</v>
      </c>
      <c r="P4" s="215">
        <v>0</v>
      </c>
      <c r="Q4" s="215">
        <v>0</v>
      </c>
      <c r="R4" s="215">
        <v>0</v>
      </c>
      <c r="S4" s="215">
        <v>0</v>
      </c>
      <c r="T4" s="215">
        <v>0</v>
      </c>
      <c r="U4" s="215">
        <v>0</v>
      </c>
      <c r="V4" s="215">
        <v>0</v>
      </c>
      <c r="W4" s="215">
        <v>0</v>
      </c>
      <c r="X4" s="215">
        <v>0</v>
      </c>
      <c r="Y4" s="215">
        <v>0</v>
      </c>
      <c r="Z4" s="215">
        <v>0</v>
      </c>
      <c r="AA4" s="216">
        <f>SUM(O4:Z4)</f>
        <v>0</v>
      </c>
      <c r="AB4" s="215">
        <v>0</v>
      </c>
      <c r="AC4" s="215">
        <v>0</v>
      </c>
      <c r="AD4" s="215">
        <v>0</v>
      </c>
    </row>
    <row r="5" spans="1:31" x14ac:dyDescent="0.2">
      <c r="A5" s="166" t="s">
        <v>50</v>
      </c>
      <c r="B5" s="215">
        <v>0</v>
      </c>
      <c r="C5" s="215">
        <v>0</v>
      </c>
      <c r="D5" s="215">
        <v>0</v>
      </c>
      <c r="E5" s="215">
        <v>0</v>
      </c>
      <c r="F5" s="215">
        <v>0</v>
      </c>
      <c r="G5" s="215">
        <v>0</v>
      </c>
      <c r="H5" s="215">
        <v>0</v>
      </c>
      <c r="I5" s="215">
        <v>0</v>
      </c>
      <c r="J5" s="215">
        <v>0</v>
      </c>
      <c r="K5" s="215">
        <v>0</v>
      </c>
      <c r="L5" s="215">
        <v>0</v>
      </c>
      <c r="M5" s="215">
        <v>0</v>
      </c>
      <c r="N5" s="216">
        <f>SUM(B5:M5)</f>
        <v>0</v>
      </c>
      <c r="O5" s="215">
        <v>0</v>
      </c>
      <c r="P5" s="215">
        <v>0</v>
      </c>
      <c r="Q5" s="215">
        <v>0</v>
      </c>
      <c r="R5" s="215">
        <v>0</v>
      </c>
      <c r="S5" s="215">
        <v>0</v>
      </c>
      <c r="T5" s="215">
        <v>0</v>
      </c>
      <c r="U5" s="215">
        <v>0</v>
      </c>
      <c r="V5" s="215">
        <v>0</v>
      </c>
      <c r="W5" s="215">
        <v>0</v>
      </c>
      <c r="X5" s="215">
        <v>0</v>
      </c>
      <c r="Y5" s="215">
        <v>0</v>
      </c>
      <c r="Z5" s="215">
        <v>0</v>
      </c>
      <c r="AA5" s="216">
        <f>SUM(O5:Z5)</f>
        <v>0</v>
      </c>
      <c r="AB5" s="215">
        <v>0</v>
      </c>
      <c r="AC5" s="215">
        <v>0</v>
      </c>
      <c r="AD5" s="215">
        <v>0</v>
      </c>
    </row>
    <row r="6" spans="1:31" s="43" customFormat="1" x14ac:dyDescent="0.2">
      <c r="A6" s="134" t="s">
        <v>10</v>
      </c>
      <c r="B6" s="84">
        <f t="shared" ref="B6:M6" si="2">B4-B5</f>
        <v>0</v>
      </c>
      <c r="C6" s="84">
        <f t="shared" si="2"/>
        <v>0</v>
      </c>
      <c r="D6" s="84">
        <f t="shared" si="2"/>
        <v>0</v>
      </c>
      <c r="E6" s="84">
        <f t="shared" si="2"/>
        <v>0</v>
      </c>
      <c r="F6" s="84">
        <f t="shared" si="2"/>
        <v>0</v>
      </c>
      <c r="G6" s="84">
        <f t="shared" si="2"/>
        <v>0</v>
      </c>
      <c r="H6" s="84">
        <f t="shared" si="2"/>
        <v>0</v>
      </c>
      <c r="I6" s="84">
        <f t="shared" si="2"/>
        <v>0</v>
      </c>
      <c r="J6" s="84">
        <f t="shared" si="2"/>
        <v>0</v>
      </c>
      <c r="K6" s="84">
        <f t="shared" si="2"/>
        <v>0</v>
      </c>
      <c r="L6" s="84">
        <f t="shared" si="2"/>
        <v>0</v>
      </c>
      <c r="M6" s="84">
        <f t="shared" si="2"/>
        <v>0</v>
      </c>
      <c r="N6" s="112">
        <f>SUM(B6:M6)</f>
        <v>0</v>
      </c>
      <c r="O6" s="84">
        <f t="shared" ref="O6:Z6" si="3">O4-O5</f>
        <v>0</v>
      </c>
      <c r="P6" s="84">
        <f t="shared" si="3"/>
        <v>0</v>
      </c>
      <c r="Q6" s="84">
        <f t="shared" si="3"/>
        <v>0</v>
      </c>
      <c r="R6" s="84">
        <f t="shared" si="3"/>
        <v>0</v>
      </c>
      <c r="S6" s="84">
        <f t="shared" si="3"/>
        <v>0</v>
      </c>
      <c r="T6" s="84">
        <f t="shared" si="3"/>
        <v>0</v>
      </c>
      <c r="U6" s="84">
        <f t="shared" si="3"/>
        <v>0</v>
      </c>
      <c r="V6" s="84">
        <f t="shared" si="3"/>
        <v>0</v>
      </c>
      <c r="W6" s="84">
        <f t="shared" si="3"/>
        <v>0</v>
      </c>
      <c r="X6" s="84">
        <f t="shared" si="3"/>
        <v>0</v>
      </c>
      <c r="Y6" s="84">
        <f t="shared" si="3"/>
        <v>0</v>
      </c>
      <c r="Z6" s="84">
        <f t="shared" si="3"/>
        <v>0</v>
      </c>
      <c r="AA6" s="112">
        <f>SUM(O6:Z6)</f>
        <v>0</v>
      </c>
      <c r="AB6" s="84">
        <f>AB4-AB5</f>
        <v>0</v>
      </c>
      <c r="AC6" s="84">
        <f>AC4-AC5</f>
        <v>0</v>
      </c>
      <c r="AD6" s="84">
        <f>AD4-AD5</f>
        <v>0</v>
      </c>
    </row>
    <row r="7" spans="1:31" ht="13.5" customHeight="1" x14ac:dyDescent="0.2">
      <c r="A7" s="173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</row>
    <row r="8" spans="1:31" ht="13.5" customHeight="1" x14ac:dyDescent="0.2">
      <c r="A8" s="173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</row>
    <row r="9" spans="1:31" ht="13.5" customHeight="1" x14ac:dyDescent="0.2">
      <c r="A9" s="152" t="s">
        <v>191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</row>
    <row r="10" spans="1:31" x14ac:dyDescent="0.2">
      <c r="A10" s="166" t="s">
        <v>18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6">
        <f>SUM(B10:M10)</f>
        <v>0</v>
      </c>
      <c r="O10" s="215">
        <v>0</v>
      </c>
      <c r="P10" s="215">
        <v>0</v>
      </c>
      <c r="Q10" s="215">
        <v>0</v>
      </c>
      <c r="R10" s="215">
        <v>0</v>
      </c>
      <c r="S10" s="215">
        <v>0</v>
      </c>
      <c r="T10" s="215">
        <v>0</v>
      </c>
      <c r="U10" s="215">
        <v>0</v>
      </c>
      <c r="V10" s="215">
        <v>0</v>
      </c>
      <c r="W10" s="215">
        <v>0</v>
      </c>
      <c r="X10" s="215">
        <v>0</v>
      </c>
      <c r="Y10" s="215">
        <v>0</v>
      </c>
      <c r="Z10" s="215">
        <v>0</v>
      </c>
      <c r="AA10" s="216">
        <f>SUM(O10:Z10)</f>
        <v>0</v>
      </c>
      <c r="AB10" s="215">
        <v>0</v>
      </c>
      <c r="AC10" s="215">
        <v>0</v>
      </c>
      <c r="AD10" s="215">
        <v>0</v>
      </c>
    </row>
    <row r="11" spans="1:31" x14ac:dyDescent="0.2">
      <c r="A11" s="166" t="s">
        <v>100</v>
      </c>
      <c r="B11" s="215">
        <v>0</v>
      </c>
      <c r="C11" s="215">
        <v>0</v>
      </c>
      <c r="D11" s="215">
        <v>0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>
        <v>0</v>
      </c>
      <c r="K11" s="215">
        <v>0</v>
      </c>
      <c r="L11" s="215">
        <v>0</v>
      </c>
      <c r="M11" s="215">
        <v>0</v>
      </c>
      <c r="N11" s="216">
        <f>SUM(B11:M11)</f>
        <v>0</v>
      </c>
      <c r="O11" s="215">
        <v>0</v>
      </c>
      <c r="P11" s="215">
        <v>0</v>
      </c>
      <c r="Q11" s="215">
        <v>0</v>
      </c>
      <c r="R11" s="215">
        <v>0</v>
      </c>
      <c r="S11" s="215">
        <v>0</v>
      </c>
      <c r="T11" s="215">
        <v>0</v>
      </c>
      <c r="U11" s="215">
        <v>0</v>
      </c>
      <c r="V11" s="215">
        <v>0</v>
      </c>
      <c r="W11" s="215">
        <v>0</v>
      </c>
      <c r="X11" s="215">
        <v>0</v>
      </c>
      <c r="Y11" s="215">
        <v>0</v>
      </c>
      <c r="Z11" s="215">
        <v>0</v>
      </c>
      <c r="AA11" s="216">
        <f>SUM(O11:Z11)</f>
        <v>0</v>
      </c>
      <c r="AB11" s="215">
        <v>0</v>
      </c>
      <c r="AC11" s="215">
        <v>0</v>
      </c>
      <c r="AD11" s="215">
        <v>0</v>
      </c>
    </row>
    <row r="12" spans="1:31" s="43" customFormat="1" x14ac:dyDescent="0.2">
      <c r="A12" s="134" t="s">
        <v>69</v>
      </c>
      <c r="B12" s="84">
        <f>B10-B11</f>
        <v>0</v>
      </c>
      <c r="C12" s="84">
        <f t="shared" ref="C12:M12" si="4">B12+C10-C11</f>
        <v>0</v>
      </c>
      <c r="D12" s="84">
        <f t="shared" si="4"/>
        <v>0</v>
      </c>
      <c r="E12" s="84">
        <f t="shared" si="4"/>
        <v>0</v>
      </c>
      <c r="F12" s="84">
        <f t="shared" si="4"/>
        <v>0</v>
      </c>
      <c r="G12" s="84">
        <f t="shared" si="4"/>
        <v>0</v>
      </c>
      <c r="H12" s="84">
        <f t="shared" si="4"/>
        <v>0</v>
      </c>
      <c r="I12" s="84">
        <f t="shared" si="4"/>
        <v>0</v>
      </c>
      <c r="J12" s="84">
        <f t="shared" si="4"/>
        <v>0</v>
      </c>
      <c r="K12" s="84">
        <f t="shared" si="4"/>
        <v>0</v>
      </c>
      <c r="L12" s="84">
        <f t="shared" si="4"/>
        <v>0</v>
      </c>
      <c r="M12" s="84">
        <f t="shared" si="4"/>
        <v>0</v>
      </c>
      <c r="N12" s="84">
        <f>N10-N11</f>
        <v>0</v>
      </c>
      <c r="O12" s="84">
        <f t="shared" ref="O12:Z12" si="5">N12+O10-O11</f>
        <v>0</v>
      </c>
      <c r="P12" s="84">
        <f t="shared" si="5"/>
        <v>0</v>
      </c>
      <c r="Q12" s="84">
        <f t="shared" si="5"/>
        <v>0</v>
      </c>
      <c r="R12" s="84">
        <f t="shared" si="5"/>
        <v>0</v>
      </c>
      <c r="S12" s="84">
        <f t="shared" si="5"/>
        <v>0</v>
      </c>
      <c r="T12" s="84">
        <f t="shared" si="5"/>
        <v>0</v>
      </c>
      <c r="U12" s="84">
        <f t="shared" si="5"/>
        <v>0</v>
      </c>
      <c r="V12" s="84">
        <f t="shared" si="5"/>
        <v>0</v>
      </c>
      <c r="W12" s="84">
        <f t="shared" si="5"/>
        <v>0</v>
      </c>
      <c r="X12" s="84">
        <f t="shared" si="5"/>
        <v>0</v>
      </c>
      <c r="Y12" s="84">
        <f t="shared" si="5"/>
        <v>0</v>
      </c>
      <c r="Z12" s="84">
        <f t="shared" si="5"/>
        <v>0</v>
      </c>
      <c r="AA12" s="84">
        <f>N12+AA10-AA11</f>
        <v>0</v>
      </c>
      <c r="AB12" s="84">
        <f>AA12+AB10-AB11</f>
        <v>0</v>
      </c>
      <c r="AC12" s="84">
        <f>AB12+AC10-AC11</f>
        <v>0</v>
      </c>
      <c r="AD12" s="84">
        <f>AC12+AD10-AD11</f>
        <v>0</v>
      </c>
    </row>
    <row r="13" spans="1:31" x14ac:dyDescent="0.2">
      <c r="A13" s="199"/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16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16"/>
      <c r="AB13" s="207"/>
      <c r="AC13" s="207"/>
      <c r="AD13" s="207"/>
    </row>
    <row r="14" spans="1:31" x14ac:dyDescent="0.2">
      <c r="A14" s="166" t="s">
        <v>138</v>
      </c>
      <c r="B14" s="215">
        <v>0</v>
      </c>
      <c r="C14" s="215">
        <v>0</v>
      </c>
      <c r="D14" s="215">
        <v>0</v>
      </c>
      <c r="E14" s="215">
        <v>0</v>
      </c>
      <c r="F14" s="215">
        <v>0</v>
      </c>
      <c r="G14" s="215">
        <v>0</v>
      </c>
      <c r="H14" s="215">
        <v>0</v>
      </c>
      <c r="I14" s="215">
        <v>0</v>
      </c>
      <c r="J14" s="215">
        <v>0</v>
      </c>
      <c r="K14" s="215">
        <v>0</v>
      </c>
      <c r="L14" s="215">
        <v>0</v>
      </c>
      <c r="M14" s="215">
        <v>0</v>
      </c>
      <c r="N14" s="216">
        <f>SUM(B14:M14)</f>
        <v>0</v>
      </c>
      <c r="O14" s="215">
        <v>0</v>
      </c>
      <c r="P14" s="215">
        <v>0</v>
      </c>
      <c r="Q14" s="215">
        <v>0</v>
      </c>
      <c r="R14" s="215">
        <v>0</v>
      </c>
      <c r="S14" s="215">
        <v>0</v>
      </c>
      <c r="T14" s="215">
        <v>0</v>
      </c>
      <c r="U14" s="215">
        <v>0</v>
      </c>
      <c r="V14" s="215">
        <v>0</v>
      </c>
      <c r="W14" s="215">
        <v>0</v>
      </c>
      <c r="X14" s="215">
        <v>0</v>
      </c>
      <c r="Y14" s="215">
        <v>0</v>
      </c>
      <c r="Z14" s="215">
        <v>0</v>
      </c>
      <c r="AA14" s="216">
        <f>SUM(O14:Z14)</f>
        <v>0</v>
      </c>
      <c r="AB14" s="215">
        <v>0</v>
      </c>
      <c r="AC14" s="215">
        <v>0</v>
      </c>
      <c r="AD14" s="215">
        <v>0</v>
      </c>
    </row>
    <row r="15" spans="1:31" x14ac:dyDescent="0.2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</row>
    <row r="16" spans="1:31" x14ac:dyDescent="0.2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</row>
    <row r="17" spans="1:30" x14ac:dyDescent="0.2">
      <c r="A17" s="151" t="s">
        <v>180</v>
      </c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</row>
    <row r="18" spans="1:30" x14ac:dyDescent="0.2">
      <c r="A18" s="166" t="s">
        <v>18</v>
      </c>
      <c r="B18" s="215">
        <v>3401138</v>
      </c>
      <c r="C18" s="215">
        <v>0</v>
      </c>
      <c r="D18" s="215">
        <v>0</v>
      </c>
      <c r="E18" s="215">
        <v>0</v>
      </c>
      <c r="F18" s="215">
        <v>0</v>
      </c>
      <c r="G18" s="215">
        <v>0</v>
      </c>
      <c r="H18" s="215">
        <v>0</v>
      </c>
      <c r="I18" s="215">
        <v>0</v>
      </c>
      <c r="J18" s="215">
        <v>0</v>
      </c>
      <c r="K18" s="215">
        <v>0</v>
      </c>
      <c r="L18" s="215">
        <v>0</v>
      </c>
      <c r="M18" s="215">
        <v>0</v>
      </c>
      <c r="N18" s="216">
        <f>SUM(B18:M18)</f>
        <v>3401138</v>
      </c>
      <c r="O18" s="215">
        <v>0</v>
      </c>
      <c r="P18" s="215">
        <v>0</v>
      </c>
      <c r="Q18" s="215">
        <v>0</v>
      </c>
      <c r="R18" s="215">
        <v>0</v>
      </c>
      <c r="S18" s="215">
        <v>0</v>
      </c>
      <c r="T18" s="215">
        <v>0</v>
      </c>
      <c r="U18" s="215">
        <v>0</v>
      </c>
      <c r="V18" s="215">
        <v>0</v>
      </c>
      <c r="W18" s="215">
        <v>0</v>
      </c>
      <c r="X18" s="215">
        <v>0</v>
      </c>
      <c r="Y18" s="215">
        <v>0</v>
      </c>
      <c r="Z18" s="215">
        <v>0</v>
      </c>
      <c r="AA18" s="216">
        <f>SUM(O18:Z18)</f>
        <v>0</v>
      </c>
      <c r="AB18" s="215">
        <v>0</v>
      </c>
      <c r="AC18" s="215">
        <v>0</v>
      </c>
      <c r="AD18" s="215">
        <v>0</v>
      </c>
    </row>
    <row r="19" spans="1:30" x14ac:dyDescent="0.2">
      <c r="A19" s="166" t="s">
        <v>100</v>
      </c>
      <c r="B19" s="215">
        <v>121598.65503209218</v>
      </c>
      <c r="C19" s="215">
        <v>121598.65503209218</v>
      </c>
      <c r="D19" s="215">
        <v>121598.65503209218</v>
      </c>
      <c r="E19" s="215">
        <v>121598.65503209218</v>
      </c>
      <c r="F19" s="215">
        <v>121598.65503209218</v>
      </c>
      <c r="G19" s="215">
        <v>121598.65503209218</v>
      </c>
      <c r="H19" s="215">
        <v>121598.65503209218</v>
      </c>
      <c r="I19" s="215">
        <v>121598.65503209218</v>
      </c>
      <c r="J19" s="215">
        <v>121598.65503209218</v>
      </c>
      <c r="K19" s="215">
        <v>121598.65503209218</v>
      </c>
      <c r="L19" s="215">
        <v>121598.65503209218</v>
      </c>
      <c r="M19" s="215">
        <v>121598.65503209218</v>
      </c>
      <c r="N19" s="216">
        <f>SUM(B19:M19)</f>
        <v>1459183.8603851066</v>
      </c>
      <c r="O19" s="215">
        <v>121598.65503209218</v>
      </c>
      <c r="P19" s="215">
        <v>121598.65503209218</v>
      </c>
      <c r="Q19" s="215">
        <v>121598.65503209218</v>
      </c>
      <c r="R19" s="215">
        <v>121598.65503209218</v>
      </c>
      <c r="S19" s="215">
        <v>121598.65503209218</v>
      </c>
      <c r="T19" s="215">
        <v>47085.77</v>
      </c>
      <c r="U19" s="215">
        <v>47085.77</v>
      </c>
      <c r="V19" s="215">
        <v>47085.77</v>
      </c>
      <c r="W19" s="215">
        <v>47085.77</v>
      </c>
      <c r="X19" s="215">
        <v>47085.77</v>
      </c>
      <c r="Y19" s="215">
        <v>47085.77</v>
      </c>
      <c r="Z19" s="215">
        <v>47085.77</v>
      </c>
      <c r="AA19" s="216">
        <f>SUM(O19:Z19)</f>
        <v>937593.6651604611</v>
      </c>
      <c r="AB19" s="215">
        <v>482770</v>
      </c>
      <c r="AC19" s="215">
        <v>0</v>
      </c>
      <c r="AD19" s="215">
        <v>0</v>
      </c>
    </row>
    <row r="20" spans="1:30" s="43" customFormat="1" x14ac:dyDescent="0.2">
      <c r="A20" s="134" t="s">
        <v>133</v>
      </c>
      <c r="B20" s="84">
        <f>B18-B19</f>
        <v>3279539.3449679078</v>
      </c>
      <c r="C20" s="84">
        <f t="shared" ref="C20:M20" si="6">B20+C18-C19</f>
        <v>3157940.6899358155</v>
      </c>
      <c r="D20" s="84">
        <f t="shared" si="6"/>
        <v>3036342.0349037233</v>
      </c>
      <c r="E20" s="84">
        <f t="shared" si="6"/>
        <v>2914743.379871631</v>
      </c>
      <c r="F20" s="84">
        <f t="shared" si="6"/>
        <v>2793144.7248395388</v>
      </c>
      <c r="G20" s="84">
        <f t="shared" si="6"/>
        <v>2671546.0698074466</v>
      </c>
      <c r="H20" s="84">
        <f t="shared" si="6"/>
        <v>2549947.4147753543</v>
      </c>
      <c r="I20" s="84">
        <f t="shared" si="6"/>
        <v>2428348.7597432621</v>
      </c>
      <c r="J20" s="84">
        <f t="shared" si="6"/>
        <v>2306750.1047111698</v>
      </c>
      <c r="K20" s="84">
        <f t="shared" si="6"/>
        <v>2185151.4496790776</v>
      </c>
      <c r="L20" s="84">
        <f t="shared" si="6"/>
        <v>2063552.7946469854</v>
      </c>
      <c r="M20" s="84">
        <f t="shared" si="6"/>
        <v>1941954.1396148931</v>
      </c>
      <c r="N20" s="84">
        <f>N18-N19</f>
        <v>1941954.1396148934</v>
      </c>
      <c r="O20" s="84">
        <f t="shared" ref="O20:Z20" si="7">N20+O18-O19</f>
        <v>1820355.4845828011</v>
      </c>
      <c r="P20" s="84">
        <f t="shared" si="7"/>
        <v>1698756.8295507089</v>
      </c>
      <c r="Q20" s="84">
        <f t="shared" si="7"/>
        <v>1577158.1745186166</v>
      </c>
      <c r="R20" s="84">
        <f t="shared" si="7"/>
        <v>1455559.5194865244</v>
      </c>
      <c r="S20" s="84">
        <f t="shared" si="7"/>
        <v>1333960.8644544322</v>
      </c>
      <c r="T20" s="84">
        <f>S20+T18-T19</f>
        <v>1286875.0944544321</v>
      </c>
      <c r="U20" s="84">
        <f t="shared" si="7"/>
        <v>1239789.3244544321</v>
      </c>
      <c r="V20" s="84">
        <f t="shared" si="7"/>
        <v>1192703.5544544321</v>
      </c>
      <c r="W20" s="84">
        <f t="shared" si="7"/>
        <v>1145617.7844544321</v>
      </c>
      <c r="X20" s="84">
        <f t="shared" si="7"/>
        <v>1098532.0144544321</v>
      </c>
      <c r="Y20" s="84">
        <f t="shared" si="7"/>
        <v>1051446.244454432</v>
      </c>
      <c r="Z20" s="84">
        <f t="shared" si="7"/>
        <v>1004360.474454432</v>
      </c>
      <c r="AA20" s="84">
        <f>N20+AA18-AA19</f>
        <v>1004360.4744544323</v>
      </c>
      <c r="AB20" s="84">
        <f>AA20+AB18-AB19</f>
        <v>521590.47445443226</v>
      </c>
      <c r="AC20" s="84">
        <f>AB20+AC18-AC19</f>
        <v>521590.47445443226</v>
      </c>
      <c r="AD20" s="84">
        <f>AC20+AD18-AD19</f>
        <v>521590.47445443226</v>
      </c>
    </row>
    <row r="21" spans="1:30" x14ac:dyDescent="0.2">
      <c r="A21" s="199"/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16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16"/>
      <c r="AB21" s="207"/>
      <c r="AC21" s="207"/>
      <c r="AD21" s="207"/>
    </row>
    <row r="22" spans="1:30" x14ac:dyDescent="0.2">
      <c r="A22" s="166" t="s">
        <v>138</v>
      </c>
      <c r="B22" s="215">
        <v>0</v>
      </c>
      <c r="C22" s="215">
        <v>0</v>
      </c>
      <c r="D22" s="215">
        <v>0</v>
      </c>
      <c r="E22" s="215">
        <v>0</v>
      </c>
      <c r="F22" s="215">
        <v>0</v>
      </c>
      <c r="G22" s="215">
        <v>0</v>
      </c>
      <c r="H22" s="215">
        <v>0</v>
      </c>
      <c r="I22" s="215">
        <v>0</v>
      </c>
      <c r="J22" s="215">
        <v>0</v>
      </c>
      <c r="K22" s="215">
        <v>0</v>
      </c>
      <c r="L22" s="215">
        <v>0</v>
      </c>
      <c r="M22" s="215">
        <v>0</v>
      </c>
      <c r="N22" s="216">
        <f>SUM(B22:M22)</f>
        <v>0</v>
      </c>
      <c r="O22" s="215">
        <v>0</v>
      </c>
      <c r="P22" s="215">
        <v>0</v>
      </c>
      <c r="Q22" s="215">
        <v>0</v>
      </c>
      <c r="R22" s="215">
        <v>0</v>
      </c>
      <c r="S22" s="215">
        <v>0</v>
      </c>
      <c r="T22" s="215">
        <v>0</v>
      </c>
      <c r="U22" s="215">
        <v>0</v>
      </c>
      <c r="V22" s="215">
        <v>0</v>
      </c>
      <c r="W22" s="215">
        <v>0</v>
      </c>
      <c r="X22" s="215">
        <v>0</v>
      </c>
      <c r="Y22" s="215">
        <v>0</v>
      </c>
      <c r="Z22" s="215">
        <v>0</v>
      </c>
      <c r="AA22" s="216">
        <f>SUM(O22:Z22)</f>
        <v>0</v>
      </c>
      <c r="AB22" s="215">
        <v>0</v>
      </c>
      <c r="AC22" s="215">
        <v>0</v>
      </c>
      <c r="AD22" s="215">
        <v>0</v>
      </c>
    </row>
    <row r="23" spans="1:30" x14ac:dyDescent="0.2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</row>
    <row r="24" spans="1:30" x14ac:dyDescent="0.2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</row>
    <row r="25" spans="1:30" x14ac:dyDescent="0.2">
      <c r="A25" s="151" t="s">
        <v>153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</row>
    <row r="26" spans="1:30" x14ac:dyDescent="0.2">
      <c r="A26" s="166" t="s">
        <v>65</v>
      </c>
      <c r="B26" s="215">
        <v>0</v>
      </c>
      <c r="C26" s="215">
        <v>0</v>
      </c>
      <c r="D26" s="215">
        <v>0</v>
      </c>
      <c r="E26" s="215">
        <v>0</v>
      </c>
      <c r="F26" s="215">
        <v>0</v>
      </c>
      <c r="G26" s="215">
        <v>0</v>
      </c>
      <c r="H26" s="215">
        <v>0</v>
      </c>
      <c r="I26" s="215">
        <v>0</v>
      </c>
      <c r="J26" s="215">
        <v>0</v>
      </c>
      <c r="K26" s="215">
        <v>0</v>
      </c>
      <c r="L26" s="215">
        <v>0</v>
      </c>
      <c r="M26" s="215">
        <v>0</v>
      </c>
      <c r="N26" s="216">
        <f>SUM(B26:M26)</f>
        <v>0</v>
      </c>
      <c r="O26" s="215">
        <v>0</v>
      </c>
      <c r="P26" s="215">
        <v>0</v>
      </c>
      <c r="Q26" s="215">
        <v>0</v>
      </c>
      <c r="R26" s="215">
        <v>0</v>
      </c>
      <c r="S26" s="215">
        <v>0</v>
      </c>
      <c r="T26" s="215">
        <v>0</v>
      </c>
      <c r="U26" s="215">
        <v>0</v>
      </c>
      <c r="V26" s="215">
        <v>0</v>
      </c>
      <c r="W26" s="215">
        <v>0</v>
      </c>
      <c r="X26" s="215">
        <v>0</v>
      </c>
      <c r="Y26" s="215">
        <v>0</v>
      </c>
      <c r="Z26" s="215">
        <v>0</v>
      </c>
      <c r="AA26" s="216">
        <f>SUM(O26:Z26)</f>
        <v>0</v>
      </c>
      <c r="AB26" s="215">
        <v>0</v>
      </c>
      <c r="AC26" s="215">
        <v>0</v>
      </c>
      <c r="AD26" s="215">
        <v>0</v>
      </c>
    </row>
    <row r="27" spans="1:30" x14ac:dyDescent="0.2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</row>
    <row r="28" spans="1:30" x14ac:dyDescent="0.2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</row>
    <row r="29" spans="1:30" s="180" customFormat="1" ht="16.5" x14ac:dyDescent="0.25">
      <c r="A29" s="17" t="s">
        <v>141</v>
      </c>
      <c r="B29" s="230">
        <f t="shared" ref="B29:M29" si="8">B6+B10-B11-B14+B18-B19-B22+B26</f>
        <v>3279539.3449679078</v>
      </c>
      <c r="C29" s="17">
        <f t="shared" si="8"/>
        <v>-121598.65503209218</v>
      </c>
      <c r="D29" s="17">
        <f t="shared" si="8"/>
        <v>-121598.65503209218</v>
      </c>
      <c r="E29" s="17">
        <f t="shared" si="8"/>
        <v>-121598.65503209218</v>
      </c>
      <c r="F29" s="17">
        <f t="shared" si="8"/>
        <v>-121598.65503209218</v>
      </c>
      <c r="G29" s="17">
        <f t="shared" si="8"/>
        <v>-121598.65503209218</v>
      </c>
      <c r="H29" s="17">
        <f t="shared" si="8"/>
        <v>-121598.65503209218</v>
      </c>
      <c r="I29" s="17">
        <f t="shared" si="8"/>
        <v>-121598.65503209218</v>
      </c>
      <c r="J29" s="17">
        <f t="shared" si="8"/>
        <v>-121598.65503209218</v>
      </c>
      <c r="K29" s="17">
        <f t="shared" si="8"/>
        <v>-121598.65503209218</v>
      </c>
      <c r="L29" s="17">
        <f t="shared" si="8"/>
        <v>-121598.65503209218</v>
      </c>
      <c r="M29" s="17">
        <f t="shared" si="8"/>
        <v>-121598.65503209218</v>
      </c>
      <c r="N29" s="230">
        <f>SUM(B29:M29)</f>
        <v>1941954.1396148931</v>
      </c>
      <c r="O29" s="17">
        <f t="shared" ref="O29:Z29" si="9">O6+O10-O11-O14+O18-O19-O22+O26</f>
        <v>-121598.65503209218</v>
      </c>
      <c r="P29" s="17">
        <f t="shared" si="9"/>
        <v>-121598.65503209218</v>
      </c>
      <c r="Q29" s="17">
        <f t="shared" si="9"/>
        <v>-121598.65503209218</v>
      </c>
      <c r="R29" s="17">
        <f t="shared" si="9"/>
        <v>-121598.65503209218</v>
      </c>
      <c r="S29" s="17">
        <f t="shared" si="9"/>
        <v>-121598.65503209218</v>
      </c>
      <c r="T29" s="17">
        <f t="shared" si="9"/>
        <v>-47085.77</v>
      </c>
      <c r="U29" s="17">
        <f t="shared" si="9"/>
        <v>-47085.77</v>
      </c>
      <c r="V29" s="17">
        <f t="shared" si="9"/>
        <v>-47085.77</v>
      </c>
      <c r="W29" s="17">
        <f t="shared" si="9"/>
        <v>-47085.77</v>
      </c>
      <c r="X29" s="17">
        <f t="shared" si="9"/>
        <v>-47085.77</v>
      </c>
      <c r="Y29" s="17">
        <f t="shared" si="9"/>
        <v>-47085.77</v>
      </c>
      <c r="Z29" s="17">
        <f t="shared" si="9"/>
        <v>-47085.77</v>
      </c>
      <c r="AA29" s="17">
        <f>SUM(O29:Z29)</f>
        <v>-937593.6651604611</v>
      </c>
      <c r="AB29" s="17">
        <f>AB6+AB10-AB11-AB14+AB18-AB19-AB22+AB26</f>
        <v>-482770</v>
      </c>
      <c r="AC29" s="17">
        <f>AC6+AC10-AC11-AC14+AC18-AC19-AC22+AC26</f>
        <v>0</v>
      </c>
      <c r="AD29" s="17">
        <f>AD6+AD10-AD11-AD14+AD18-AD19-AD22+AD26</f>
        <v>0</v>
      </c>
    </row>
  </sheetData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64"/>
  <sheetViews>
    <sheetView showGridLines="0" workbookViewId="0">
      <pane xSplit="1" ySplit="1" topLeftCell="B8" activePane="bottomRight" state="frozen"/>
      <selection activeCell="G19" sqref="G19"/>
      <selection pane="topRight" activeCell="G19" sqref="G19"/>
      <selection pane="bottomLeft" activeCell="G19" sqref="G19"/>
      <selection pane="bottomRight" activeCell="A17" sqref="A17"/>
    </sheetView>
  </sheetViews>
  <sheetFormatPr baseColWidth="10" defaultColWidth="9.140625" defaultRowHeight="12.75" x14ac:dyDescent="0.2"/>
  <cols>
    <col min="1" max="1" width="42.85546875" customWidth="1"/>
    <col min="2" max="14" width="13.28515625" customWidth="1"/>
    <col min="15" max="15" width="13.28515625" style="178" customWidth="1"/>
    <col min="16" max="30" width="13.28515625" customWidth="1"/>
    <col min="31" max="31" width="11.7109375" customWidth="1"/>
  </cols>
  <sheetData>
    <row r="1" spans="1:31" ht="15.75" customHeight="1" x14ac:dyDescent="0.25">
      <c r="A1" s="213" t="str">
        <f>"VALORES DE INICIO (" &amp; Introducción!E17 &amp; ")"</f>
        <v>VALORES DE INICIO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AA1+1</f>
        <v>2024</v>
      </c>
      <c r="AC1" s="69">
        <f>AB1+1</f>
        <v>2025</v>
      </c>
      <c r="AD1" s="69">
        <f>AC1+1</f>
        <v>2026</v>
      </c>
      <c r="AE1" s="210"/>
    </row>
    <row r="4" spans="1:31" s="142" customFormat="1" ht="18" x14ac:dyDescent="0.25">
      <c r="A4" s="136" t="s">
        <v>80</v>
      </c>
      <c r="B4" s="202"/>
      <c r="O4" s="24"/>
    </row>
    <row r="6" spans="1:31" x14ac:dyDescent="0.2">
      <c r="A6" s="39" t="s">
        <v>154</v>
      </c>
      <c r="B6" s="204">
        <v>10000</v>
      </c>
    </row>
    <row r="7" spans="1:31" x14ac:dyDescent="0.2">
      <c r="A7" s="39" t="s">
        <v>112</v>
      </c>
      <c r="B7" s="204">
        <v>0</v>
      </c>
    </row>
    <row r="8" spans="1:31" x14ac:dyDescent="0.2">
      <c r="A8" s="39" t="s">
        <v>25</v>
      </c>
      <c r="B8" s="204">
        <v>0</v>
      </c>
    </row>
    <row r="9" spans="1:31" x14ac:dyDescent="0.2">
      <c r="A9" s="39" t="s">
        <v>222</v>
      </c>
      <c r="B9" s="204">
        <v>0</v>
      </c>
    </row>
    <row r="10" spans="1:31" x14ac:dyDescent="0.2">
      <c r="A10" s="39" t="s">
        <v>176</v>
      </c>
      <c r="B10" s="204">
        <v>0</v>
      </c>
    </row>
    <row r="11" spans="1:31" x14ac:dyDescent="0.2">
      <c r="A11" s="86" t="s">
        <v>95</v>
      </c>
      <c r="B11" s="86">
        <f>SUM(B6:B10)</f>
        <v>10000</v>
      </c>
    </row>
    <row r="12" spans="1:31" x14ac:dyDescent="0.2">
      <c r="A12" s="39"/>
      <c r="B12" s="39"/>
    </row>
    <row r="13" spans="1:31" x14ac:dyDescent="0.2">
      <c r="A13" s="39" t="s">
        <v>76</v>
      </c>
      <c r="B13" s="204">
        <v>218448</v>
      </c>
    </row>
    <row r="14" spans="1:31" x14ac:dyDescent="0.2">
      <c r="A14" s="103" t="s">
        <v>193</v>
      </c>
      <c r="B14" s="204">
        <v>0</v>
      </c>
    </row>
    <row r="15" spans="1:31" x14ac:dyDescent="0.2">
      <c r="A15" s="86" t="s">
        <v>111</v>
      </c>
      <c r="B15" s="86">
        <f>B13-B14</f>
        <v>218448</v>
      </c>
    </row>
    <row r="16" spans="1:31" ht="15" x14ac:dyDescent="0.25">
      <c r="A16" s="174" t="s">
        <v>75</v>
      </c>
      <c r="B16" s="174">
        <f>B11+B15</f>
        <v>228448</v>
      </c>
    </row>
    <row r="17" spans="1:15" x14ac:dyDescent="0.2">
      <c r="A17" s="165"/>
      <c r="B17" s="102"/>
    </row>
    <row r="18" spans="1:15" x14ac:dyDescent="0.2">
      <c r="A18" s="39" t="s">
        <v>131</v>
      </c>
      <c r="B18" s="204">
        <v>0</v>
      </c>
    </row>
    <row r="19" spans="1:15" x14ac:dyDescent="0.2">
      <c r="A19" s="39" t="s">
        <v>36</v>
      </c>
      <c r="B19" s="204">
        <v>0</v>
      </c>
    </row>
    <row r="20" spans="1:15" x14ac:dyDescent="0.2">
      <c r="A20" s="86" t="s">
        <v>216</v>
      </c>
      <c r="B20" s="86">
        <f>SUM(B18:B19)</f>
        <v>0</v>
      </c>
    </row>
    <row r="21" spans="1:15" x14ac:dyDescent="0.2">
      <c r="A21" s="39"/>
      <c r="B21" s="39"/>
    </row>
    <row r="22" spans="1:15" x14ac:dyDescent="0.2">
      <c r="A22" s="39" t="s">
        <v>23</v>
      </c>
      <c r="B22" s="204">
        <v>0</v>
      </c>
    </row>
    <row r="23" spans="1:15" x14ac:dyDescent="0.2">
      <c r="A23" s="86" t="s">
        <v>218</v>
      </c>
      <c r="B23" s="86">
        <f>B22</f>
        <v>0</v>
      </c>
    </row>
    <row r="24" spans="1:15" x14ac:dyDescent="0.2">
      <c r="A24" s="39"/>
      <c r="B24" s="39"/>
    </row>
    <row r="25" spans="1:15" x14ac:dyDescent="0.2">
      <c r="A25" s="39" t="s">
        <v>210</v>
      </c>
      <c r="B25" s="204">
        <v>0</v>
      </c>
    </row>
    <row r="26" spans="1:15" x14ac:dyDescent="0.2">
      <c r="A26" s="39" t="s">
        <v>50</v>
      </c>
      <c r="B26" s="204">
        <v>0</v>
      </c>
    </row>
    <row r="27" spans="1:15" x14ac:dyDescent="0.2">
      <c r="A27" s="39" t="s">
        <v>214</v>
      </c>
      <c r="B27" s="139">
        <f>B16-B20-B23-B25-B26</f>
        <v>228448</v>
      </c>
    </row>
    <row r="28" spans="1:15" x14ac:dyDescent="0.2">
      <c r="A28" s="86" t="s">
        <v>117</v>
      </c>
      <c r="B28" s="86">
        <f>SUM(B25:B27)</f>
        <v>228448</v>
      </c>
    </row>
    <row r="29" spans="1:15" ht="15" x14ac:dyDescent="0.25">
      <c r="A29" s="174" t="s">
        <v>186</v>
      </c>
      <c r="B29" s="174">
        <f>B20+B23+B28</f>
        <v>228448</v>
      </c>
    </row>
    <row r="30" spans="1:15" s="16" customFormat="1" x14ac:dyDescent="0.2">
      <c r="A30" s="169"/>
      <c r="B30" s="121"/>
      <c r="O30" s="133"/>
    </row>
    <row r="31" spans="1:15" s="16" customFormat="1" x14ac:dyDescent="0.2">
      <c r="A31" s="169"/>
      <c r="B31" s="121"/>
      <c r="O31" s="133"/>
    </row>
    <row r="33" spans="1:30" s="142" customFormat="1" ht="18" x14ac:dyDescent="0.25">
      <c r="A33" s="136" t="s">
        <v>32</v>
      </c>
      <c r="B33" s="202"/>
      <c r="O33" s="24"/>
    </row>
    <row r="35" spans="1:30" x14ac:dyDescent="0.2">
      <c r="A35" s="43" t="s">
        <v>112</v>
      </c>
    </row>
    <row r="36" spans="1:30" x14ac:dyDescent="0.2">
      <c r="A36" s="154" t="s">
        <v>177</v>
      </c>
      <c r="B36" s="101">
        <f>B7</f>
        <v>0</v>
      </c>
    </row>
    <row r="37" spans="1:30" x14ac:dyDescent="0.2">
      <c r="A37" s="154" t="s">
        <v>167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23">
        <f>SUM(B37:M37)</f>
        <v>0</v>
      </c>
      <c r="O37" s="204">
        <v>0</v>
      </c>
      <c r="P37" s="204">
        <v>0</v>
      </c>
      <c r="Q37" s="204">
        <v>0</v>
      </c>
      <c r="R37" s="204">
        <v>0</v>
      </c>
      <c r="S37" s="204">
        <v>0</v>
      </c>
      <c r="T37" s="204">
        <v>0</v>
      </c>
      <c r="U37" s="204">
        <v>0</v>
      </c>
      <c r="V37" s="204">
        <v>0</v>
      </c>
      <c r="W37" s="204">
        <v>0</v>
      </c>
      <c r="X37" s="204">
        <v>0</v>
      </c>
      <c r="Y37" s="204">
        <v>0</v>
      </c>
      <c r="Z37" s="204">
        <v>0</v>
      </c>
      <c r="AA37" s="223">
        <f>SUM(O37:Z37)</f>
        <v>0</v>
      </c>
      <c r="AB37" s="204">
        <v>0</v>
      </c>
      <c r="AC37" s="204">
        <v>0</v>
      </c>
      <c r="AD37" s="204">
        <v>0</v>
      </c>
    </row>
    <row r="38" spans="1:30" x14ac:dyDescent="0.2">
      <c r="A38" s="154" t="s">
        <v>145</v>
      </c>
      <c r="B38" s="101">
        <f>B36-B37</f>
        <v>0</v>
      </c>
      <c r="C38" s="101">
        <f t="shared" ref="C38:M38" si="2">B38-C37</f>
        <v>0</v>
      </c>
      <c r="D38" s="101">
        <f t="shared" si="2"/>
        <v>0</v>
      </c>
      <c r="E38" s="101">
        <f t="shared" si="2"/>
        <v>0</v>
      </c>
      <c r="F38" s="101">
        <f t="shared" si="2"/>
        <v>0</v>
      </c>
      <c r="G38" s="101">
        <f t="shared" si="2"/>
        <v>0</v>
      </c>
      <c r="H38" s="101">
        <f t="shared" si="2"/>
        <v>0</v>
      </c>
      <c r="I38" s="101">
        <f t="shared" si="2"/>
        <v>0</v>
      </c>
      <c r="J38" s="101">
        <f t="shared" si="2"/>
        <v>0</v>
      </c>
      <c r="K38" s="101">
        <f t="shared" si="2"/>
        <v>0</v>
      </c>
      <c r="L38" s="101">
        <f t="shared" si="2"/>
        <v>0</v>
      </c>
      <c r="M38" s="101">
        <f t="shared" si="2"/>
        <v>0</v>
      </c>
      <c r="N38" s="101">
        <f>M38</f>
        <v>0</v>
      </c>
      <c r="O38" s="101">
        <f t="shared" ref="O38:Z38" si="3">N38-O37</f>
        <v>0</v>
      </c>
      <c r="P38" s="101">
        <f t="shared" si="3"/>
        <v>0</v>
      </c>
      <c r="Q38" s="101">
        <f t="shared" si="3"/>
        <v>0</v>
      </c>
      <c r="R38" s="101">
        <f t="shared" si="3"/>
        <v>0</v>
      </c>
      <c r="S38" s="101">
        <f t="shared" si="3"/>
        <v>0</v>
      </c>
      <c r="T38" s="101">
        <f t="shared" si="3"/>
        <v>0</v>
      </c>
      <c r="U38" s="101">
        <f t="shared" si="3"/>
        <v>0</v>
      </c>
      <c r="V38" s="101">
        <f t="shared" si="3"/>
        <v>0</v>
      </c>
      <c r="W38" s="101">
        <f t="shared" si="3"/>
        <v>0</v>
      </c>
      <c r="X38" s="101">
        <f t="shared" si="3"/>
        <v>0</v>
      </c>
      <c r="Y38" s="101">
        <f t="shared" si="3"/>
        <v>0</v>
      </c>
      <c r="Z38" s="101">
        <f t="shared" si="3"/>
        <v>0</v>
      </c>
      <c r="AA38" s="101">
        <f>Z38</f>
        <v>0</v>
      </c>
      <c r="AB38" s="101">
        <f>AA38-AB37</f>
        <v>0</v>
      </c>
      <c r="AC38" s="101">
        <f>AB38-AC37</f>
        <v>0</v>
      </c>
      <c r="AD38" s="101">
        <f>AC38-AD37</f>
        <v>0</v>
      </c>
    </row>
    <row r="41" spans="1:30" x14ac:dyDescent="0.2">
      <c r="A41" s="43" t="s">
        <v>52</v>
      </c>
    </row>
    <row r="42" spans="1:30" x14ac:dyDescent="0.2">
      <c r="A42" s="154" t="s">
        <v>182</v>
      </c>
      <c r="B42" s="101">
        <f>B15</f>
        <v>218448</v>
      </c>
    </row>
    <row r="43" spans="1:30" x14ac:dyDescent="0.2">
      <c r="A43" s="154" t="s">
        <v>89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23">
        <f>SUM(B43:M43)</f>
        <v>0</v>
      </c>
      <c r="O43" s="204">
        <v>0</v>
      </c>
      <c r="P43" s="204">
        <v>0</v>
      </c>
      <c r="Q43" s="204">
        <v>0</v>
      </c>
      <c r="R43" s="204">
        <v>0</v>
      </c>
      <c r="S43" s="204">
        <v>0</v>
      </c>
      <c r="T43" s="204">
        <v>0</v>
      </c>
      <c r="U43" s="204">
        <v>0</v>
      </c>
      <c r="V43" s="204">
        <v>0</v>
      </c>
      <c r="W43" s="204">
        <v>0</v>
      </c>
      <c r="X43" s="204">
        <v>0</v>
      </c>
      <c r="Y43" s="204">
        <v>0</v>
      </c>
      <c r="Z43" s="204">
        <v>0</v>
      </c>
      <c r="AA43" s="223">
        <f>SUM(O43:Z43)</f>
        <v>0</v>
      </c>
      <c r="AB43" s="204">
        <v>0</v>
      </c>
      <c r="AC43" s="204">
        <v>0</v>
      </c>
      <c r="AD43" s="204">
        <v>0</v>
      </c>
    </row>
    <row r="44" spans="1:30" s="90" customFormat="1" x14ac:dyDescent="0.2">
      <c r="A44" s="192" t="s">
        <v>58</v>
      </c>
      <c r="B44" s="139">
        <f>B42-B43</f>
        <v>218448</v>
      </c>
      <c r="C44" s="139">
        <f t="shared" ref="C44:M44" si="4">B44-C43</f>
        <v>218448</v>
      </c>
      <c r="D44" s="139">
        <f t="shared" si="4"/>
        <v>218448</v>
      </c>
      <c r="E44" s="139">
        <f t="shared" si="4"/>
        <v>218448</v>
      </c>
      <c r="F44" s="139">
        <f t="shared" si="4"/>
        <v>218448</v>
      </c>
      <c r="G44" s="139">
        <f t="shared" si="4"/>
        <v>218448</v>
      </c>
      <c r="H44" s="139">
        <f t="shared" si="4"/>
        <v>218448</v>
      </c>
      <c r="I44" s="139">
        <f t="shared" si="4"/>
        <v>218448</v>
      </c>
      <c r="J44" s="139">
        <f t="shared" si="4"/>
        <v>218448</v>
      </c>
      <c r="K44" s="139">
        <f t="shared" si="4"/>
        <v>218448</v>
      </c>
      <c r="L44" s="139">
        <f t="shared" si="4"/>
        <v>218448</v>
      </c>
      <c r="M44" s="139">
        <f t="shared" si="4"/>
        <v>218448</v>
      </c>
      <c r="N44" s="139">
        <f>M44</f>
        <v>218448</v>
      </c>
      <c r="O44" s="139">
        <f t="shared" ref="O44:Z44" si="5">N44-O43</f>
        <v>218448</v>
      </c>
      <c r="P44" s="139">
        <f t="shared" si="5"/>
        <v>218448</v>
      </c>
      <c r="Q44" s="139">
        <f t="shared" si="5"/>
        <v>218448</v>
      </c>
      <c r="R44" s="139">
        <f t="shared" si="5"/>
        <v>218448</v>
      </c>
      <c r="S44" s="139">
        <f t="shared" si="5"/>
        <v>218448</v>
      </c>
      <c r="T44" s="139">
        <f t="shared" si="5"/>
        <v>218448</v>
      </c>
      <c r="U44" s="139">
        <f t="shared" si="5"/>
        <v>218448</v>
      </c>
      <c r="V44" s="139">
        <f t="shared" si="5"/>
        <v>218448</v>
      </c>
      <c r="W44" s="139">
        <f t="shared" si="5"/>
        <v>218448</v>
      </c>
      <c r="X44" s="139">
        <f t="shared" si="5"/>
        <v>218448</v>
      </c>
      <c r="Y44" s="139">
        <f t="shared" si="5"/>
        <v>218448</v>
      </c>
      <c r="Z44" s="139">
        <f t="shared" si="5"/>
        <v>218448</v>
      </c>
      <c r="AA44" s="139">
        <f>Z44</f>
        <v>218448</v>
      </c>
      <c r="AB44" s="139">
        <f>AA44-AB43</f>
        <v>218448</v>
      </c>
      <c r="AC44" s="139">
        <f>AB44-AC43</f>
        <v>218448</v>
      </c>
      <c r="AD44" s="139">
        <f>AC44-AD43</f>
        <v>218448</v>
      </c>
    </row>
    <row r="47" spans="1:30" x14ac:dyDescent="0.2">
      <c r="A47" s="43" t="s">
        <v>131</v>
      </c>
    </row>
    <row r="48" spans="1:30" x14ac:dyDescent="0.2">
      <c r="A48" s="154" t="s">
        <v>1</v>
      </c>
      <c r="B48" s="101">
        <f>B18</f>
        <v>0</v>
      </c>
    </row>
    <row r="49" spans="1:30" x14ac:dyDescent="0.2">
      <c r="A49" s="154" t="s">
        <v>132</v>
      </c>
      <c r="B49" s="204">
        <v>0</v>
      </c>
      <c r="C49" s="204">
        <v>0</v>
      </c>
      <c r="D49" s="204">
        <v>0</v>
      </c>
      <c r="E49" s="204">
        <v>0</v>
      </c>
      <c r="F49" s="204">
        <v>0</v>
      </c>
      <c r="G49" s="204">
        <v>0</v>
      </c>
      <c r="H49" s="204">
        <v>0</v>
      </c>
      <c r="I49" s="204">
        <v>0</v>
      </c>
      <c r="J49" s="204">
        <v>0</v>
      </c>
      <c r="K49" s="204">
        <v>0</v>
      </c>
      <c r="L49" s="204">
        <v>0</v>
      </c>
      <c r="M49" s="204">
        <v>0</v>
      </c>
      <c r="N49" s="223">
        <f>SUM(B49:M49)</f>
        <v>0</v>
      </c>
      <c r="O49" s="204">
        <v>0</v>
      </c>
      <c r="P49" s="204">
        <v>0</v>
      </c>
      <c r="Q49" s="204">
        <v>0</v>
      </c>
      <c r="R49" s="204">
        <v>0</v>
      </c>
      <c r="S49" s="204">
        <v>0</v>
      </c>
      <c r="T49" s="204">
        <v>0</v>
      </c>
      <c r="U49" s="204">
        <v>0</v>
      </c>
      <c r="V49" s="204">
        <v>0</v>
      </c>
      <c r="W49" s="204">
        <v>0</v>
      </c>
      <c r="X49" s="204">
        <v>0</v>
      </c>
      <c r="Y49" s="204">
        <v>0</v>
      </c>
      <c r="Z49" s="204">
        <v>0</v>
      </c>
      <c r="AA49" s="223">
        <f>SUM(O49:Z49)</f>
        <v>0</v>
      </c>
      <c r="AB49" s="204">
        <v>0</v>
      </c>
      <c r="AC49" s="204">
        <v>0</v>
      </c>
      <c r="AD49" s="204">
        <v>0</v>
      </c>
    </row>
    <row r="50" spans="1:30" x14ac:dyDescent="0.2">
      <c r="A50" s="154" t="s">
        <v>231</v>
      </c>
      <c r="B50" s="101">
        <f>B48-SUM(B49:B49)</f>
        <v>0</v>
      </c>
      <c r="C50" s="101">
        <f t="shared" ref="C50:M50" si="6">B50-C49</f>
        <v>0</v>
      </c>
      <c r="D50" s="101">
        <f t="shared" si="6"/>
        <v>0</v>
      </c>
      <c r="E50" s="101">
        <f t="shared" si="6"/>
        <v>0</v>
      </c>
      <c r="F50" s="101">
        <f t="shared" si="6"/>
        <v>0</v>
      </c>
      <c r="G50" s="101">
        <f t="shared" si="6"/>
        <v>0</v>
      </c>
      <c r="H50" s="101">
        <f t="shared" si="6"/>
        <v>0</v>
      </c>
      <c r="I50" s="101">
        <f t="shared" si="6"/>
        <v>0</v>
      </c>
      <c r="J50" s="101">
        <f t="shared" si="6"/>
        <v>0</v>
      </c>
      <c r="K50" s="101">
        <f t="shared" si="6"/>
        <v>0</v>
      </c>
      <c r="L50" s="101">
        <f t="shared" si="6"/>
        <v>0</v>
      </c>
      <c r="M50" s="101">
        <f t="shared" si="6"/>
        <v>0</v>
      </c>
      <c r="N50" s="101">
        <f>M50</f>
        <v>0</v>
      </c>
      <c r="O50" s="101">
        <f t="shared" ref="O50:Z50" si="7">N50-O49</f>
        <v>0</v>
      </c>
      <c r="P50" s="101">
        <f t="shared" si="7"/>
        <v>0</v>
      </c>
      <c r="Q50" s="101">
        <f t="shared" si="7"/>
        <v>0</v>
      </c>
      <c r="R50" s="101">
        <f t="shared" si="7"/>
        <v>0</v>
      </c>
      <c r="S50" s="101">
        <f t="shared" si="7"/>
        <v>0</v>
      </c>
      <c r="T50" s="101">
        <f t="shared" si="7"/>
        <v>0</v>
      </c>
      <c r="U50" s="101">
        <f t="shared" si="7"/>
        <v>0</v>
      </c>
      <c r="V50" s="101">
        <f t="shared" si="7"/>
        <v>0</v>
      </c>
      <c r="W50" s="101">
        <f t="shared" si="7"/>
        <v>0</v>
      </c>
      <c r="X50" s="101">
        <f t="shared" si="7"/>
        <v>0</v>
      </c>
      <c r="Y50" s="101">
        <f t="shared" si="7"/>
        <v>0</v>
      </c>
      <c r="Z50" s="101">
        <f t="shared" si="7"/>
        <v>0</v>
      </c>
      <c r="AA50" s="101">
        <f>Z50</f>
        <v>0</v>
      </c>
      <c r="AB50" s="101">
        <f>AA50-AB49</f>
        <v>0</v>
      </c>
      <c r="AC50" s="101">
        <f>AB50-AC49</f>
        <v>0</v>
      </c>
      <c r="AD50" s="101">
        <f>AC50-AD49</f>
        <v>0</v>
      </c>
    </row>
    <row r="53" spans="1:30" x14ac:dyDescent="0.2">
      <c r="A53" s="43" t="s">
        <v>36</v>
      </c>
    </row>
    <row r="54" spans="1:30" x14ac:dyDescent="0.2">
      <c r="A54" s="154" t="s">
        <v>137</v>
      </c>
      <c r="B54" s="101">
        <f>B19</f>
        <v>0</v>
      </c>
    </row>
    <row r="55" spans="1:30" x14ac:dyDescent="0.2">
      <c r="A55" s="154" t="s">
        <v>239</v>
      </c>
      <c r="B55" s="204">
        <v>0</v>
      </c>
      <c r="C55" s="204">
        <v>0</v>
      </c>
      <c r="D55" s="204">
        <v>0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23">
        <f>SUM(B55:M55)</f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4">
        <v>0</v>
      </c>
      <c r="W55" s="204">
        <v>0</v>
      </c>
      <c r="X55" s="204">
        <v>0</v>
      </c>
      <c r="Y55" s="204">
        <v>0</v>
      </c>
      <c r="Z55" s="204">
        <v>0</v>
      </c>
      <c r="AA55" s="223">
        <f>SUM(O55:Z55)</f>
        <v>0</v>
      </c>
      <c r="AB55" s="204">
        <v>0</v>
      </c>
      <c r="AC55" s="204">
        <v>0</v>
      </c>
      <c r="AD55" s="204">
        <v>0</v>
      </c>
    </row>
    <row r="56" spans="1:30" x14ac:dyDescent="0.2">
      <c r="A56" s="154" t="s">
        <v>138</v>
      </c>
      <c r="B56" s="204">
        <v>0</v>
      </c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23">
        <f>SUM(B56:M56)</f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23">
        <f>SUM(O56:Z56)</f>
        <v>0</v>
      </c>
      <c r="AB56" s="204">
        <v>0</v>
      </c>
      <c r="AC56" s="204">
        <v>0</v>
      </c>
      <c r="AD56" s="204">
        <v>0</v>
      </c>
    </row>
    <row r="57" spans="1:30" s="90" customFormat="1" x14ac:dyDescent="0.2">
      <c r="A57" s="192" t="s">
        <v>27</v>
      </c>
      <c r="B57" s="139">
        <f>B54-B55</f>
        <v>0</v>
      </c>
      <c r="C57" s="139">
        <f t="shared" ref="C57:M57" si="8">B57-C55</f>
        <v>0</v>
      </c>
      <c r="D57" s="139">
        <f t="shared" si="8"/>
        <v>0</v>
      </c>
      <c r="E57" s="139">
        <f t="shared" si="8"/>
        <v>0</v>
      </c>
      <c r="F57" s="139">
        <f t="shared" si="8"/>
        <v>0</v>
      </c>
      <c r="G57" s="139">
        <f t="shared" si="8"/>
        <v>0</v>
      </c>
      <c r="H57" s="139">
        <f t="shared" si="8"/>
        <v>0</v>
      </c>
      <c r="I57" s="139">
        <f t="shared" si="8"/>
        <v>0</v>
      </c>
      <c r="J57" s="139">
        <f t="shared" si="8"/>
        <v>0</v>
      </c>
      <c r="K57" s="139">
        <f t="shared" si="8"/>
        <v>0</v>
      </c>
      <c r="L57" s="139">
        <f t="shared" si="8"/>
        <v>0</v>
      </c>
      <c r="M57" s="139">
        <f t="shared" si="8"/>
        <v>0</v>
      </c>
      <c r="N57" s="139">
        <f>M57</f>
        <v>0</v>
      </c>
      <c r="O57" s="139">
        <f t="shared" ref="O57:Z57" si="9">N57-O55</f>
        <v>0</v>
      </c>
      <c r="P57" s="139">
        <f t="shared" si="9"/>
        <v>0</v>
      </c>
      <c r="Q57" s="139">
        <f t="shared" si="9"/>
        <v>0</v>
      </c>
      <c r="R57" s="139">
        <f t="shared" si="9"/>
        <v>0</v>
      </c>
      <c r="S57" s="139">
        <f t="shared" si="9"/>
        <v>0</v>
      </c>
      <c r="T57" s="139">
        <f t="shared" si="9"/>
        <v>0</v>
      </c>
      <c r="U57" s="139">
        <f t="shared" si="9"/>
        <v>0</v>
      </c>
      <c r="V57" s="139">
        <f t="shared" si="9"/>
        <v>0</v>
      </c>
      <c r="W57" s="139">
        <f t="shared" si="9"/>
        <v>0</v>
      </c>
      <c r="X57" s="139">
        <f t="shared" si="9"/>
        <v>0</v>
      </c>
      <c r="Y57" s="139">
        <f t="shared" si="9"/>
        <v>0</v>
      </c>
      <c r="Z57" s="139">
        <f t="shared" si="9"/>
        <v>0</v>
      </c>
      <c r="AA57" s="139">
        <f>Z57</f>
        <v>0</v>
      </c>
      <c r="AB57" s="139">
        <f>AA57-AB55</f>
        <v>0</v>
      </c>
      <c r="AC57" s="139">
        <f>AB57-AC55</f>
        <v>0</v>
      </c>
      <c r="AD57" s="139">
        <f>AC57-AD55</f>
        <v>0</v>
      </c>
    </row>
    <row r="60" spans="1:30" x14ac:dyDescent="0.2">
      <c r="A60" s="43" t="s">
        <v>23</v>
      </c>
    </row>
    <row r="61" spans="1:30" x14ac:dyDescent="0.2">
      <c r="A61" s="154" t="s">
        <v>137</v>
      </c>
      <c r="B61" s="101">
        <f>B22</f>
        <v>0</v>
      </c>
    </row>
    <row r="62" spans="1:30" x14ac:dyDescent="0.2">
      <c r="A62" s="154" t="s">
        <v>239</v>
      </c>
      <c r="B62" s="204">
        <v>0</v>
      </c>
      <c r="C62" s="204">
        <v>0</v>
      </c>
      <c r="D62" s="204">
        <v>0</v>
      </c>
      <c r="E62" s="204">
        <v>0</v>
      </c>
      <c r="F62" s="204">
        <v>0</v>
      </c>
      <c r="G62" s="204">
        <v>0</v>
      </c>
      <c r="H62" s="204">
        <v>0</v>
      </c>
      <c r="I62" s="204">
        <v>0</v>
      </c>
      <c r="J62" s="204">
        <v>0</v>
      </c>
      <c r="K62" s="204">
        <v>0</v>
      </c>
      <c r="L62" s="204">
        <v>0</v>
      </c>
      <c r="M62" s="204">
        <v>0</v>
      </c>
      <c r="N62" s="223">
        <f>SUM(B62:M62)</f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4">
        <v>0</v>
      </c>
      <c r="W62" s="204">
        <v>0</v>
      </c>
      <c r="X62" s="204">
        <v>0</v>
      </c>
      <c r="Y62" s="204">
        <v>0</v>
      </c>
      <c r="Z62" s="204">
        <v>0</v>
      </c>
      <c r="AA62" s="223">
        <f>SUM(O62:Z62)</f>
        <v>0</v>
      </c>
      <c r="AB62" s="204">
        <v>0</v>
      </c>
      <c r="AC62" s="204">
        <v>0</v>
      </c>
      <c r="AD62" s="204">
        <v>0</v>
      </c>
    </row>
    <row r="63" spans="1:30" x14ac:dyDescent="0.2">
      <c r="A63" s="154" t="s">
        <v>138</v>
      </c>
      <c r="B63" s="204">
        <v>0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04">
        <v>0</v>
      </c>
      <c r="L63" s="204">
        <v>0</v>
      </c>
      <c r="M63" s="204">
        <v>0</v>
      </c>
      <c r="N63" s="223">
        <f>SUM(B63:M63)</f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4">
        <v>0</v>
      </c>
      <c r="W63" s="204">
        <v>0</v>
      </c>
      <c r="X63" s="204">
        <v>0</v>
      </c>
      <c r="Y63" s="204">
        <v>0</v>
      </c>
      <c r="Z63" s="204">
        <v>0</v>
      </c>
      <c r="AA63" s="223">
        <f>SUM(O63:Z63)</f>
        <v>0</v>
      </c>
      <c r="AB63" s="204">
        <v>0</v>
      </c>
      <c r="AC63" s="204">
        <v>0</v>
      </c>
      <c r="AD63" s="204">
        <v>0</v>
      </c>
    </row>
    <row r="64" spans="1:30" s="90" customFormat="1" x14ac:dyDescent="0.2">
      <c r="A64" s="192" t="s">
        <v>27</v>
      </c>
      <c r="B64" s="139">
        <f>B61-B62</f>
        <v>0</v>
      </c>
      <c r="C64" s="139">
        <f t="shared" ref="C64:M64" si="10">B64-C62</f>
        <v>0</v>
      </c>
      <c r="D64" s="139">
        <f t="shared" si="10"/>
        <v>0</v>
      </c>
      <c r="E64" s="139">
        <f t="shared" si="10"/>
        <v>0</v>
      </c>
      <c r="F64" s="139">
        <f t="shared" si="10"/>
        <v>0</v>
      </c>
      <c r="G64" s="139">
        <f t="shared" si="10"/>
        <v>0</v>
      </c>
      <c r="H64" s="139">
        <f t="shared" si="10"/>
        <v>0</v>
      </c>
      <c r="I64" s="139">
        <f t="shared" si="10"/>
        <v>0</v>
      </c>
      <c r="J64" s="139">
        <f t="shared" si="10"/>
        <v>0</v>
      </c>
      <c r="K64" s="139">
        <f t="shared" si="10"/>
        <v>0</v>
      </c>
      <c r="L64" s="139">
        <f t="shared" si="10"/>
        <v>0</v>
      </c>
      <c r="M64" s="139">
        <f t="shared" si="10"/>
        <v>0</v>
      </c>
      <c r="N64" s="139">
        <f>M64</f>
        <v>0</v>
      </c>
      <c r="O64" s="139">
        <f t="shared" ref="O64:Z64" si="11">N64-O62</f>
        <v>0</v>
      </c>
      <c r="P64" s="139">
        <f t="shared" si="11"/>
        <v>0</v>
      </c>
      <c r="Q64" s="139">
        <f t="shared" si="11"/>
        <v>0</v>
      </c>
      <c r="R64" s="139">
        <f t="shared" si="11"/>
        <v>0</v>
      </c>
      <c r="S64" s="139">
        <f t="shared" si="11"/>
        <v>0</v>
      </c>
      <c r="T64" s="139">
        <f t="shared" si="11"/>
        <v>0</v>
      </c>
      <c r="U64" s="139">
        <f t="shared" si="11"/>
        <v>0</v>
      </c>
      <c r="V64" s="139">
        <f t="shared" si="11"/>
        <v>0</v>
      </c>
      <c r="W64" s="139">
        <f t="shared" si="11"/>
        <v>0</v>
      </c>
      <c r="X64" s="139">
        <f t="shared" si="11"/>
        <v>0</v>
      </c>
      <c r="Y64" s="139">
        <f t="shared" si="11"/>
        <v>0</v>
      </c>
      <c r="Z64" s="139">
        <f t="shared" si="11"/>
        <v>0</v>
      </c>
      <c r="AA64" s="139">
        <f>Z64</f>
        <v>0</v>
      </c>
      <c r="AB64" s="139">
        <f>AA64-AB62</f>
        <v>0</v>
      </c>
      <c r="AC64" s="139">
        <f>AB64-AC62</f>
        <v>0</v>
      </c>
      <c r="AD64" s="139">
        <f>AC64-AD62</f>
        <v>0</v>
      </c>
    </row>
  </sheetData>
  <pageMargins left="0.7" right="0.7" top="0.75" bottom="0.7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98"/>
  <sheetViews>
    <sheetView showGridLines="0" showRowColHeaders="0" workbookViewId="0">
      <selection activeCell="F12" sqref="F12"/>
    </sheetView>
  </sheetViews>
  <sheetFormatPr baseColWidth="10" defaultColWidth="14.5703125" defaultRowHeight="14.25" customHeight="1" x14ac:dyDescent="0.2"/>
  <cols>
    <col min="1" max="1" width="2.7109375" style="116" customWidth="1"/>
    <col min="2" max="2" width="4.28515625" style="87" customWidth="1"/>
    <col min="3" max="3" width="50.7109375" style="87" customWidth="1"/>
    <col min="4" max="4" width="5.42578125" style="87" customWidth="1"/>
    <col min="5" max="5" width="38.7109375" style="87" customWidth="1"/>
    <col min="6" max="8" width="15.7109375" style="87" customWidth="1"/>
    <col min="9" max="26" width="15.7109375" style="128" customWidth="1"/>
    <col min="27" max="35" width="16.5703125" style="128" customWidth="1"/>
    <col min="36" max="16384" width="14.5703125" style="128"/>
  </cols>
  <sheetData>
    <row r="1" spans="2:13" s="185" customFormat="1" ht="28.5" x14ac:dyDescent="0.45">
      <c r="B1" s="217" t="str">
        <f>A98</f>
        <v>ANÁLISIS DEL NEGOCIO</v>
      </c>
      <c r="C1" s="206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2:13" s="221" customFormat="1" ht="6.75" customHeight="1" x14ac:dyDescent="0.4">
      <c r="B2" s="195"/>
      <c r="C2" s="46"/>
      <c r="D2" s="22"/>
      <c r="E2" s="137"/>
      <c r="F2" s="29"/>
      <c r="G2" s="226"/>
      <c r="H2" s="187"/>
      <c r="I2" s="187"/>
    </row>
    <row r="3" spans="2:13" s="123" customFormat="1" ht="14.25" customHeight="1" x14ac:dyDescent="0.25">
      <c r="B3" s="209" t="str">
        <f>CONCATENATE(A96,Introducción!E17)</f>
        <v>Los valores monetarios se encuentran expresados en Pesos</v>
      </c>
      <c r="C3" s="209"/>
      <c r="D3" s="79"/>
      <c r="E3" s="79"/>
      <c r="F3" s="79"/>
      <c r="G3" s="79"/>
      <c r="H3" s="79"/>
      <c r="I3" s="79"/>
    </row>
    <row r="4" spans="2:13" s="221" customFormat="1" ht="9" customHeight="1" x14ac:dyDescent="0.4">
      <c r="B4" s="195"/>
      <c r="C4" s="46"/>
      <c r="D4" s="22"/>
      <c r="E4" s="137"/>
      <c r="F4" s="29"/>
      <c r="G4" s="226"/>
      <c r="H4" s="187"/>
      <c r="I4" s="187"/>
    </row>
    <row r="5" spans="2:13" s="83" customFormat="1" ht="18.75" x14ac:dyDescent="0.3">
      <c r="B5" s="67" t="str">
        <f>A67</f>
        <v>GANANCIA TOTAL DEL NEGOCIO</v>
      </c>
      <c r="C5" s="200"/>
      <c r="D5" s="4"/>
      <c r="E5" s="141">
        <f>'Flujo de Caja'!AD40</f>
        <v>156522467.52629417</v>
      </c>
      <c r="G5" s="89"/>
      <c r="H5" s="34"/>
      <c r="I5" s="34"/>
    </row>
    <row r="6" spans="2:13" s="51" customFormat="1" ht="25.5" x14ac:dyDescent="0.2">
      <c r="B6" s="175"/>
      <c r="C6" s="225" t="str">
        <f>A68</f>
        <v>Representa la ganancia (o pérdida) que genera el negocio a lo largo de los 5 años.</v>
      </c>
      <c r="D6" s="225"/>
      <c r="E6" s="108"/>
      <c r="G6" s="57"/>
      <c r="H6" s="15"/>
      <c r="I6" s="15"/>
    </row>
    <row r="7" spans="2:13" s="221" customFormat="1" ht="9.75" customHeight="1" x14ac:dyDescent="0.4">
      <c r="B7" s="2"/>
      <c r="C7" s="88"/>
      <c r="D7" s="62"/>
      <c r="E7" s="182"/>
      <c r="F7" s="29"/>
      <c r="G7" s="226"/>
      <c r="H7" s="187"/>
      <c r="I7" s="187"/>
    </row>
    <row r="8" spans="2:13" s="83" customFormat="1" ht="20.100000000000001" customHeight="1" x14ac:dyDescent="0.3">
      <c r="B8" s="67" t="str">
        <f>A70</f>
        <v>FINANCIAMIENTO NECESARIO</v>
      </c>
      <c r="C8" s="200"/>
      <c r="D8" s="4"/>
      <c r="E8" s="104">
        <f>IF(MIN('Flujo de Caja'!B40:AD40)&gt;=0,A65,-MIN('Flujo de Caja'!B40:AD40))</f>
        <v>105580.76444444444</v>
      </c>
      <c r="G8" s="89"/>
      <c r="H8" s="34"/>
      <c r="I8" s="34"/>
    </row>
    <row r="9" spans="2:13" s="83" customFormat="1" ht="25.5" x14ac:dyDescent="0.3">
      <c r="B9" s="67"/>
      <c r="C9" s="27" t="str">
        <f>A71</f>
        <v>Representa el financiamiento que necesita el negocio para que en ningún momento tenga caja negativa.</v>
      </c>
      <c r="D9" s="4"/>
      <c r="E9" s="104"/>
      <c r="G9" s="89"/>
      <c r="H9" s="34"/>
      <c r="I9" s="34"/>
    </row>
    <row r="10" spans="2:13" s="221" customFormat="1" ht="11.25" customHeight="1" x14ac:dyDescent="0.4">
      <c r="B10" s="2"/>
      <c r="C10" s="88"/>
      <c r="D10" s="62"/>
      <c r="E10" s="145"/>
      <c r="F10" s="29"/>
      <c r="G10" s="226"/>
      <c r="H10" s="187"/>
      <c r="I10" s="187"/>
    </row>
    <row r="11" spans="2:13" s="83" customFormat="1" ht="20.100000000000001" customHeight="1" x14ac:dyDescent="0.3">
      <c r="B11" s="67" t="str">
        <f>A73</f>
        <v>MESES PARA PODER DEVOLVER EL FINANCIAMIENTO</v>
      </c>
      <c r="C11" s="200"/>
      <c r="D11" s="4"/>
      <c r="E11" s="56">
        <f>IF(MIN('Flujo de Caja'!B40:AD40)&gt;=0,"-",IF(SUM('Flujo de Caja'!B41:AD41)=60,"No se recupera la inversión",SUM('Flujo de Caja'!B41:AD41)))</f>
        <v>1</v>
      </c>
      <c r="G11" s="89"/>
      <c r="H11" s="34"/>
      <c r="I11" s="34"/>
    </row>
    <row r="12" spans="2:13" s="83" customFormat="1" ht="28.5" customHeight="1" x14ac:dyDescent="0.3">
      <c r="B12" s="67"/>
      <c r="C12" s="27" t="str">
        <f>A74</f>
        <v>Son los meses que necesita el negocio para estar en condiciones de devolver el financiamiento necesario.</v>
      </c>
      <c r="D12" s="4"/>
      <c r="E12" s="109"/>
      <c r="G12" s="89"/>
      <c r="H12" s="34"/>
      <c r="I12" s="34"/>
    </row>
    <row r="13" spans="2:13" s="221" customFormat="1" ht="20.100000000000001" customHeight="1" x14ac:dyDescent="0.4">
      <c r="B13" s="195"/>
      <c r="C13" s="46"/>
      <c r="D13" s="22"/>
      <c r="E13" s="137"/>
      <c r="F13" s="29"/>
      <c r="G13" s="226"/>
      <c r="H13" s="187"/>
      <c r="I13" s="187"/>
    </row>
    <row r="14" spans="2:13" s="83" customFormat="1" ht="20.100000000000001" customHeight="1" x14ac:dyDescent="0.3">
      <c r="B14" s="67" t="str">
        <f>A76</f>
        <v>RENTABILIDAD DEL NEGOCIO (TIR)</v>
      </c>
      <c r="C14" s="200"/>
      <c r="D14" s="4"/>
      <c r="E14" s="141"/>
      <c r="G14" s="89"/>
      <c r="H14" s="34"/>
      <c r="I14" s="34"/>
    </row>
    <row r="15" spans="2:13" s="51" customFormat="1" ht="36.75" customHeight="1" x14ac:dyDescent="0.2">
      <c r="B15" s="175"/>
      <c r="C15" s="225" t="str">
        <f t="shared" ref="C15:C23" si="0">A77</f>
        <v>La TIR (Tasa Interna de Retorno) es una fórmula que calcula la rentabilidad de un negocio en base a su flujo de caja.</v>
      </c>
      <c r="D15" s="225"/>
      <c r="E15" s="224"/>
      <c r="G15" s="57"/>
      <c r="H15" s="15"/>
      <c r="I15" s="15"/>
    </row>
    <row r="16" spans="2:13" s="163" customFormat="1" ht="15.75" x14ac:dyDescent="0.25">
      <c r="B16" s="67"/>
      <c r="C16" s="67" t="str">
        <f t="shared" si="0"/>
        <v>TIR sin perpetuidad</v>
      </c>
      <c r="D16" s="130"/>
      <c r="E16" s="125" t="str">
        <f>IF(ISERROR(IRR(G51:L51)),A66,IRR(G51:L51))</f>
        <v>No existe la TIR</v>
      </c>
      <c r="G16" s="171"/>
      <c r="H16" s="114"/>
      <c r="I16" s="114"/>
    </row>
    <row r="17" spans="2:9" s="51" customFormat="1" ht="12.75" x14ac:dyDescent="0.2">
      <c r="B17" s="26"/>
      <c r="C17" s="225" t="str">
        <f t="shared" si="0"/>
        <v>Considera que el flujo de caja del negocio finaliza al año 5.</v>
      </c>
      <c r="D17" s="21"/>
      <c r="E17" s="224"/>
      <c r="G17" s="57"/>
      <c r="H17" s="15"/>
      <c r="I17" s="15"/>
    </row>
    <row r="18" spans="2:9" s="163" customFormat="1" ht="19.5" customHeight="1" x14ac:dyDescent="0.25">
      <c r="B18" s="67"/>
      <c r="C18" s="67" t="str">
        <f t="shared" si="0"/>
        <v>TIR con perpetuidad</v>
      </c>
      <c r="D18" s="130"/>
      <c r="E18" s="125" t="str">
        <f>IF(ISERROR(IRR(G52:L52)),"",IRR(G52:L52))</f>
        <v/>
      </c>
      <c r="G18" s="171"/>
      <c r="H18" s="114"/>
      <c r="I18" s="114"/>
    </row>
    <row r="19" spans="2:9" s="51" customFormat="1" ht="32.25" customHeight="1" x14ac:dyDescent="0.2">
      <c r="B19" s="26"/>
      <c r="C19" s="225" t="str">
        <f t="shared" si="0"/>
        <v>Considera que el flujo de caja del año 5 se repite a perpetuidad en los años posteriores.</v>
      </c>
      <c r="D19" s="21"/>
      <c r="E19" s="224"/>
      <c r="G19" s="57"/>
      <c r="H19" s="15"/>
      <c r="I19" s="15"/>
    </row>
    <row r="20" spans="2:9" s="163" customFormat="1" ht="19.5" customHeight="1" x14ac:dyDescent="0.25">
      <c r="B20" s="67"/>
      <c r="C20" s="67" t="str">
        <f t="shared" si="0"/>
        <v>TIR ácida sin perpetuidad</v>
      </c>
      <c r="D20" s="130"/>
      <c r="E20" s="125">
        <f>IF(ISERROR(IRR(F53:L53)),"",IRR(F53:L53))</f>
        <v>94.000827407089417</v>
      </c>
      <c r="G20" s="171"/>
      <c r="H20" s="114"/>
      <c r="I20" s="114"/>
    </row>
    <row r="21" spans="2:9" s="51" customFormat="1" ht="38.25" x14ac:dyDescent="0.2">
      <c r="B21" s="26"/>
      <c r="C21" s="225" t="str">
        <f t="shared" si="0"/>
        <v>Considera: a) que las inversiones necesarias en cada año se realizan al inicio de ese año; y b) que el flujo de caja del negocio finaliza al año 5.</v>
      </c>
      <c r="D21" s="21"/>
      <c r="E21" s="224"/>
      <c r="G21" s="57"/>
      <c r="H21" s="15"/>
      <c r="I21" s="15"/>
    </row>
    <row r="22" spans="2:9" s="163" customFormat="1" ht="19.5" customHeight="1" x14ac:dyDescent="0.25">
      <c r="B22" s="67"/>
      <c r="C22" s="67" t="str">
        <f t="shared" si="0"/>
        <v>TIR ácida con perpetuidad</v>
      </c>
      <c r="D22" s="130"/>
      <c r="E22" s="125">
        <f>IF(ISERROR(IRR(F54:L54)),"",IRR(F54:L54))</f>
        <v>94.000827406960155</v>
      </c>
      <c r="G22" s="171"/>
      <c r="H22" s="114"/>
      <c r="I22" s="114"/>
    </row>
    <row r="23" spans="2:9" s="51" customFormat="1" ht="38.25" x14ac:dyDescent="0.2">
      <c r="B23" s="26"/>
      <c r="C23" s="225" t="str">
        <f t="shared" si="0"/>
        <v>Considera: a) que las inversiones necesarias en cada año se realizan al inicio de ese año; y b) que el flujo de caja del año 5 se repite a perpetuidad en los años posteriores.</v>
      </c>
      <c r="D23" s="21"/>
      <c r="E23" s="224"/>
      <c r="G23" s="57"/>
      <c r="H23" s="15"/>
      <c r="I23" s="15"/>
    </row>
    <row r="24" spans="2:9" s="221" customFormat="1" ht="20.100000000000001" customHeight="1" x14ac:dyDescent="0.4">
      <c r="B24" s="195"/>
      <c r="C24" s="46"/>
      <c r="D24" s="22"/>
      <c r="E24" s="137"/>
      <c r="F24" s="29"/>
      <c r="G24" s="226"/>
      <c r="H24" s="187"/>
      <c r="I24" s="187"/>
    </row>
    <row r="25" spans="2:9" s="83" customFormat="1" ht="18.75" x14ac:dyDescent="0.3">
      <c r="B25" s="67" t="str">
        <f>A87</f>
        <v>VALOR DEL NEGOCIO (VAN)</v>
      </c>
      <c r="C25" s="200"/>
      <c r="D25" s="141"/>
      <c r="E25" s="141"/>
      <c r="G25" s="89"/>
      <c r="H25" s="34"/>
      <c r="I25" s="34"/>
    </row>
    <row r="26" spans="2:9" s="51" customFormat="1" ht="38.25" x14ac:dyDescent="0.2">
      <c r="B26" s="175"/>
      <c r="C26" s="225" t="str">
        <f t="shared" ref="C26:C32" si="1">A88</f>
        <v>El VAN (Valor Actual Neto) es una fórmula que calcula el valor de un negocio en base a su flujo de caja y la tasa de descuento.</v>
      </c>
      <c r="D26" s="225"/>
      <c r="E26" s="108"/>
      <c r="G26" s="57"/>
      <c r="H26" s="15"/>
      <c r="I26" s="15"/>
    </row>
    <row r="27" spans="2:9" s="163" customFormat="1" ht="19.5" customHeight="1" x14ac:dyDescent="0.25">
      <c r="B27" s="67"/>
      <c r="C27" s="67" t="str">
        <f t="shared" si="1"/>
        <v>Tasa de descuento</v>
      </c>
      <c r="D27" s="130"/>
      <c r="E27" s="14">
        <v>0.4</v>
      </c>
      <c r="G27" s="171"/>
      <c r="H27" s="114"/>
      <c r="I27" s="114"/>
    </row>
    <row r="28" spans="2:9" s="51" customFormat="1" ht="25.5" x14ac:dyDescent="0.2">
      <c r="B28" s="26"/>
      <c r="C28" s="225" t="str">
        <f t="shared" si="1"/>
        <v>Es la tasa a la que se descuenta el flujo de caja para calcular el VAN.</v>
      </c>
      <c r="D28" s="21"/>
      <c r="E28" s="224"/>
      <c r="G28" s="57"/>
      <c r="H28" s="15"/>
      <c r="I28" s="15"/>
    </row>
    <row r="29" spans="2:9" s="163" customFormat="1" ht="19.5" customHeight="1" x14ac:dyDescent="0.25">
      <c r="B29" s="67"/>
      <c r="C29" s="67" t="str">
        <f t="shared" si="1"/>
        <v>VAN sin perpetuidad</v>
      </c>
      <c r="D29" s="130"/>
      <c r="E29" s="167">
        <f>NPV(E27,G50:K50)</f>
        <v>43544766.99062264</v>
      </c>
      <c r="G29" s="171"/>
      <c r="H29" s="114"/>
      <c r="I29" s="114"/>
    </row>
    <row r="30" spans="2:9" s="51" customFormat="1" ht="12.75" x14ac:dyDescent="0.2">
      <c r="B30" s="26"/>
      <c r="C30" s="225" t="str">
        <f t="shared" si="1"/>
        <v>Considera que el flujo de caja del negocio finaliza al año 5.</v>
      </c>
      <c r="D30" s="21"/>
      <c r="E30" s="224"/>
      <c r="G30" s="57"/>
      <c r="H30" s="15"/>
      <c r="I30" s="15"/>
    </row>
    <row r="31" spans="2:9" s="163" customFormat="1" ht="19.5" customHeight="1" x14ac:dyDescent="0.25">
      <c r="B31" s="67"/>
      <c r="C31" s="67" t="str">
        <f t="shared" si="1"/>
        <v>VAN con perpetuidad</v>
      </c>
      <c r="D31" s="130"/>
      <c r="E31" s="167">
        <f>NPV(E27,G50:L50)</f>
        <v>43544766.99062264</v>
      </c>
      <c r="G31" s="171"/>
      <c r="H31" s="114"/>
      <c r="I31" s="114"/>
    </row>
    <row r="32" spans="2:9" s="51" customFormat="1" ht="25.5" x14ac:dyDescent="0.2">
      <c r="B32" s="26"/>
      <c r="C32" s="225" t="str">
        <f t="shared" si="1"/>
        <v>Considera que el flujo de caja del año 5 se repite a perpetuidad en los años posteriores.</v>
      </c>
      <c r="D32" s="21"/>
      <c r="E32" s="30"/>
      <c r="G32" s="57"/>
      <c r="H32" s="15"/>
      <c r="I32" s="15"/>
    </row>
    <row r="34" spans="1:39" ht="14.25" customHeight="1" x14ac:dyDescent="0.35">
      <c r="B34" s="240"/>
      <c r="C34" s="240"/>
      <c r="D34" s="240"/>
      <c r="E34" s="13"/>
      <c r="G34" s="107"/>
      <c r="H34" s="58"/>
      <c r="I34" s="58"/>
      <c r="J34" s="58"/>
      <c r="K34" s="58"/>
      <c r="L34" s="58"/>
    </row>
    <row r="38" spans="1:39" s="35" customFormat="1" ht="15.75" hidden="1" x14ac:dyDescent="0.25">
      <c r="D38" s="97"/>
      <c r="E38" s="140"/>
      <c r="F38" s="8"/>
      <c r="G38" s="126">
        <f>'Flujo de Caja'!N1</f>
        <v>2022</v>
      </c>
      <c r="H38" s="126">
        <f>'Flujo de Caja'!AA1</f>
        <v>2023</v>
      </c>
      <c r="I38" s="126">
        <f>'Flujo de Caja'!AB1</f>
        <v>2024</v>
      </c>
      <c r="J38" s="126">
        <f>'Flujo de Caja'!AC1</f>
        <v>2025</v>
      </c>
      <c r="K38" s="126">
        <f>'Flujo de Caja'!AD1</f>
        <v>2026</v>
      </c>
      <c r="M38" s="157">
        <f>'Flujo de Caja'!B1</f>
        <v>44287</v>
      </c>
      <c r="N38" s="157">
        <f>'Flujo de Caja'!C1</f>
        <v>44317</v>
      </c>
      <c r="O38" s="157">
        <f>'Flujo de Caja'!D1</f>
        <v>44348</v>
      </c>
      <c r="P38" s="157">
        <f>'Flujo de Caja'!E1</f>
        <v>44378</v>
      </c>
      <c r="Q38" s="157">
        <f>'Flujo de Caja'!F1</f>
        <v>44409</v>
      </c>
      <c r="R38" s="157">
        <f>'Flujo de Caja'!G1</f>
        <v>44440</v>
      </c>
      <c r="S38" s="157">
        <f>'Flujo de Caja'!H1</f>
        <v>44470</v>
      </c>
      <c r="T38" s="157">
        <f>'Flujo de Caja'!I1</f>
        <v>44501</v>
      </c>
      <c r="U38" s="157">
        <f>'Flujo de Caja'!J1</f>
        <v>44531</v>
      </c>
      <c r="V38" s="157">
        <f>'Flujo de Caja'!K1</f>
        <v>44562</v>
      </c>
      <c r="W38" s="157">
        <f>'Flujo de Caja'!L1</f>
        <v>44593</v>
      </c>
      <c r="X38" s="157">
        <f>'Flujo de Caja'!M1</f>
        <v>44621</v>
      </c>
      <c r="Y38" s="157">
        <f>'Flujo de Caja'!O1</f>
        <v>44652</v>
      </c>
      <c r="Z38" s="157">
        <f>'Flujo de Caja'!P1</f>
        <v>44682</v>
      </c>
      <c r="AA38" s="157">
        <f>'Flujo de Caja'!Q1</f>
        <v>44713</v>
      </c>
      <c r="AB38" s="157">
        <f>'Flujo de Caja'!R1</f>
        <v>44743</v>
      </c>
      <c r="AC38" s="157">
        <f>'Flujo de Caja'!S1</f>
        <v>44774</v>
      </c>
      <c r="AD38" s="157">
        <f>'Flujo de Caja'!T1</f>
        <v>44805</v>
      </c>
      <c r="AE38" s="157">
        <f>'Flujo de Caja'!U1</f>
        <v>44835</v>
      </c>
      <c r="AF38" s="157">
        <f>'Flujo de Caja'!V1</f>
        <v>44866</v>
      </c>
      <c r="AG38" s="157">
        <f>'Flujo de Caja'!W1</f>
        <v>44896</v>
      </c>
      <c r="AH38" s="157">
        <f>'Flujo de Caja'!X1</f>
        <v>44927</v>
      </c>
      <c r="AI38" s="157">
        <f>'Flujo de Caja'!Y1</f>
        <v>44958</v>
      </c>
      <c r="AJ38" s="157">
        <f>'Flujo de Caja'!Z1</f>
        <v>44986</v>
      </c>
      <c r="AL38" s="193"/>
      <c r="AM38" s="193"/>
    </row>
    <row r="39" spans="1:39" s="35" customFormat="1" ht="12.75" hidden="1" x14ac:dyDescent="0.2">
      <c r="D39" s="10"/>
      <c r="E39" s="227"/>
      <c r="F39" s="227"/>
      <c r="G39" s="227"/>
      <c r="H39" s="227"/>
      <c r="I39" s="227"/>
      <c r="J39" s="227"/>
      <c r="K39" s="227"/>
    </row>
    <row r="40" spans="1:39" s="92" customFormat="1" ht="12.75" hidden="1" x14ac:dyDescent="0.2">
      <c r="A40" s="92" t="s">
        <v>51</v>
      </c>
      <c r="D40" s="77" t="str">
        <f>A40 &amp; " (" &amp; Introducción!E17 &amp; ")"</f>
        <v>Ventas (Pesos)</v>
      </c>
      <c r="E40" s="44"/>
      <c r="F40" s="44"/>
      <c r="G40" s="44">
        <f>'Flujo de Caja'!N5</f>
        <v>20477952</v>
      </c>
      <c r="H40" s="44">
        <f>'Flujo de Caja'!AA5</f>
        <v>31945605.119999997</v>
      </c>
      <c r="I40" s="44">
        <f>'Flujo de Caja'!AB5</f>
        <v>51828549.746688008</v>
      </c>
      <c r="J40" s="44">
        <f>'Flujo de Caja'!AC5</f>
        <v>80852537.60483329</v>
      </c>
      <c r="K40" s="44">
        <f>'Flujo de Caja'!AD5</f>
        <v>126129958.66353996</v>
      </c>
      <c r="M40" s="92">
        <f>'Flujo de Caja'!B5</f>
        <v>1689600</v>
      </c>
      <c r="N40" s="92">
        <f>'Flujo de Caja'!C5</f>
        <v>1689600</v>
      </c>
      <c r="O40" s="92">
        <f>'Flujo de Caja'!D5</f>
        <v>1689600</v>
      </c>
      <c r="P40" s="92">
        <f>'Flujo de Caja'!E5</f>
        <v>1689600</v>
      </c>
      <c r="Q40" s="92">
        <f>'Flujo de Caja'!F5</f>
        <v>1689600</v>
      </c>
      <c r="R40" s="92">
        <f>'Flujo de Caja'!G5</f>
        <v>1689600</v>
      </c>
      <c r="S40" s="92">
        <f>'Flujo de Caja'!H5</f>
        <v>1689600</v>
      </c>
      <c r="T40" s="92">
        <f>'Flujo de Caja'!I5</f>
        <v>1689600</v>
      </c>
      <c r="U40" s="92">
        <f>'Flujo de Caja'!J5</f>
        <v>1689600</v>
      </c>
      <c r="V40" s="92">
        <f>'Flujo de Caja'!K5</f>
        <v>1757184</v>
      </c>
      <c r="W40" s="92">
        <f>'Flujo de Caja'!L5</f>
        <v>1757184</v>
      </c>
      <c r="X40" s="92">
        <f>'Flujo de Caja'!M5</f>
        <v>1757184</v>
      </c>
      <c r="Y40" s="92">
        <f>'Flujo de Caja'!O5</f>
        <v>2635776</v>
      </c>
      <c r="Z40" s="92">
        <f>'Flujo de Caja'!P5</f>
        <v>2635776</v>
      </c>
      <c r="AA40" s="92">
        <f>'Flujo de Caja'!Q5</f>
        <v>2635776</v>
      </c>
      <c r="AB40" s="92">
        <f>'Flujo de Caja'!R5</f>
        <v>2635776</v>
      </c>
      <c r="AC40" s="92">
        <f>'Flujo de Caja'!S5</f>
        <v>2635776</v>
      </c>
      <c r="AD40" s="92">
        <f>'Flujo de Caja'!T5</f>
        <v>2635776</v>
      </c>
      <c r="AE40" s="92">
        <f>'Flujo de Caja'!U5</f>
        <v>2635776</v>
      </c>
      <c r="AF40" s="92">
        <f>'Flujo de Caja'!V5</f>
        <v>2635776</v>
      </c>
      <c r="AG40" s="92">
        <f>'Flujo de Caja'!W5</f>
        <v>2635776</v>
      </c>
      <c r="AH40" s="92">
        <f>'Flujo de Caja'!X5</f>
        <v>2741207.0400000005</v>
      </c>
      <c r="AI40" s="92">
        <f>'Flujo de Caja'!Y5</f>
        <v>2741207.0400000005</v>
      </c>
      <c r="AJ40" s="92">
        <f>'Flujo de Caja'!Z5</f>
        <v>2741207.0400000005</v>
      </c>
    </row>
    <row r="41" spans="1:39" s="92" customFormat="1" ht="12.75" hidden="1" x14ac:dyDescent="0.2">
      <c r="A41" s="92" t="s">
        <v>237</v>
      </c>
      <c r="D41" s="77" t="str">
        <f>A41 &amp; " (" &amp; Introducción!E17 &amp; ")"</f>
        <v>Ganancias (Pesos)</v>
      </c>
      <c r="E41" s="44"/>
      <c r="F41" s="44"/>
      <c r="G41" s="44">
        <f>'Estado Resultados'!N17</f>
        <v>10868183.023599999</v>
      </c>
      <c r="H41" s="44">
        <f>'Estado Resultados'!AA17</f>
        <v>3352681.5277456683</v>
      </c>
      <c r="I41" s="44">
        <f>'Estado Resultados'!AB17</f>
        <v>28577107.012178302</v>
      </c>
      <c r="J41" s="44">
        <f>'Estado Resultados'!AC17</f>
        <v>44907464.285796151</v>
      </c>
      <c r="K41" s="44">
        <f>'Estado Resultados'!AD17</f>
        <v>71054141.494697243</v>
      </c>
      <c r="M41" s="92">
        <f>'Estado Resultados'!B17</f>
        <v>897701.51333333331</v>
      </c>
      <c r="N41" s="92">
        <f>'Estado Resultados'!C17</f>
        <v>897701.51333333331</v>
      </c>
      <c r="O41" s="92">
        <f>'Estado Resultados'!D17</f>
        <v>897701.51333333331</v>
      </c>
      <c r="P41" s="92">
        <f>'Estado Resultados'!E17</f>
        <v>897701.51333333331</v>
      </c>
      <c r="Q41" s="92">
        <f>'Estado Resultados'!F17</f>
        <v>897701.51333333331</v>
      </c>
      <c r="R41" s="92">
        <f>'Estado Resultados'!G17</f>
        <v>897701.51333333331</v>
      </c>
      <c r="S41" s="92">
        <f>'Estado Resultados'!H17</f>
        <v>897701.51333333331</v>
      </c>
      <c r="T41" s="92">
        <f>'Estado Resultados'!I17</f>
        <v>897701.51333333331</v>
      </c>
      <c r="U41" s="92">
        <f>'Estado Resultados'!J17</f>
        <v>897701.51333333331</v>
      </c>
      <c r="V41" s="92">
        <f>'Estado Resultados'!K17</f>
        <v>929623.13453333313</v>
      </c>
      <c r="W41" s="92">
        <f>'Estado Resultados'!L17</f>
        <v>929623.13453333313</v>
      </c>
      <c r="X41" s="92">
        <f>'Estado Resultados'!M17</f>
        <v>929623.13453333313</v>
      </c>
      <c r="Y41" s="92">
        <f>'Estado Resultados'!O17</f>
        <v>277615.16392222227</v>
      </c>
      <c r="Z41" s="92">
        <f>'Estado Resultados'!P17</f>
        <v>277615.16392222227</v>
      </c>
      <c r="AA41" s="92">
        <f>'Estado Resultados'!Q17</f>
        <v>277615.16392222227</v>
      </c>
      <c r="AB41" s="92">
        <f>'Estado Resultados'!R17</f>
        <v>277615.16392222227</v>
      </c>
      <c r="AC41" s="92">
        <f>'Estado Resultados'!S17</f>
        <v>277615.16392222227</v>
      </c>
      <c r="AD41" s="92">
        <f>'Estado Resultados'!T17</f>
        <v>277615.16392222227</v>
      </c>
      <c r="AE41" s="92">
        <f>'Estado Resultados'!U17</f>
        <v>277615.16392222227</v>
      </c>
      <c r="AF41" s="92">
        <f>'Estado Resultados'!V17</f>
        <v>277615.16392222227</v>
      </c>
      <c r="AG41" s="92">
        <f>'Estado Resultados'!W17</f>
        <v>277615.16392222227</v>
      </c>
      <c r="AH41" s="92">
        <f>'Estado Resultados'!X17</f>
        <v>284714.84041522269</v>
      </c>
      <c r="AI41" s="92">
        <f>'Estado Resultados'!Y17</f>
        <v>284715.10601522267</v>
      </c>
      <c r="AJ41" s="92">
        <f>'Estado Resultados'!Z17</f>
        <v>284715.10601522267</v>
      </c>
    </row>
    <row r="42" spans="1:39" s="92" customFormat="1" ht="12.75" hidden="1" x14ac:dyDescent="0.2">
      <c r="A42" s="92" t="s">
        <v>55</v>
      </c>
      <c r="D42" s="77" t="str">
        <f>A42 &amp; " (" &amp; Introducción!E17 &amp; ")"</f>
        <v>Flujo de caja libre (Pesos)</v>
      </c>
      <c r="E42" s="44"/>
      <c r="F42" s="44"/>
      <c r="G42" s="44">
        <f>'Flujo de Caja'!N21</f>
        <v>9901980.0102666691</v>
      </c>
      <c r="H42" s="44">
        <f>'Flujo de Caja'!AA21</f>
        <v>1838877.951212334</v>
      </c>
      <c r="I42" s="44">
        <f>'Flujo de Caja'!AB21</f>
        <v>29692141.386517283</v>
      </c>
      <c r="J42" s="44">
        <f>'Flujo de Caja'!AC21</f>
        <v>44557037.045518391</v>
      </c>
      <c r="K42" s="44">
        <f>'Flujo de Caja'!AD21</f>
        <v>70532431.132779509</v>
      </c>
      <c r="M42" s="92">
        <f>'Flujo de Caja'!B21</f>
        <v>-105580.76444444444</v>
      </c>
      <c r="N42" s="92">
        <f>'Flujo de Caja'!C21</f>
        <v>901611.23555555556</v>
      </c>
      <c r="O42" s="92">
        <f>'Flujo de Caja'!D21</f>
        <v>901611.23555555556</v>
      </c>
      <c r="P42" s="92">
        <f>'Flujo de Caja'!E21</f>
        <v>901611.23555555556</v>
      </c>
      <c r="Q42" s="92">
        <f>'Flujo de Caja'!F21</f>
        <v>901611.23555555556</v>
      </c>
      <c r="R42" s="92">
        <f>'Flujo de Caja'!G21</f>
        <v>901611.23555555556</v>
      </c>
      <c r="S42" s="92">
        <f>'Flujo de Caja'!H21</f>
        <v>901611.23555555556</v>
      </c>
      <c r="T42" s="92">
        <f>'Flujo de Caja'!I21</f>
        <v>901611.23555555556</v>
      </c>
      <c r="U42" s="92">
        <f>'Flujo de Caja'!J21</f>
        <v>901611.23555555556</v>
      </c>
      <c r="V42" s="92">
        <f>'Flujo de Caja'!K21</f>
        <v>927605.17675555544</v>
      </c>
      <c r="W42" s="92">
        <f>'Flujo de Caja'!L21</f>
        <v>933532.85675555537</v>
      </c>
      <c r="X42" s="92">
        <f>'Flujo de Caja'!M21</f>
        <v>933532.85675555537</v>
      </c>
      <c r="Y42" s="92">
        <f>'Flujo de Caja'!O21</f>
        <v>-1191284.8471888884</v>
      </c>
      <c r="Z42" s="92">
        <f>'Flujo de Caja'!P21</f>
        <v>279441.55281111115</v>
      </c>
      <c r="AA42" s="92">
        <f>'Flujo de Caja'!Q21</f>
        <v>279441.55281111115</v>
      </c>
      <c r="AB42" s="92">
        <f>'Flujo de Caja'!R21</f>
        <v>279441.55281111115</v>
      </c>
      <c r="AC42" s="92">
        <f>'Flujo de Caja'!S21</f>
        <v>279441.55281111115</v>
      </c>
      <c r="AD42" s="92">
        <f>'Flujo de Caja'!T21</f>
        <v>279441.55281111115</v>
      </c>
      <c r="AE42" s="92">
        <f>'Flujo de Caja'!U21</f>
        <v>279441.55281111115</v>
      </c>
      <c r="AF42" s="92">
        <f>'Flujo de Caja'!V21</f>
        <v>279441.55281111115</v>
      </c>
      <c r="AG42" s="92">
        <f>'Flujo de Caja'!W21</f>
        <v>279441.55281111115</v>
      </c>
      <c r="AH42" s="92">
        <f>'Flujo de Caja'!X21</f>
        <v>221547.38610411057</v>
      </c>
      <c r="AI42" s="92">
        <f>'Flujo de Caja'!Y21</f>
        <v>286541.49490411155</v>
      </c>
      <c r="AJ42" s="92">
        <f>'Flujo de Caja'!Z21</f>
        <v>286541.49490411155</v>
      </c>
    </row>
    <row r="43" spans="1:39" s="92" customFormat="1" ht="12.75" hidden="1" x14ac:dyDescent="0.2">
      <c r="A43" s="92" t="s">
        <v>187</v>
      </c>
      <c r="D43" s="77" t="str">
        <f>A43 &amp; " (" &amp; Introducción!E17 &amp; ")"</f>
        <v>Flujo de caja libre acumulado (Pesos)</v>
      </c>
      <c r="E43" s="44"/>
      <c r="F43" s="44"/>
      <c r="G43" s="44">
        <f>G42</f>
        <v>9901980.0102666691</v>
      </c>
      <c r="H43" s="44">
        <f>H42+G43</f>
        <v>11740857.961479003</v>
      </c>
      <c r="I43" s="44">
        <f>I42+H43</f>
        <v>41432999.347996287</v>
      </c>
      <c r="J43" s="44">
        <f>J42+I43</f>
        <v>85990036.393514678</v>
      </c>
      <c r="K43" s="44">
        <f>K42+J43</f>
        <v>156522467.52629417</v>
      </c>
      <c r="M43" s="92">
        <f>M42</f>
        <v>-105580.76444444444</v>
      </c>
      <c r="N43" s="92">
        <f t="shared" ref="N43:AJ43" si="2">N42+M43</f>
        <v>796030.47111111111</v>
      </c>
      <c r="O43" s="92">
        <f t="shared" si="2"/>
        <v>1697641.7066666665</v>
      </c>
      <c r="P43" s="92">
        <f t="shared" si="2"/>
        <v>2599252.9422222222</v>
      </c>
      <c r="Q43" s="92">
        <f t="shared" si="2"/>
        <v>3500864.1777777779</v>
      </c>
      <c r="R43" s="92">
        <f t="shared" si="2"/>
        <v>4402475.4133333331</v>
      </c>
      <c r="S43" s="92">
        <f t="shared" si="2"/>
        <v>5304086.6488888888</v>
      </c>
      <c r="T43" s="92">
        <f t="shared" si="2"/>
        <v>6205697.8844444444</v>
      </c>
      <c r="U43" s="92">
        <f t="shared" si="2"/>
        <v>7107309.1200000001</v>
      </c>
      <c r="V43" s="92">
        <f t="shared" si="2"/>
        <v>8034914.296755556</v>
      </c>
      <c r="W43" s="92">
        <f t="shared" si="2"/>
        <v>8968447.1535111107</v>
      </c>
      <c r="X43" s="92">
        <f t="shared" si="2"/>
        <v>9901980.0102666654</v>
      </c>
      <c r="Y43" s="92">
        <f t="shared" si="2"/>
        <v>8710695.1630777773</v>
      </c>
      <c r="Z43" s="92">
        <f t="shared" si="2"/>
        <v>8990136.7158888876</v>
      </c>
      <c r="AA43" s="92">
        <f t="shared" si="2"/>
        <v>9269578.268699998</v>
      </c>
      <c r="AB43" s="92">
        <f t="shared" si="2"/>
        <v>9549019.8215111084</v>
      </c>
      <c r="AC43" s="92">
        <f t="shared" si="2"/>
        <v>9828461.3743222188</v>
      </c>
      <c r="AD43" s="92">
        <f t="shared" si="2"/>
        <v>10107902.927133329</v>
      </c>
      <c r="AE43" s="92">
        <f t="shared" si="2"/>
        <v>10387344.47994444</v>
      </c>
      <c r="AF43" s="92">
        <f t="shared" si="2"/>
        <v>10666786.03275555</v>
      </c>
      <c r="AG43" s="92">
        <f t="shared" si="2"/>
        <v>10946227.58556666</v>
      </c>
      <c r="AH43" s="92">
        <f t="shared" si="2"/>
        <v>11167774.971670771</v>
      </c>
      <c r="AI43" s="92">
        <f t="shared" si="2"/>
        <v>11454316.466574883</v>
      </c>
      <c r="AJ43" s="92">
        <f t="shared" si="2"/>
        <v>11740857.961478995</v>
      </c>
    </row>
    <row r="44" spans="1:39" s="44" customFormat="1" ht="12.75" hidden="1" x14ac:dyDescent="0.2">
      <c r="A44" s="44" t="s">
        <v>189</v>
      </c>
      <c r="D44" s="77" t="str">
        <f>A44 &amp; " (" &amp; Introducción!E17 &amp; ")"</f>
        <v>Financiamiento necesario (Pesos)</v>
      </c>
      <c r="E44" s="44">
        <f>-MIN('Flujo de Caja'!B40:AD40,0)</f>
        <v>105580.76444444444</v>
      </c>
      <c r="G44" s="44">
        <f>IF(MIN('Flujo de Caja'!B40:M40)&lt;0,-MIN('Flujo de Caja'!B40:M40),0)</f>
        <v>105580.76444444444</v>
      </c>
      <c r="H44" s="44">
        <f>IF(MIN('Flujo de Caja'!O40:Z40)&lt;-G44,-MIN('Flujo de Caja'!O40:Z40)-G44,0)</f>
        <v>0</v>
      </c>
      <c r="I44" s="44">
        <f>IF('Flujo de Caja'!AB40&lt;-SUM($G44:H44),-'Flujo de Caja'!AB40-SUM($G44:H44),0)</f>
        <v>0</v>
      </c>
      <c r="J44" s="44">
        <f>IF('Flujo de Caja'!AC40&lt;-SUM($G44:I44),-'Flujo de Caja'!AC40-SUM($G44:I44),0)</f>
        <v>0</v>
      </c>
      <c r="K44" s="44">
        <f>IF('Flujo de Caja'!AD40&lt;-SUM($G44:J44),-'Flujo de Caja'!AD40-SUM($G44:J44),0)</f>
        <v>0</v>
      </c>
      <c r="M44" s="31">
        <f>IF('Flujo de Caja'!B40&lt;0,-'Flujo de Caja'!B40,0)</f>
        <v>105580.76444444444</v>
      </c>
      <c r="N44" s="31">
        <f>IF('Flujo de Caja'!C40&gt;=0,0,IF('Flujo de Caja'!C40&lt;'Flujo de Caja'!B40,MAX(0,-'Flujo de Caja'!C40-SUM($M44:M44)),0))</f>
        <v>0</v>
      </c>
      <c r="O44" s="31">
        <f>IF('Flujo de Caja'!D40&gt;=0,0,IF('Flujo de Caja'!D40&lt;'Flujo de Caja'!C40,MAX(0,-'Flujo de Caja'!D40-SUM($M44:N44)),0))</f>
        <v>0</v>
      </c>
      <c r="P44" s="31">
        <f>IF('Flujo de Caja'!E40&gt;=0,0,IF('Flujo de Caja'!E40&lt;'Flujo de Caja'!D40,MAX(0,-'Flujo de Caja'!E40-SUM($M44:O44)),0))</f>
        <v>0</v>
      </c>
      <c r="Q44" s="31">
        <f>IF('Flujo de Caja'!F40&gt;=0,0,IF('Flujo de Caja'!F40&lt;'Flujo de Caja'!E40,MAX(0,-'Flujo de Caja'!F40-SUM($M44:P44)),0))</f>
        <v>0</v>
      </c>
      <c r="R44" s="31">
        <f>IF('Flujo de Caja'!G40&gt;=0,0,IF('Flujo de Caja'!G40&lt;'Flujo de Caja'!F40,MAX(0,-'Flujo de Caja'!G40-SUM($M44:Q44)),0))</f>
        <v>0</v>
      </c>
      <c r="S44" s="31">
        <f>IF('Flujo de Caja'!H40&gt;=0,0,IF('Flujo de Caja'!H40&lt;'Flujo de Caja'!G40,MAX(0,-'Flujo de Caja'!H40-SUM($M44:R44)),0))</f>
        <v>0</v>
      </c>
      <c r="T44" s="31">
        <f>IF('Flujo de Caja'!I40&gt;=0,0,IF('Flujo de Caja'!I40&lt;'Flujo de Caja'!H40,MAX(0,-'Flujo de Caja'!I40-SUM($M44:S44)),0))</f>
        <v>0</v>
      </c>
      <c r="U44" s="31">
        <f>IF('Flujo de Caja'!J40&gt;=0,0,IF('Flujo de Caja'!J40&lt;'Flujo de Caja'!I40,MAX(0,-'Flujo de Caja'!J40-SUM($M44:T44)),0))</f>
        <v>0</v>
      </c>
      <c r="V44" s="31">
        <f>IF('Flujo de Caja'!K40&gt;=0,0,IF('Flujo de Caja'!K40&lt;'Flujo de Caja'!J40,MAX(0,-'Flujo de Caja'!K40-SUM($M44:U44)),0))</f>
        <v>0</v>
      </c>
      <c r="W44" s="31">
        <f>IF('Flujo de Caja'!L40&gt;=0,0,IF('Flujo de Caja'!L40&lt;'Flujo de Caja'!K40,MAX(0,-'Flujo de Caja'!L40-SUM($M44:V44)),0))</f>
        <v>0</v>
      </c>
      <c r="X44" s="31">
        <f>IF('Flujo de Caja'!M40&gt;=0,0,IF('Flujo de Caja'!M40&lt;'Flujo de Caja'!L40,MAX(0,-'Flujo de Caja'!M40-SUM($M44:W44)),0))</f>
        <v>0</v>
      </c>
      <c r="Y44" s="31">
        <f>IF('Flujo de Caja'!O40&gt;=0,0,IF('Flujo de Caja'!O40&lt;'Flujo de Caja'!N40,MAX(0,-'Flujo de Caja'!O40-SUM($M44:X44)),0))</f>
        <v>0</v>
      </c>
      <c r="Z44" s="31">
        <f>IF('Flujo de Caja'!P40&gt;=0,0,IF('Flujo de Caja'!P40&lt;'Flujo de Caja'!O40,MAX(0,-'Flujo de Caja'!P40-SUM($M44:Y44)),0))</f>
        <v>0</v>
      </c>
      <c r="AA44" s="31">
        <f>IF('Flujo de Caja'!Q40&gt;=0,0,IF('Flujo de Caja'!Q40&lt;'Flujo de Caja'!P40,MAX(0,-'Flujo de Caja'!Q40-SUM($M44:Z44)),0))</f>
        <v>0</v>
      </c>
      <c r="AB44" s="31">
        <f>IF('Flujo de Caja'!R40&gt;=0,0,IF('Flujo de Caja'!R40&lt;'Flujo de Caja'!Q40,MAX(0,-'Flujo de Caja'!R40-SUM($M44:AA44)),0))</f>
        <v>0</v>
      </c>
      <c r="AC44" s="31">
        <f>IF('Flujo de Caja'!S40&gt;=0,0,IF('Flujo de Caja'!S40&lt;'Flujo de Caja'!R40,MAX(0,-'Flujo de Caja'!S40-SUM($M44:AB44)),0))</f>
        <v>0</v>
      </c>
      <c r="AD44" s="31">
        <f>IF('Flujo de Caja'!T40&gt;=0,0,IF('Flujo de Caja'!T40&lt;'Flujo de Caja'!S40,MAX(0,-'Flujo de Caja'!T40-SUM($M44:AC44)),0))</f>
        <v>0</v>
      </c>
      <c r="AE44" s="31">
        <f>IF('Flujo de Caja'!U40&gt;=0,0,IF('Flujo de Caja'!U40&lt;'Flujo de Caja'!T40,MAX(0,-'Flujo de Caja'!U40-SUM($M44:AD44)),0))</f>
        <v>0</v>
      </c>
      <c r="AF44" s="31">
        <f>IF('Flujo de Caja'!V40&gt;=0,0,IF('Flujo de Caja'!V40&lt;'Flujo de Caja'!U40,MAX(0,-'Flujo de Caja'!V40-SUM($M44:AE44)),0))</f>
        <v>0</v>
      </c>
      <c r="AG44" s="31">
        <f>IF('Flujo de Caja'!W40&gt;=0,0,IF('Flujo de Caja'!W40&lt;'Flujo de Caja'!V40,MAX(0,-'Flujo de Caja'!W40-SUM($M44:AF44)),0))</f>
        <v>0</v>
      </c>
      <c r="AH44" s="31">
        <f>IF('Flujo de Caja'!X40&gt;=0,0,IF('Flujo de Caja'!X40&lt;'Flujo de Caja'!W40,MAX(0,-'Flujo de Caja'!X40-SUM($M44:AG44)),0))</f>
        <v>0</v>
      </c>
      <c r="AI44" s="31">
        <f>IF('Flujo de Caja'!Y40&gt;=0,0,IF('Flujo de Caja'!Y40&lt;'Flujo de Caja'!X40,MAX(0,-'Flujo de Caja'!Y40-SUM($M44:AH44)),0))</f>
        <v>0</v>
      </c>
      <c r="AJ44" s="31">
        <f>IF('Flujo de Caja'!Z40&gt;=0,0,IF('Flujo de Caja'!Z40&lt;'Flujo de Caja'!Y40,MAX(0,-'Flujo de Caja'!Z40-SUM($M44:AI44)),0))</f>
        <v>0</v>
      </c>
    </row>
    <row r="45" spans="1:39" s="92" customFormat="1" ht="12.75" hidden="1" x14ac:dyDescent="0.2">
      <c r="A45" s="92" t="s">
        <v>3</v>
      </c>
      <c r="D45" s="77" t="str">
        <f>A45 &amp; " (" &amp; Introducción!E17 &amp; ")"</f>
        <v>Flujo de caja del negocio (Pesos)</v>
      </c>
      <c r="E45" s="44"/>
      <c r="F45" s="44"/>
      <c r="G45" s="44">
        <f>'Flujo de Caja'!N21+'Flujo de Caja'!N33</f>
        <v>11843934.149881562</v>
      </c>
      <c r="H45" s="44">
        <f>'Flujo de Caja'!AA21+'Flujo de Caja'!AA33</f>
        <v>901284.28605187288</v>
      </c>
      <c r="I45" s="44">
        <f>'Flujo de Caja'!AB21+'Flujo de Caja'!AB33</f>
        <v>29209371.386517283</v>
      </c>
      <c r="J45" s="44">
        <f>'Flujo de Caja'!AC21+'Flujo de Caja'!AC33</f>
        <v>44557037.045518391</v>
      </c>
      <c r="K45" s="44">
        <f>'Flujo de Caja'!AD21+'Flujo de Caja'!AD33</f>
        <v>70532431.132779509</v>
      </c>
      <c r="M45" s="92">
        <f>'Flujo de Caja'!B21+'Flujo de Caja'!B33</f>
        <v>3173958.5805234634</v>
      </c>
      <c r="N45" s="92">
        <f>'Flujo de Caja'!C21+'Flujo de Caja'!C33</f>
        <v>780012.58052346343</v>
      </c>
      <c r="O45" s="92">
        <f>'Flujo de Caja'!D21+'Flujo de Caja'!D33</f>
        <v>780012.58052346343</v>
      </c>
      <c r="P45" s="92">
        <f>'Flujo de Caja'!E21+'Flujo de Caja'!E33</f>
        <v>780012.58052346343</v>
      </c>
      <c r="Q45" s="92">
        <f>'Flujo de Caja'!F21+'Flujo de Caja'!F33</f>
        <v>780012.58052346343</v>
      </c>
      <c r="R45" s="92">
        <f>'Flujo de Caja'!G21+'Flujo de Caja'!G33</f>
        <v>780012.58052346343</v>
      </c>
      <c r="S45" s="92">
        <f>'Flujo de Caja'!H21+'Flujo de Caja'!H33</f>
        <v>780012.58052346343</v>
      </c>
      <c r="T45" s="92">
        <f>'Flujo de Caja'!I21+'Flujo de Caja'!I33</f>
        <v>780012.58052346343</v>
      </c>
      <c r="U45" s="92">
        <f>'Flujo de Caja'!J21+'Flujo de Caja'!J33</f>
        <v>780012.58052346343</v>
      </c>
      <c r="V45" s="92">
        <f>'Flujo de Caja'!K21+'Flujo de Caja'!K33</f>
        <v>806006.5217234632</v>
      </c>
      <c r="W45" s="92">
        <f>'Flujo de Caja'!L21+'Flujo de Caja'!L33</f>
        <v>811934.20172346313</v>
      </c>
      <c r="X45" s="92">
        <f>'Flujo de Caja'!M21+'Flujo de Caja'!M33</f>
        <v>811934.20172346313</v>
      </c>
      <c r="Y45" s="92">
        <f>'Flujo de Caja'!O21+'Flujo de Caja'!O33</f>
        <v>-1312883.5022209806</v>
      </c>
      <c r="Z45" s="92">
        <f>'Flujo de Caja'!P21+'Flujo de Caja'!P33</f>
        <v>157842.89777901897</v>
      </c>
      <c r="AA45" s="92">
        <f>'Flujo de Caja'!Q21+'Flujo de Caja'!Q33</f>
        <v>157842.89777901897</v>
      </c>
      <c r="AB45" s="92">
        <f>'Flujo de Caja'!R21+'Flujo de Caja'!R33</f>
        <v>157842.89777901897</v>
      </c>
      <c r="AC45" s="92">
        <f>'Flujo de Caja'!S21+'Flujo de Caja'!S33</f>
        <v>157842.89777901897</v>
      </c>
      <c r="AD45" s="92">
        <f>'Flujo de Caja'!T21+'Flujo de Caja'!T33</f>
        <v>232355.78281111116</v>
      </c>
      <c r="AE45" s="92">
        <f>'Flujo de Caja'!U21+'Flujo de Caja'!U33</f>
        <v>232355.78281111116</v>
      </c>
      <c r="AF45" s="92">
        <f>'Flujo de Caja'!V21+'Flujo de Caja'!V33</f>
        <v>232355.78281111116</v>
      </c>
      <c r="AG45" s="92">
        <f>'Flujo de Caja'!W21+'Flujo de Caja'!W33</f>
        <v>232355.78281111116</v>
      </c>
      <c r="AH45" s="92">
        <f>'Flujo de Caja'!X21+'Flujo de Caja'!X33</f>
        <v>174461.61610411058</v>
      </c>
      <c r="AI45" s="92">
        <f>'Flujo de Caja'!Y21+'Flujo de Caja'!Y33</f>
        <v>239455.72490411156</v>
      </c>
      <c r="AJ45" s="92">
        <f>'Flujo de Caja'!Z21+'Flujo de Caja'!Z33</f>
        <v>239455.72490411156</v>
      </c>
    </row>
    <row r="46" spans="1:39" s="92" customFormat="1" ht="12.75" hidden="1" x14ac:dyDescent="0.2">
      <c r="A46" s="92" t="s">
        <v>70</v>
      </c>
      <c r="D46" s="77" t="str">
        <f>A46 &amp; " (" &amp; Introducción!E17 &amp; ")"</f>
        <v>Saldo de caja del negocio (Pesos)</v>
      </c>
      <c r="E46" s="44"/>
      <c r="F46" s="44"/>
      <c r="G46" s="44">
        <f>G45</f>
        <v>11843934.149881562</v>
      </c>
      <c r="H46" s="44">
        <f>H45+G46</f>
        <v>12745218.435933435</v>
      </c>
      <c r="I46" s="44">
        <f>I45+H46</f>
        <v>41954589.82245072</v>
      </c>
      <c r="J46" s="44">
        <f>J45+I46</f>
        <v>86511626.867969111</v>
      </c>
      <c r="K46" s="44">
        <f>K45+J46</f>
        <v>157044058.00074863</v>
      </c>
      <c r="M46" s="92">
        <f>M45</f>
        <v>3173958.5805234634</v>
      </c>
      <c r="N46" s="92">
        <f t="shared" ref="N46:AJ46" si="3">N45+M46</f>
        <v>3953971.1610469269</v>
      </c>
      <c r="O46" s="92">
        <f t="shared" si="3"/>
        <v>4733983.7415703908</v>
      </c>
      <c r="P46" s="92">
        <f t="shared" si="3"/>
        <v>5513996.3220938537</v>
      </c>
      <c r="Q46" s="92">
        <f t="shared" si="3"/>
        <v>6294008.9026173167</v>
      </c>
      <c r="R46" s="92">
        <f t="shared" si="3"/>
        <v>7074021.4831407797</v>
      </c>
      <c r="S46" s="92">
        <f t="shared" si="3"/>
        <v>7854034.0636642426</v>
      </c>
      <c r="T46" s="92">
        <f t="shared" si="3"/>
        <v>8634046.6441877056</v>
      </c>
      <c r="U46" s="92">
        <f t="shared" si="3"/>
        <v>9414059.2247111686</v>
      </c>
      <c r="V46" s="92">
        <f t="shared" si="3"/>
        <v>10220065.746434633</v>
      </c>
      <c r="W46" s="92">
        <f t="shared" si="3"/>
        <v>11031999.948158097</v>
      </c>
      <c r="X46" s="92">
        <f t="shared" si="3"/>
        <v>11843934.14988156</v>
      </c>
      <c r="Y46" s="92">
        <f t="shared" si="3"/>
        <v>10531050.64766058</v>
      </c>
      <c r="Z46" s="92">
        <f t="shared" si="3"/>
        <v>10688893.545439599</v>
      </c>
      <c r="AA46" s="92">
        <f t="shared" si="3"/>
        <v>10846736.443218619</v>
      </c>
      <c r="AB46" s="92">
        <f t="shared" si="3"/>
        <v>11004579.340997638</v>
      </c>
      <c r="AC46" s="92">
        <f t="shared" si="3"/>
        <v>11162422.238776658</v>
      </c>
      <c r="AD46" s="92">
        <f t="shared" si="3"/>
        <v>11394778.021587769</v>
      </c>
      <c r="AE46" s="92">
        <f t="shared" si="3"/>
        <v>11627133.804398879</v>
      </c>
      <c r="AF46" s="92">
        <f t="shared" si="3"/>
        <v>11859489.58720999</v>
      </c>
      <c r="AG46" s="92">
        <f t="shared" si="3"/>
        <v>12091845.370021101</v>
      </c>
      <c r="AH46" s="92">
        <f t="shared" si="3"/>
        <v>12266306.986125212</v>
      </c>
      <c r="AI46" s="92">
        <f t="shared" si="3"/>
        <v>12505762.711029323</v>
      </c>
      <c r="AJ46" s="92">
        <f t="shared" si="3"/>
        <v>12745218.435933433</v>
      </c>
    </row>
    <row r="47" spans="1:39" s="92" customFormat="1" ht="12.75" hidden="1" x14ac:dyDescent="0.2">
      <c r="A47" s="92" t="s">
        <v>6</v>
      </c>
      <c r="D47" s="77" t="str">
        <f>A47 &amp; " (" &amp; Introducción!E17 &amp; ")"</f>
        <v>Punto de equilibrio (Pesos)</v>
      </c>
      <c r="E47" s="44"/>
      <c r="F47" s="44"/>
      <c r="G47" s="44">
        <f>IF(ISERROR(-'Estado Resultados'!N9/('Estado Resultados'!N5/'Estado Resultados'!N3)),0,-'Estado Resultados'!N9/('Estado Resultados'!N5/'Estado Resultados'!N3))</f>
        <v>2810972.6938775512</v>
      </c>
      <c r="H47" s="44">
        <f>IF(ISERROR(-'Estado Resultados'!AA9/('Estado Resultados'!AA5/'Estado Resultados'!AA3)),0,-'Estado Resultados'!AA9/('Estado Resultados'!AA5/'Estado Resultados'!AA3))</f>
        <v>12254492.386424242</v>
      </c>
      <c r="I47" s="44">
        <f>IF(ISERROR(-'Estado Resultados'!AB9/('Estado Resultados'!AB5/'Estado Resultados'!AB3)),0,-'Estado Resultados'!AB9/('Estado Resultados'!AB5/'Estado Resultados'!AB3))</f>
        <v>4890961.7197008133</v>
      </c>
      <c r="J47" s="44">
        <f>IF(ISERROR(-'Estado Resultados'!AC9/('Estado Resultados'!AC5/'Estado Resultados'!AC3)),0,-'Estado Resultados'!AC9/('Estado Resultados'!AC5/'Estado Resultados'!AC3))</f>
        <v>6197340.2796183014</v>
      </c>
      <c r="K47" s="44">
        <f>IF(ISERROR(-'Estado Resultados'!AD9/('Estado Resultados'!AD5/'Estado Resultados'!AD3)),0,-'Estado Resultados'!AD9/('Estado Resultados'!AD5/'Estado Resultados'!AD3))</f>
        <v>7938223.9860060364</v>
      </c>
      <c r="M47" s="92">
        <f>IF(ISERROR(-'Estado Resultados'!B9/('Estado Resultados'!B5/'Estado Resultados'!B3)),0,-'Estado Resultados'!B9/('Estado Resultados'!B5/'Estado Resultados'!B3))</f>
        <v>230277.55102040817</v>
      </c>
      <c r="N47" s="92">
        <f>IF(ISERROR(-'Estado Resultados'!C9/('Estado Resultados'!C5/'Estado Resultados'!C3)),0,-'Estado Resultados'!C9/('Estado Resultados'!C5/'Estado Resultados'!C3))</f>
        <v>230277.55102040817</v>
      </c>
      <c r="O47" s="92">
        <f>IF(ISERROR(-'Estado Resultados'!D9/('Estado Resultados'!D5/'Estado Resultados'!D3)),0,-'Estado Resultados'!D9/('Estado Resultados'!D5/'Estado Resultados'!D3))</f>
        <v>230277.55102040817</v>
      </c>
      <c r="P47" s="92">
        <f>IF(ISERROR(-'Estado Resultados'!E9/('Estado Resultados'!E5/'Estado Resultados'!E3)),0,-'Estado Resultados'!E9/('Estado Resultados'!E5/'Estado Resultados'!E3))</f>
        <v>230277.55102040817</v>
      </c>
      <c r="Q47" s="92">
        <f>IF(ISERROR(-'Estado Resultados'!F9/('Estado Resultados'!F5/'Estado Resultados'!F3)),0,-'Estado Resultados'!F9/('Estado Resultados'!F5/'Estado Resultados'!F3))</f>
        <v>230277.55102040817</v>
      </c>
      <c r="R47" s="92">
        <f>IF(ISERROR(-'Estado Resultados'!G9/('Estado Resultados'!G5/'Estado Resultados'!G3)),0,-'Estado Resultados'!G9/('Estado Resultados'!G5/'Estado Resultados'!G3))</f>
        <v>230277.55102040817</v>
      </c>
      <c r="S47" s="92">
        <f>IF(ISERROR(-'Estado Resultados'!H9/('Estado Resultados'!H5/'Estado Resultados'!H3)),0,-'Estado Resultados'!H9/('Estado Resultados'!H5/'Estado Resultados'!H3))</f>
        <v>230277.55102040817</v>
      </c>
      <c r="T47" s="92">
        <f>IF(ISERROR(-'Estado Resultados'!I9/('Estado Resultados'!I5/'Estado Resultados'!I3)),0,-'Estado Resultados'!I9/('Estado Resultados'!I5/'Estado Resultados'!I3))</f>
        <v>230277.55102040817</v>
      </c>
      <c r="U47" s="92">
        <f>IF(ISERROR(-'Estado Resultados'!J9/('Estado Resultados'!J5/'Estado Resultados'!J3)),0,-'Estado Resultados'!J9/('Estado Resultados'!J5/'Estado Resultados'!J3))</f>
        <v>230277.55102040817</v>
      </c>
      <c r="V47" s="92">
        <f>IF(ISERROR(-'Estado Resultados'!K9/('Estado Resultados'!K5/'Estado Resultados'!K3)),0,-'Estado Resultados'!K9/('Estado Resultados'!K5/'Estado Resultados'!K3))</f>
        <v>246158.24489795923</v>
      </c>
      <c r="W47" s="92">
        <f>IF(ISERROR(-'Estado Resultados'!L9/('Estado Resultados'!L5/'Estado Resultados'!L3)),0,-'Estado Resultados'!L9/('Estado Resultados'!L5/'Estado Resultados'!L3))</f>
        <v>246158.24489795923</v>
      </c>
      <c r="X47" s="92">
        <f>IF(ISERROR(-'Estado Resultados'!M9/('Estado Resultados'!M5/'Estado Resultados'!M3)),0,-'Estado Resultados'!M9/('Estado Resultados'!M5/'Estado Resultados'!M3))</f>
        <v>246158.24489795923</v>
      </c>
      <c r="Y47" s="92">
        <f>IF(ISERROR(-'Estado Resultados'!O9/('Estado Resultados'!O5/'Estado Resultados'!O3)),0,-'Estado Resultados'!O9/('Estado Resultados'!O5/'Estado Resultados'!O3))</f>
        <v>1005218.4727272727</v>
      </c>
      <c r="Z47" s="92">
        <f>IF(ISERROR(-'Estado Resultados'!P9/('Estado Resultados'!P5/'Estado Resultados'!P3)),0,-'Estado Resultados'!P9/('Estado Resultados'!P5/'Estado Resultados'!P3))</f>
        <v>1005218.4727272727</v>
      </c>
      <c r="AA47" s="92">
        <f>IF(ISERROR(-'Estado Resultados'!Q9/('Estado Resultados'!Q5/'Estado Resultados'!Q3)),0,-'Estado Resultados'!Q9/('Estado Resultados'!Q5/'Estado Resultados'!Q3))</f>
        <v>1005218.4727272727</v>
      </c>
      <c r="AB47" s="92">
        <f>IF(ISERROR(-'Estado Resultados'!R9/('Estado Resultados'!R5/'Estado Resultados'!R3)),0,-'Estado Resultados'!R9/('Estado Resultados'!R5/'Estado Resultados'!R3))</f>
        <v>1005218.4727272727</v>
      </c>
      <c r="AC47" s="92">
        <f>IF(ISERROR(-'Estado Resultados'!S9/('Estado Resultados'!S5/'Estado Resultados'!S3)),0,-'Estado Resultados'!S9/('Estado Resultados'!S5/'Estado Resultados'!S3))</f>
        <v>1005218.4727272727</v>
      </c>
      <c r="AD47" s="92">
        <f>IF(ISERROR(-'Estado Resultados'!T9/('Estado Resultados'!T5/'Estado Resultados'!T3)),0,-'Estado Resultados'!T9/('Estado Resultados'!T5/'Estado Resultados'!T3))</f>
        <v>1005218.4727272727</v>
      </c>
      <c r="AE47" s="92">
        <f>IF(ISERROR(-'Estado Resultados'!U9/('Estado Resultados'!U5/'Estado Resultados'!U3)),0,-'Estado Resultados'!U9/('Estado Resultados'!U5/'Estado Resultados'!U3))</f>
        <v>1005218.4727272727</v>
      </c>
      <c r="AF47" s="92">
        <f>IF(ISERROR(-'Estado Resultados'!V9/('Estado Resultados'!V5/'Estado Resultados'!V3)),0,-'Estado Resultados'!V9/('Estado Resultados'!V5/'Estado Resultados'!V3))</f>
        <v>1005218.4727272727</v>
      </c>
      <c r="AG47" s="92">
        <f>IF(ISERROR(-'Estado Resultados'!W9/('Estado Resultados'!W5/'Estado Resultados'!W3)),0,-'Estado Resultados'!W9/('Estado Resultados'!W5/'Estado Resultados'!W3))</f>
        <v>1005218.4727272727</v>
      </c>
      <c r="AH47" s="92">
        <f>IF(ISERROR(-'Estado Resultados'!X9/('Estado Resultados'!X5/'Estado Resultados'!X3)),0,-'Estado Resultados'!X9/('Estado Resultados'!X5/'Estado Resultados'!X3))</f>
        <v>1069176.4116363628</v>
      </c>
      <c r="AI47" s="92">
        <f>IF(ISERROR(-'Estado Resultados'!Y9/('Estado Resultados'!Y5/'Estado Resultados'!Y3)),0,-'Estado Resultados'!Y9/('Estado Resultados'!Y5/'Estado Resultados'!Y3))</f>
        <v>1069174.8601212113</v>
      </c>
      <c r="AJ47" s="92">
        <f>IF(ISERROR(-'Estado Resultados'!Z9/('Estado Resultados'!Z5/'Estado Resultados'!Z3)),0,-'Estado Resultados'!Z9/('Estado Resultados'!Z5/'Estado Resultados'!Z3))</f>
        <v>1069174.8601212113</v>
      </c>
    </row>
    <row r="48" spans="1:39" s="35" customFormat="1" ht="12.75" hidden="1" x14ac:dyDescent="0.2">
      <c r="D48" s="10"/>
      <c r="E48" s="227"/>
      <c r="F48" s="227"/>
      <c r="G48" s="227"/>
      <c r="H48" s="227"/>
      <c r="I48" s="227"/>
      <c r="J48" s="227"/>
      <c r="K48" s="227"/>
    </row>
    <row r="49" spans="1:27" s="44" customFormat="1" ht="12.75" hidden="1" x14ac:dyDescent="0.2">
      <c r="D49" s="77"/>
    </row>
    <row r="50" spans="1:27" s="92" customFormat="1" ht="12.75" hidden="1" x14ac:dyDescent="0.2">
      <c r="A50" s="92" t="s">
        <v>68</v>
      </c>
      <c r="D50" s="77" t="str">
        <f>A50</f>
        <v>FF para cálculo VAN y TIR</v>
      </c>
      <c r="E50" s="44"/>
      <c r="F50" s="44"/>
      <c r="G50" s="44">
        <f>'Flujo de Caja'!N21</f>
        <v>9901980.0102666691</v>
      </c>
      <c r="H50" s="44">
        <f>'Flujo de Caja'!AA21</f>
        <v>1838877.951212334</v>
      </c>
      <c r="I50" s="44">
        <f>'Flujo de Caja'!AB21</f>
        <v>29692141.386517283</v>
      </c>
      <c r="J50" s="44">
        <f>'Flujo de Caja'!AC21</f>
        <v>44557037.045518391</v>
      </c>
      <c r="K50" s="44">
        <f>'Flujo de Caja'!AD21</f>
        <v>70532431.132779509</v>
      </c>
      <c r="L50" s="44">
        <f>IF(ISERROR(K50/IRR(G50:K50)),0,K50/IRR(G50:K50))</f>
        <v>0</v>
      </c>
    </row>
    <row r="51" spans="1:27" s="35" customFormat="1" ht="12.75" hidden="1" x14ac:dyDescent="0.2">
      <c r="A51" s="35" t="s">
        <v>120</v>
      </c>
      <c r="D51" s="77" t="str">
        <f>A51</f>
        <v>TIR sin perpetuidad</v>
      </c>
      <c r="E51" s="190" t="str">
        <f>IF(ISERROR(IRR(G50:L50)),"-",IRR(G50:L50))</f>
        <v>-</v>
      </c>
      <c r="F51" s="227"/>
      <c r="G51" s="44">
        <f>G50</f>
        <v>9901980.0102666691</v>
      </c>
      <c r="H51" s="44">
        <f>H50</f>
        <v>1838877.951212334</v>
      </c>
      <c r="I51" s="44">
        <f>I50</f>
        <v>29692141.386517283</v>
      </c>
      <c r="J51" s="44">
        <f>J50</f>
        <v>44557037.045518391</v>
      </c>
      <c r="K51" s="44">
        <f>K50</f>
        <v>70532431.132779509</v>
      </c>
      <c r="L51" s="44"/>
    </row>
    <row r="52" spans="1:27" s="35" customFormat="1" ht="12.75" hidden="1" x14ac:dyDescent="0.2">
      <c r="A52" s="35" t="s">
        <v>104</v>
      </c>
      <c r="D52" s="77" t="str">
        <f>A52</f>
        <v>TIR con perpetuidad</v>
      </c>
      <c r="E52" s="227"/>
      <c r="F52" s="227"/>
      <c r="G52" s="44">
        <f t="shared" ref="G52:L52" si="4">G50</f>
        <v>9901980.0102666691</v>
      </c>
      <c r="H52" s="44">
        <f t="shared" si="4"/>
        <v>1838877.951212334</v>
      </c>
      <c r="I52" s="44">
        <f t="shared" si="4"/>
        <v>29692141.386517283</v>
      </c>
      <c r="J52" s="44">
        <f t="shared" si="4"/>
        <v>44557037.045518391</v>
      </c>
      <c r="K52" s="44">
        <f t="shared" si="4"/>
        <v>70532431.132779509</v>
      </c>
      <c r="L52" s="44">
        <f t="shared" si="4"/>
        <v>0</v>
      </c>
    </row>
    <row r="53" spans="1:27" s="35" customFormat="1" ht="12.75" hidden="1" x14ac:dyDescent="0.2">
      <c r="A53" s="35" t="s">
        <v>67</v>
      </c>
      <c r="D53" s="77" t="str">
        <f>A53</f>
        <v>TIR ácida sin perpetuidad</v>
      </c>
      <c r="E53" s="227"/>
      <c r="F53" s="44">
        <f>-G44</f>
        <v>-105580.76444444444</v>
      </c>
      <c r="G53" s="44">
        <f>G50+G44-H44</f>
        <v>10007560.774711113</v>
      </c>
      <c r="H53" s="44">
        <f>H50+H44-I44</f>
        <v>1838877.951212334</v>
      </c>
      <c r="I53" s="44">
        <f>I50+I44-J44</f>
        <v>29692141.386517283</v>
      </c>
      <c r="J53" s="44">
        <f>J50+J44-K44</f>
        <v>44557037.045518391</v>
      </c>
      <c r="K53" s="44">
        <f>K50+K44-L44</f>
        <v>70532431.132779509</v>
      </c>
      <c r="L53" s="44"/>
    </row>
    <row r="54" spans="1:27" s="35" customFormat="1" ht="12.75" hidden="1" x14ac:dyDescent="0.2">
      <c r="A54" s="35" t="s">
        <v>126</v>
      </c>
      <c r="D54" s="77" t="str">
        <f>A54</f>
        <v>TIR ácida con perpetuidad</v>
      </c>
      <c r="E54" s="227"/>
      <c r="F54" s="44">
        <f>-G44</f>
        <v>-105580.76444444444</v>
      </c>
      <c r="G54" s="44">
        <f t="shared" ref="G54:L54" si="5">G50+G44-H44</f>
        <v>10007560.774711113</v>
      </c>
      <c r="H54" s="44">
        <f t="shared" si="5"/>
        <v>1838877.951212334</v>
      </c>
      <c r="I54" s="44">
        <f t="shared" si="5"/>
        <v>29692141.386517283</v>
      </c>
      <c r="J54" s="44">
        <f t="shared" si="5"/>
        <v>44557037.045518391</v>
      </c>
      <c r="K54" s="44">
        <f t="shared" si="5"/>
        <v>70532431.132779509</v>
      </c>
      <c r="L54" s="44">
        <f t="shared" si="5"/>
        <v>-105580.76444444444</v>
      </c>
    </row>
    <row r="55" spans="1:27" s="35" customFormat="1" ht="12.75" hidden="1" x14ac:dyDescent="0.2">
      <c r="D55" s="10"/>
      <c r="E55" s="227"/>
      <c r="F55" s="227"/>
      <c r="G55" s="227"/>
      <c r="H55" s="227"/>
      <c r="I55" s="227"/>
      <c r="J55" s="227"/>
      <c r="K55" s="227"/>
    </row>
    <row r="56" spans="1:27" s="35" customFormat="1" ht="12.75" hidden="1" x14ac:dyDescent="0.2">
      <c r="A56" s="35" t="s">
        <v>30</v>
      </c>
      <c r="D56" s="10" t="str">
        <f>A56</f>
        <v>Tasa descuento</v>
      </c>
      <c r="E56" s="227"/>
      <c r="F56" s="227"/>
      <c r="G56" s="190">
        <v>0</v>
      </c>
      <c r="H56" s="98">
        <v>0.05</v>
      </c>
      <c r="I56" s="98">
        <v>0.1</v>
      </c>
      <c r="J56" s="190">
        <v>0.15</v>
      </c>
      <c r="K56" s="98">
        <v>0.2</v>
      </c>
      <c r="L56" s="98">
        <v>0.25</v>
      </c>
      <c r="M56" s="190">
        <v>0.3</v>
      </c>
      <c r="N56" s="98">
        <v>0.35</v>
      </c>
      <c r="O56" s="98">
        <v>0.4</v>
      </c>
      <c r="P56" s="190">
        <v>0.45</v>
      </c>
      <c r="Q56" s="98">
        <v>0.5</v>
      </c>
      <c r="R56" s="98">
        <v>0.55000000000000004</v>
      </c>
      <c r="S56" s="190">
        <v>0.6</v>
      </c>
      <c r="T56" s="98">
        <v>0.65</v>
      </c>
      <c r="U56" s="98">
        <v>0.7</v>
      </c>
      <c r="V56" s="190">
        <v>0.75</v>
      </c>
      <c r="W56" s="98">
        <v>0.8</v>
      </c>
      <c r="X56" s="98">
        <v>0.85</v>
      </c>
      <c r="Y56" s="190">
        <v>0.9</v>
      </c>
      <c r="Z56" s="98">
        <v>0.95</v>
      </c>
      <c r="AA56" s="98">
        <v>1</v>
      </c>
    </row>
    <row r="57" spans="1:27" s="92" customFormat="1" ht="12.75" hidden="1" x14ac:dyDescent="0.2">
      <c r="A57" s="92" t="s">
        <v>20</v>
      </c>
      <c r="D57" s="77" t="str">
        <f>A57 &amp; " (" &amp; Introducción!E17 &amp; ")"</f>
        <v>VAN sin perpetuidad (Pesos)</v>
      </c>
      <c r="E57" s="44"/>
      <c r="F57" s="44"/>
      <c r="G57" s="44">
        <f t="shared" ref="G57:AA57" si="6">NPV(G56,$G$50:$K$50)</f>
        <v>156522467.52629417</v>
      </c>
      <c r="H57" s="44">
        <f t="shared" si="6"/>
        <v>128668751.79616603</v>
      </c>
      <c r="I57" s="44">
        <f t="shared" si="6"/>
        <v>107057825.43829633</v>
      </c>
      <c r="J57" s="44">
        <f t="shared" si="6"/>
        <v>90066652.643304482</v>
      </c>
      <c r="K57" s="44">
        <f t="shared" si="6"/>
        <v>76544771.586038113</v>
      </c>
      <c r="L57" s="44">
        <f t="shared" si="6"/>
        <v>65663471.694319606</v>
      </c>
      <c r="M57" s="44">
        <f t="shared" si="6"/>
        <v>56816950.010181643</v>
      </c>
      <c r="N57" s="44">
        <f t="shared" si="6"/>
        <v>49556315.703064352</v>
      </c>
      <c r="O57" s="44">
        <f t="shared" si="6"/>
        <v>43544766.99062264</v>
      </c>
      <c r="P57" s="44">
        <f t="shared" si="6"/>
        <v>38526664.838633053</v>
      </c>
      <c r="Q57" s="44">
        <f t="shared" si="6"/>
        <v>34305882.035626352</v>
      </c>
      <c r="R57" s="44">
        <f t="shared" si="6"/>
        <v>30730439.795062963</v>
      </c>
      <c r="S57" s="44">
        <f t="shared" si="6"/>
        <v>27681468.261579748</v>
      </c>
      <c r="T57" s="44">
        <f t="shared" si="6"/>
        <v>25065180.627488941</v>
      </c>
      <c r="U57" s="44">
        <f t="shared" si="6"/>
        <v>22806974.035783198</v>
      </c>
      <c r="V57" s="44">
        <f t="shared" si="6"/>
        <v>20847049.055066802</v>
      </c>
      <c r="W57" s="44">
        <f t="shared" si="6"/>
        <v>19137125.389203999</v>
      </c>
      <c r="X57" s="44">
        <f t="shared" si="6"/>
        <v>17637957.125882383</v>
      </c>
      <c r="Y57" s="44">
        <f t="shared" si="6"/>
        <v>16317436.802153451</v>
      </c>
      <c r="Z57" s="44">
        <f t="shared" si="6"/>
        <v>15149137.077890644</v>
      </c>
      <c r="AA57" s="44">
        <f t="shared" si="6"/>
        <v>14111180.454495337</v>
      </c>
    </row>
    <row r="58" spans="1:27" s="144" customFormat="1" ht="12.75" hidden="1" x14ac:dyDescent="0.2">
      <c r="E58" s="131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pans="1:27" s="35" customFormat="1" ht="12.75" hidden="1" x14ac:dyDescent="0.2">
      <c r="A59" s="10"/>
      <c r="B59" s="227"/>
      <c r="C59" s="227"/>
      <c r="D59" s="10"/>
      <c r="E59" s="227"/>
      <c r="F59" s="227"/>
      <c r="G59" s="227"/>
      <c r="H59" s="227"/>
    </row>
    <row r="60" spans="1:27" s="92" customFormat="1" ht="12.75" hidden="1" x14ac:dyDescent="0.2">
      <c r="A60" s="77" t="s">
        <v>134</v>
      </c>
      <c r="B60" s="44"/>
      <c r="C60" s="44"/>
      <c r="D60" s="77" t="str">
        <f>A60</f>
        <v>Caja generada por operaciones</v>
      </c>
      <c r="E60" s="44"/>
      <c r="F60" s="44"/>
      <c r="G60" s="44">
        <f>'Flujo de Caja'!N11</f>
        <v>10915099.690266669</v>
      </c>
      <c r="H60" s="44">
        <f>'Flujo de Caja'!AA11</f>
        <v>3374598.1944123344</v>
      </c>
      <c r="I60" s="44">
        <f>'Flujo de Caja'!AB11</f>
        <v>28596523.678844966</v>
      </c>
      <c r="J60" s="44">
        <f>'Flujo de Caja'!AC11</f>
        <v>44926880.952462822</v>
      </c>
      <c r="K60" s="44">
        <f>'Flujo de Caja'!AD11</f>
        <v>71072308.1613639</v>
      </c>
    </row>
    <row r="61" spans="1:27" s="92" customFormat="1" ht="12.75" hidden="1" x14ac:dyDescent="0.2">
      <c r="A61" s="77" t="s">
        <v>211</v>
      </c>
      <c r="B61" s="44"/>
      <c r="C61" s="44"/>
      <c r="D61" s="77" t="str">
        <f>A61</f>
        <v>Inversión en capital de trabajo</v>
      </c>
      <c r="E61" s="44"/>
      <c r="F61" s="44"/>
      <c r="G61" s="44">
        <f>'Flujo de Caja'!N17</f>
        <v>-238119.67999999999</v>
      </c>
      <c r="H61" s="44">
        <f>'Flujo de Caja'!AA17</f>
        <v>-1535720.2432000004</v>
      </c>
      <c r="I61" s="44">
        <f>'Flujo de Caja'!AB17</f>
        <v>1095617.7076723177</v>
      </c>
      <c r="J61" s="44">
        <f>'Flujo de Caja'!AC17</f>
        <v>-369843.90694442997</v>
      </c>
      <c r="K61" s="44">
        <f>'Flujo de Caja'!AD17</f>
        <v>-539877.02858438343</v>
      </c>
    </row>
    <row r="62" spans="1:27" s="92" customFormat="1" ht="12.75" hidden="1" x14ac:dyDescent="0.2">
      <c r="A62" s="77" t="s">
        <v>86</v>
      </c>
      <c r="B62" s="44"/>
      <c r="C62" s="44"/>
      <c r="D62" s="77" t="str">
        <f>A62</f>
        <v>Inversión en activos fijos</v>
      </c>
      <c r="E62" s="44"/>
      <c r="F62" s="44"/>
      <c r="G62" s="44">
        <f>'Flujo de Caja'!N19</f>
        <v>-775000</v>
      </c>
      <c r="H62" s="44">
        <f>'Flujo de Caja'!AA19</f>
        <v>0</v>
      </c>
      <c r="I62" s="44">
        <f>'Flujo de Caja'!AB19</f>
        <v>0</v>
      </c>
      <c r="J62" s="44">
        <f>'Flujo de Caja'!AC19</f>
        <v>0</v>
      </c>
      <c r="K62" s="44">
        <f>'Flujo de Caja'!AD19</f>
        <v>0</v>
      </c>
    </row>
    <row r="63" spans="1:27" s="92" customFormat="1" ht="12.75" hidden="1" x14ac:dyDescent="0.2">
      <c r="A63" s="77" t="s">
        <v>103</v>
      </c>
      <c r="B63" s="44"/>
      <c r="C63" s="44"/>
      <c r="D63" s="77" t="str">
        <f>A63</f>
        <v>Financiamiento</v>
      </c>
      <c r="E63" s="44"/>
      <c r="F63" s="44"/>
      <c r="G63" s="44">
        <f>'Flujo de Caja'!N33</f>
        <v>1941954.1396148934</v>
      </c>
      <c r="H63" s="44">
        <f>'Flujo de Caja'!AA33</f>
        <v>-937593.6651604611</v>
      </c>
      <c r="I63" s="44">
        <f>'Flujo de Caja'!AB33</f>
        <v>-482770</v>
      </c>
      <c r="J63" s="44">
        <f>'Flujo de Caja'!AC33</f>
        <v>0</v>
      </c>
      <c r="K63" s="44">
        <f>'Flujo de Caja'!AD33</f>
        <v>0</v>
      </c>
    </row>
    <row r="64" spans="1:27" ht="12.75" hidden="1" x14ac:dyDescent="0.2">
      <c r="G64" s="138"/>
      <c r="H64" s="138"/>
      <c r="I64" s="138"/>
      <c r="J64" s="138"/>
      <c r="K64" s="138"/>
    </row>
    <row r="65" spans="1:2" ht="12.75" hidden="1" x14ac:dyDescent="0.2">
      <c r="A65" s="116" t="s">
        <v>13</v>
      </c>
    </row>
    <row r="66" spans="1:2" ht="14.25" hidden="1" customHeight="1" x14ac:dyDescent="0.2">
      <c r="A66" s="116" t="s">
        <v>165</v>
      </c>
    </row>
    <row r="67" spans="1:2" ht="14.25" hidden="1" customHeight="1" x14ac:dyDescent="0.2">
      <c r="A67" s="116" t="s">
        <v>124</v>
      </c>
    </row>
    <row r="68" spans="1:2" ht="14.25" hidden="1" customHeight="1" x14ac:dyDescent="0.2">
      <c r="A68" s="116" t="s">
        <v>93</v>
      </c>
      <c r="B68" s="128"/>
    </row>
    <row r="69" spans="1:2" ht="14.25" hidden="1" customHeight="1" x14ac:dyDescent="0.2"/>
    <row r="70" spans="1:2" ht="14.25" hidden="1" customHeight="1" x14ac:dyDescent="0.2">
      <c r="A70" s="116" t="s">
        <v>241</v>
      </c>
    </row>
    <row r="71" spans="1:2" ht="14.25" hidden="1" customHeight="1" x14ac:dyDescent="0.2">
      <c r="A71" s="116" t="s">
        <v>204</v>
      </c>
      <c r="B71" s="128"/>
    </row>
    <row r="72" spans="1:2" ht="14.25" hidden="1" customHeight="1" x14ac:dyDescent="0.2"/>
    <row r="73" spans="1:2" ht="14.25" hidden="1" customHeight="1" x14ac:dyDescent="0.2">
      <c r="A73" s="116" t="s">
        <v>163</v>
      </c>
    </row>
    <row r="74" spans="1:2" ht="14.25" hidden="1" customHeight="1" x14ac:dyDescent="0.2">
      <c r="A74" s="116" t="s">
        <v>143</v>
      </c>
      <c r="B74" s="128"/>
    </row>
    <row r="75" spans="1:2" ht="14.25" hidden="1" customHeight="1" x14ac:dyDescent="0.2"/>
    <row r="76" spans="1:2" ht="14.25" hidden="1" customHeight="1" x14ac:dyDescent="0.2">
      <c r="A76" s="116" t="s">
        <v>33</v>
      </c>
    </row>
    <row r="77" spans="1:2" ht="14.25" hidden="1" customHeight="1" x14ac:dyDescent="0.2">
      <c r="A77" s="116" t="s">
        <v>146</v>
      </c>
      <c r="B77" s="128"/>
    </row>
    <row r="78" spans="1:2" ht="14.25" hidden="1" customHeight="1" x14ac:dyDescent="0.2">
      <c r="A78" s="116" t="s">
        <v>120</v>
      </c>
      <c r="B78" s="128"/>
    </row>
    <row r="79" spans="1:2" ht="14.25" hidden="1" customHeight="1" x14ac:dyDescent="0.2">
      <c r="A79" s="116" t="s">
        <v>107</v>
      </c>
      <c r="B79" s="128"/>
    </row>
    <row r="80" spans="1:2" ht="14.25" hidden="1" customHeight="1" x14ac:dyDescent="0.2">
      <c r="A80" s="116" t="s">
        <v>104</v>
      </c>
      <c r="B80" s="128"/>
    </row>
    <row r="81" spans="1:2" ht="14.25" hidden="1" customHeight="1" x14ac:dyDescent="0.2">
      <c r="A81" s="116" t="s">
        <v>168</v>
      </c>
      <c r="B81" s="128"/>
    </row>
    <row r="82" spans="1:2" ht="14.25" hidden="1" customHeight="1" x14ac:dyDescent="0.2">
      <c r="A82" s="116" t="s">
        <v>67</v>
      </c>
      <c r="B82" s="128"/>
    </row>
    <row r="83" spans="1:2" ht="14.25" hidden="1" customHeight="1" x14ac:dyDescent="0.2">
      <c r="A83" s="116" t="s">
        <v>196</v>
      </c>
      <c r="B83" s="128"/>
    </row>
    <row r="84" spans="1:2" ht="14.25" hidden="1" customHeight="1" x14ac:dyDescent="0.2">
      <c r="A84" s="116" t="s">
        <v>126</v>
      </c>
      <c r="B84" s="128"/>
    </row>
    <row r="85" spans="1:2" ht="14.25" hidden="1" customHeight="1" x14ac:dyDescent="0.2">
      <c r="A85" s="116" t="s">
        <v>150</v>
      </c>
      <c r="B85" s="128"/>
    </row>
    <row r="86" spans="1:2" ht="14.25" hidden="1" customHeight="1" x14ac:dyDescent="0.2"/>
    <row r="87" spans="1:2" ht="14.25" hidden="1" customHeight="1" x14ac:dyDescent="0.2">
      <c r="A87" s="116" t="s">
        <v>161</v>
      </c>
    </row>
    <row r="88" spans="1:2" ht="14.25" hidden="1" customHeight="1" x14ac:dyDescent="0.2">
      <c r="A88" s="116" t="s">
        <v>91</v>
      </c>
    </row>
    <row r="89" spans="1:2" ht="14.25" hidden="1" customHeight="1" x14ac:dyDescent="0.2">
      <c r="A89" s="116" t="s">
        <v>9</v>
      </c>
    </row>
    <row r="90" spans="1:2" ht="14.25" hidden="1" customHeight="1" x14ac:dyDescent="0.2">
      <c r="A90" s="116" t="s">
        <v>114</v>
      </c>
    </row>
    <row r="91" spans="1:2" ht="14.25" hidden="1" customHeight="1" x14ac:dyDescent="0.2">
      <c r="A91" s="116" t="s">
        <v>20</v>
      </c>
    </row>
    <row r="92" spans="1:2" ht="14.25" hidden="1" customHeight="1" x14ac:dyDescent="0.2">
      <c r="A92" s="116" t="s">
        <v>107</v>
      </c>
    </row>
    <row r="93" spans="1:2" ht="14.25" hidden="1" customHeight="1" x14ac:dyDescent="0.2">
      <c r="A93" s="116" t="s">
        <v>74</v>
      </c>
    </row>
    <row r="94" spans="1:2" ht="14.25" hidden="1" customHeight="1" x14ac:dyDescent="0.2">
      <c r="A94" s="116" t="s">
        <v>168</v>
      </c>
    </row>
    <row r="95" spans="1:2" ht="14.25" hidden="1" customHeight="1" x14ac:dyDescent="0.2"/>
    <row r="96" spans="1:2" ht="14.25" hidden="1" customHeight="1" x14ac:dyDescent="0.2">
      <c r="A96" s="116" t="s">
        <v>73</v>
      </c>
    </row>
    <row r="97" spans="1:1" ht="14.25" hidden="1" customHeight="1" x14ac:dyDescent="0.2"/>
    <row r="98" spans="1:1" ht="14.25" hidden="1" customHeight="1" x14ac:dyDescent="0.2">
      <c r="A98" s="116" t="s">
        <v>160</v>
      </c>
    </row>
  </sheetData>
  <sheetProtection sheet="1" objects="1" scenarios="1"/>
  <mergeCells count="1">
    <mergeCell ref="B34:D34"/>
  </mergeCells>
  <pageMargins left="0.7" right="0.7" top="0.75" bottom="0.7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76"/>
  <sheetViews>
    <sheetView showGridLines="0" showRowColHeaders="0" topLeftCell="A166" workbookViewId="0"/>
  </sheetViews>
  <sheetFormatPr baseColWidth="10" defaultColWidth="9.140625" defaultRowHeight="12.75" x14ac:dyDescent="0.2"/>
  <cols>
    <col min="1" max="1" width="4.85546875" customWidth="1"/>
    <col min="2" max="2" width="60.7109375" customWidth="1"/>
    <col min="3" max="3" width="6" customWidth="1"/>
    <col min="4" max="4" width="60.7109375" customWidth="1"/>
  </cols>
  <sheetData>
    <row r="1" spans="1:12" s="128" customFormat="1" ht="9" customHeight="1" x14ac:dyDescent="0.2">
      <c r="A1" s="116"/>
      <c r="B1" s="87"/>
      <c r="C1" s="87"/>
      <c r="D1" s="87"/>
      <c r="E1" s="87"/>
      <c r="F1" s="87"/>
      <c r="G1" s="87"/>
      <c r="H1" s="87"/>
    </row>
    <row r="2" spans="1:12" s="128" customFormat="1" ht="20.25" customHeight="1" x14ac:dyDescent="0.35">
      <c r="A2" s="116"/>
      <c r="B2" s="241" t="str">
        <f>Resumen!D57</f>
        <v>VAN sin perpetuidad (Pesos)</v>
      </c>
      <c r="C2" s="242"/>
      <c r="D2" s="243"/>
      <c r="E2" s="13"/>
      <c r="F2" s="87"/>
      <c r="G2" s="107"/>
      <c r="H2" s="58"/>
      <c r="I2" s="58"/>
      <c r="J2" s="58"/>
      <c r="K2" s="58"/>
      <c r="L2" s="58"/>
    </row>
    <row r="3" spans="1:12" s="128" customFormat="1" ht="12.75" customHeight="1" x14ac:dyDescent="0.2">
      <c r="A3" s="116"/>
      <c r="B3" s="218"/>
      <c r="C3" s="87"/>
      <c r="D3" s="48"/>
      <c r="E3" s="87"/>
      <c r="F3" s="87"/>
      <c r="G3" s="87"/>
      <c r="H3" s="87"/>
    </row>
    <row r="4" spans="1:12" s="128" customFormat="1" ht="12.75" customHeight="1" x14ac:dyDescent="0.2">
      <c r="A4" s="116"/>
      <c r="B4" s="218"/>
      <c r="C4" s="87"/>
      <c r="D4" s="48"/>
      <c r="E4" s="87"/>
      <c r="F4" s="87"/>
      <c r="G4" s="87"/>
      <c r="H4" s="87"/>
    </row>
    <row r="5" spans="1:12" s="128" customFormat="1" ht="12.75" customHeight="1" x14ac:dyDescent="0.2">
      <c r="A5" s="116"/>
      <c r="B5" s="218"/>
      <c r="C5" s="87"/>
      <c r="D5" s="48"/>
      <c r="E5" s="87"/>
      <c r="F5" s="87"/>
      <c r="G5" s="87"/>
      <c r="H5" s="87"/>
    </row>
    <row r="6" spans="1:12" s="128" customFormat="1" ht="12.75" customHeight="1" x14ac:dyDescent="0.2">
      <c r="A6" s="116"/>
      <c r="B6" s="218"/>
      <c r="C6" s="87"/>
      <c r="D6" s="48"/>
      <c r="E6" s="87"/>
      <c r="F6" s="87"/>
      <c r="G6" s="87"/>
      <c r="H6" s="87"/>
    </row>
    <row r="7" spans="1:12" s="128" customFormat="1" ht="12.75" customHeight="1" x14ac:dyDescent="0.2">
      <c r="A7" s="116"/>
      <c r="B7" s="218"/>
      <c r="C7" s="87"/>
      <c r="D7" s="48"/>
      <c r="E7" s="87"/>
      <c r="F7" s="87"/>
      <c r="G7" s="87"/>
      <c r="H7" s="87"/>
    </row>
    <row r="8" spans="1:12" s="128" customFormat="1" ht="12.75" customHeight="1" x14ac:dyDescent="0.2">
      <c r="A8" s="116"/>
      <c r="B8" s="218"/>
      <c r="C8" s="87"/>
      <c r="D8" s="48"/>
      <c r="E8" s="87"/>
      <c r="F8" s="87"/>
      <c r="G8" s="87"/>
      <c r="H8" s="87"/>
    </row>
    <row r="9" spans="1:12" s="128" customFormat="1" ht="12.75" customHeight="1" x14ac:dyDescent="0.2">
      <c r="A9" s="116"/>
      <c r="B9" s="218"/>
      <c r="C9" s="87"/>
      <c r="D9" s="48"/>
      <c r="E9" s="87"/>
      <c r="F9" s="87"/>
      <c r="G9" s="87"/>
      <c r="H9" s="87"/>
    </row>
    <row r="10" spans="1:12" s="128" customFormat="1" ht="12.75" customHeight="1" x14ac:dyDescent="0.2">
      <c r="A10" s="116"/>
      <c r="B10" s="218"/>
      <c r="C10" s="87"/>
      <c r="D10" s="48"/>
      <c r="E10" s="87"/>
      <c r="F10" s="87"/>
      <c r="G10" s="87"/>
      <c r="H10" s="87"/>
    </row>
    <row r="11" spans="1:12" s="128" customFormat="1" ht="12.75" customHeight="1" x14ac:dyDescent="0.2">
      <c r="A11" s="116"/>
      <c r="B11" s="218"/>
      <c r="C11" s="87"/>
      <c r="D11" s="48"/>
      <c r="E11" s="87"/>
      <c r="F11" s="87"/>
      <c r="G11" s="87"/>
      <c r="H11" s="87"/>
    </row>
    <row r="12" spans="1:12" s="128" customFormat="1" ht="12.75" customHeight="1" x14ac:dyDescent="0.2">
      <c r="A12" s="116"/>
      <c r="B12" s="218"/>
      <c r="C12" s="87"/>
      <c r="D12" s="48"/>
      <c r="E12" s="87"/>
      <c r="F12" s="87"/>
      <c r="G12" s="87"/>
      <c r="H12" s="87"/>
    </row>
    <row r="13" spans="1:12" s="128" customFormat="1" ht="12.75" customHeight="1" x14ac:dyDescent="0.2">
      <c r="A13" s="116"/>
      <c r="B13" s="218"/>
      <c r="C13" s="87"/>
      <c r="D13" s="48"/>
      <c r="E13" s="87"/>
      <c r="F13" s="87"/>
      <c r="G13" s="87"/>
      <c r="H13" s="87"/>
    </row>
    <row r="14" spans="1:12" s="128" customFormat="1" ht="12.75" customHeight="1" x14ac:dyDescent="0.2">
      <c r="A14" s="116"/>
      <c r="B14" s="218"/>
      <c r="C14" s="87"/>
      <c r="D14" s="48"/>
      <c r="E14" s="87"/>
      <c r="F14" s="87"/>
      <c r="G14" s="87"/>
      <c r="H14" s="87"/>
    </row>
    <row r="15" spans="1:12" s="128" customFormat="1" ht="12.75" customHeight="1" x14ac:dyDescent="0.2">
      <c r="A15" s="116"/>
      <c r="B15" s="218"/>
      <c r="C15" s="87"/>
      <c r="D15" s="48"/>
      <c r="E15" s="87"/>
      <c r="F15" s="87"/>
      <c r="G15" s="87"/>
      <c r="H15" s="87"/>
    </row>
    <row r="16" spans="1:12" s="128" customFormat="1" ht="12.75" customHeight="1" x14ac:dyDescent="0.2">
      <c r="A16" s="116"/>
      <c r="B16" s="218"/>
      <c r="C16" s="87"/>
      <c r="D16" s="48"/>
      <c r="E16" s="87"/>
      <c r="F16" s="87"/>
      <c r="G16" s="87"/>
      <c r="H16" s="87"/>
    </row>
    <row r="17" spans="1:12" s="128" customFormat="1" ht="12.75" customHeight="1" x14ac:dyDescent="0.2">
      <c r="A17" s="116"/>
      <c r="B17" s="218"/>
      <c r="C17" s="87"/>
      <c r="D17" s="48"/>
      <c r="E17" s="87"/>
      <c r="F17" s="87"/>
      <c r="G17" s="87"/>
      <c r="H17" s="87"/>
    </row>
    <row r="18" spans="1:12" s="128" customFormat="1" ht="12.75" customHeight="1" x14ac:dyDescent="0.2">
      <c r="A18" s="116"/>
      <c r="B18" s="218"/>
      <c r="C18" s="87"/>
      <c r="D18" s="48"/>
      <c r="E18" s="87"/>
      <c r="F18" s="87"/>
      <c r="G18" s="87"/>
      <c r="H18" s="87"/>
    </row>
    <row r="19" spans="1:12" s="128" customFormat="1" ht="12.75" customHeight="1" x14ac:dyDescent="0.2">
      <c r="A19" s="116"/>
      <c r="B19" s="218"/>
      <c r="C19" s="87"/>
      <c r="D19" s="48"/>
      <c r="E19" s="87"/>
      <c r="F19" s="87"/>
      <c r="G19" s="87"/>
      <c r="H19" s="87"/>
    </row>
    <row r="20" spans="1:12" s="128" customFormat="1" ht="12.75" customHeight="1" x14ac:dyDescent="0.2">
      <c r="A20" s="116"/>
      <c r="B20" s="218"/>
      <c r="C20" s="87"/>
      <c r="D20" s="48"/>
      <c r="E20" s="87"/>
      <c r="F20" s="87"/>
      <c r="G20" s="87"/>
      <c r="H20" s="87"/>
    </row>
    <row r="21" spans="1:12" s="128" customFormat="1" ht="12.75" customHeight="1" x14ac:dyDescent="0.2">
      <c r="A21" s="116"/>
      <c r="B21" s="1"/>
      <c r="C21" s="76"/>
      <c r="D21" s="229"/>
      <c r="E21" s="87"/>
      <c r="F21" s="87"/>
      <c r="G21" s="87"/>
      <c r="H21" s="87"/>
    </row>
    <row r="22" spans="1:12" s="128" customFormat="1" ht="14.25" customHeight="1" x14ac:dyDescent="0.2">
      <c r="A22" s="116"/>
      <c r="B22" s="87"/>
      <c r="C22" s="87"/>
      <c r="D22" s="87"/>
      <c r="E22" s="87"/>
      <c r="F22" s="87"/>
      <c r="G22" s="87"/>
      <c r="H22" s="87"/>
    </row>
    <row r="23" spans="1:12" s="128" customFormat="1" ht="14.25" customHeight="1" x14ac:dyDescent="0.2">
      <c r="A23" s="116"/>
      <c r="B23" s="87"/>
      <c r="C23" s="87"/>
      <c r="D23" s="87"/>
      <c r="E23" s="87"/>
      <c r="F23" s="87"/>
      <c r="G23" s="87"/>
      <c r="H23" s="87"/>
    </row>
    <row r="24" spans="1:12" s="128" customFormat="1" ht="12" customHeight="1" x14ac:dyDescent="0.2">
      <c r="A24" s="116"/>
      <c r="B24" s="87"/>
      <c r="C24" s="87"/>
      <c r="D24" s="87"/>
      <c r="E24" s="87"/>
      <c r="F24" s="87"/>
      <c r="G24" s="87"/>
      <c r="H24" s="87"/>
    </row>
    <row r="25" spans="1:12" s="128" customFormat="1" ht="20.25" customHeight="1" x14ac:dyDescent="0.35">
      <c r="A25" s="116"/>
      <c r="B25" s="120" t="str">
        <f>Resumen!D40</f>
        <v>Ventas (Pesos)</v>
      </c>
      <c r="C25" s="13"/>
      <c r="D25" s="120" t="str">
        <f>Resumen!D40</f>
        <v>Ventas (Pesos)</v>
      </c>
      <c r="E25" s="13"/>
      <c r="F25" s="87"/>
      <c r="G25" s="244"/>
      <c r="H25" s="245"/>
      <c r="I25" s="245"/>
      <c r="J25" s="245"/>
      <c r="K25" s="245"/>
      <c r="L25" s="245"/>
    </row>
    <row r="26" spans="1:12" s="128" customFormat="1" ht="14.25" customHeight="1" x14ac:dyDescent="0.2">
      <c r="A26" s="116"/>
      <c r="B26" s="156"/>
      <c r="C26" s="87"/>
      <c r="D26" s="156"/>
      <c r="E26" s="87"/>
      <c r="F26" s="87"/>
      <c r="G26" s="87"/>
      <c r="H26" s="87"/>
    </row>
    <row r="27" spans="1:12" s="128" customFormat="1" ht="14.25" customHeight="1" x14ac:dyDescent="0.2">
      <c r="A27" s="116"/>
      <c r="B27" s="156"/>
      <c r="C27" s="87"/>
      <c r="D27" s="156"/>
      <c r="E27" s="87"/>
      <c r="F27" s="87"/>
      <c r="G27" s="87"/>
      <c r="H27" s="87"/>
    </row>
    <row r="28" spans="1:12" s="128" customFormat="1" ht="14.25" customHeight="1" x14ac:dyDescent="0.2">
      <c r="A28" s="116"/>
      <c r="B28" s="156"/>
      <c r="C28" s="87"/>
      <c r="D28" s="156"/>
      <c r="E28" s="87"/>
      <c r="F28" s="87"/>
      <c r="G28" s="87"/>
      <c r="H28" s="87"/>
    </row>
    <row r="29" spans="1:12" s="128" customFormat="1" ht="14.25" customHeight="1" x14ac:dyDescent="0.2">
      <c r="A29" s="116"/>
      <c r="B29" s="156"/>
      <c r="C29" s="87"/>
      <c r="D29" s="156"/>
      <c r="E29" s="87"/>
      <c r="F29" s="87"/>
      <c r="G29" s="87"/>
      <c r="H29" s="87"/>
    </row>
    <row r="30" spans="1:12" s="128" customFormat="1" ht="14.25" customHeight="1" x14ac:dyDescent="0.2">
      <c r="A30" s="116"/>
      <c r="B30" s="156"/>
      <c r="C30" s="87"/>
      <c r="D30" s="156"/>
      <c r="E30" s="87"/>
      <c r="F30" s="87"/>
      <c r="G30" s="87"/>
      <c r="H30" s="87"/>
    </row>
    <row r="31" spans="1:12" s="128" customFormat="1" ht="14.25" customHeight="1" x14ac:dyDescent="0.2">
      <c r="A31" s="116"/>
      <c r="B31" s="156"/>
      <c r="C31" s="87"/>
      <c r="D31" s="156"/>
      <c r="E31" s="87"/>
      <c r="F31" s="87"/>
      <c r="G31" s="87"/>
      <c r="H31" s="87"/>
    </row>
    <row r="32" spans="1:12" s="128" customFormat="1" ht="14.25" customHeight="1" x14ac:dyDescent="0.2">
      <c r="A32" s="116"/>
      <c r="B32" s="156"/>
      <c r="C32" s="87"/>
      <c r="D32" s="156"/>
      <c r="E32" s="87"/>
      <c r="F32" s="87"/>
      <c r="G32" s="87"/>
      <c r="H32" s="87"/>
    </row>
    <row r="33" spans="1:12" s="128" customFormat="1" ht="14.25" customHeight="1" x14ac:dyDescent="0.2">
      <c r="A33" s="116"/>
      <c r="B33" s="156"/>
      <c r="C33" s="87"/>
      <c r="D33" s="156"/>
      <c r="E33" s="87"/>
      <c r="F33" s="87"/>
      <c r="G33" s="87"/>
      <c r="H33" s="87"/>
    </row>
    <row r="34" spans="1:12" s="128" customFormat="1" ht="14.25" customHeight="1" x14ac:dyDescent="0.2">
      <c r="A34" s="116"/>
      <c r="B34" s="156"/>
      <c r="C34" s="87"/>
      <c r="D34" s="156"/>
      <c r="E34" s="87"/>
      <c r="F34" s="87"/>
      <c r="G34" s="87"/>
      <c r="H34" s="87"/>
    </row>
    <row r="35" spans="1:12" s="128" customFormat="1" ht="14.25" customHeight="1" x14ac:dyDescent="0.2">
      <c r="A35" s="116"/>
      <c r="B35" s="156"/>
      <c r="C35" s="87"/>
      <c r="D35" s="156"/>
      <c r="E35" s="87"/>
      <c r="F35" s="87"/>
      <c r="G35" s="87"/>
      <c r="H35" s="87"/>
    </row>
    <row r="36" spans="1:12" s="128" customFormat="1" ht="14.25" customHeight="1" x14ac:dyDescent="0.2">
      <c r="A36" s="116"/>
      <c r="B36" s="156"/>
      <c r="C36" s="87"/>
      <c r="D36" s="156"/>
      <c r="E36" s="87"/>
      <c r="F36" s="87"/>
      <c r="G36" s="87"/>
      <c r="H36" s="87"/>
    </row>
    <row r="37" spans="1:12" s="128" customFormat="1" ht="14.25" customHeight="1" x14ac:dyDescent="0.2">
      <c r="A37" s="116"/>
      <c r="B37" s="156"/>
      <c r="C37" s="87"/>
      <c r="D37" s="156"/>
      <c r="E37" s="87"/>
      <c r="F37" s="87"/>
      <c r="G37" s="87"/>
      <c r="H37" s="87"/>
    </row>
    <row r="38" spans="1:12" s="128" customFormat="1" ht="14.25" customHeight="1" x14ac:dyDescent="0.2">
      <c r="A38" s="116"/>
      <c r="B38" s="156"/>
      <c r="C38" s="87"/>
      <c r="D38" s="156"/>
      <c r="E38" s="87"/>
      <c r="F38" s="87"/>
      <c r="G38" s="87"/>
      <c r="H38" s="87"/>
    </row>
    <row r="39" spans="1:12" s="128" customFormat="1" ht="14.25" customHeight="1" x14ac:dyDescent="0.2">
      <c r="A39" s="116"/>
      <c r="B39" s="146"/>
      <c r="C39" s="87"/>
      <c r="D39" s="146"/>
      <c r="E39" s="87"/>
      <c r="F39" s="87"/>
      <c r="G39" s="87"/>
      <c r="H39" s="87"/>
    </row>
    <row r="40" spans="1:12" s="128" customFormat="1" ht="15" customHeight="1" x14ac:dyDescent="0.2">
      <c r="A40" s="116"/>
      <c r="B40" s="87"/>
      <c r="C40" s="87"/>
      <c r="D40" s="87"/>
      <c r="E40" s="87"/>
      <c r="F40" s="87"/>
      <c r="G40" s="87"/>
      <c r="H40" s="87"/>
    </row>
    <row r="41" spans="1:12" s="128" customFormat="1" ht="15" customHeight="1" x14ac:dyDescent="0.2">
      <c r="A41" s="116"/>
      <c r="B41" s="87"/>
      <c r="C41" s="87"/>
      <c r="D41" s="87"/>
      <c r="E41" s="87"/>
      <c r="F41" s="87"/>
      <c r="G41" s="87"/>
      <c r="H41" s="87"/>
    </row>
    <row r="42" spans="1:12" s="128" customFormat="1" ht="15" customHeight="1" x14ac:dyDescent="0.2">
      <c r="A42" s="116"/>
      <c r="B42" s="87"/>
      <c r="C42" s="87"/>
      <c r="D42" s="87"/>
      <c r="E42" s="87"/>
      <c r="F42" s="87"/>
      <c r="G42" s="87"/>
      <c r="H42" s="87"/>
    </row>
    <row r="43" spans="1:12" s="128" customFormat="1" ht="20.25" customHeight="1" x14ac:dyDescent="0.35">
      <c r="A43" s="116"/>
      <c r="B43" s="120" t="str">
        <f>Resumen!D42</f>
        <v>Flujo de caja libre (Pesos)</v>
      </c>
      <c r="C43" s="13"/>
      <c r="D43" s="120" t="str">
        <f>Resumen!D42</f>
        <v>Flujo de caja libre (Pesos)</v>
      </c>
      <c r="E43" s="13"/>
      <c r="F43" s="87"/>
      <c r="G43" s="244"/>
      <c r="H43" s="245"/>
      <c r="I43" s="245"/>
      <c r="J43" s="245"/>
      <c r="K43" s="245"/>
      <c r="L43" s="245"/>
    </row>
    <row r="44" spans="1:12" s="128" customFormat="1" ht="15" customHeight="1" x14ac:dyDescent="0.2">
      <c r="A44" s="116"/>
      <c r="B44" s="156"/>
      <c r="C44" s="87"/>
      <c r="D44" s="156"/>
      <c r="E44" s="87"/>
      <c r="F44" s="87"/>
      <c r="G44" s="87"/>
      <c r="H44" s="87"/>
    </row>
    <row r="45" spans="1:12" s="128" customFormat="1" ht="15" customHeight="1" x14ac:dyDescent="0.2">
      <c r="A45" s="116"/>
      <c r="B45" s="156"/>
      <c r="C45" s="87"/>
      <c r="D45" s="156"/>
      <c r="E45" s="87"/>
      <c r="F45" s="87"/>
      <c r="G45" s="87"/>
      <c r="H45" s="87"/>
    </row>
    <row r="46" spans="1:12" s="128" customFormat="1" ht="15" customHeight="1" x14ac:dyDescent="0.2">
      <c r="A46" s="116"/>
      <c r="B46" s="156"/>
      <c r="C46" s="87"/>
      <c r="D46" s="156"/>
      <c r="E46" s="87"/>
      <c r="F46" s="87"/>
      <c r="G46" s="87"/>
      <c r="H46" s="87"/>
    </row>
    <row r="47" spans="1:12" s="128" customFormat="1" ht="15" customHeight="1" x14ac:dyDescent="0.2">
      <c r="A47" s="116"/>
      <c r="B47" s="156"/>
      <c r="C47" s="87"/>
      <c r="D47" s="156"/>
      <c r="E47" s="87"/>
      <c r="F47" s="87"/>
      <c r="G47" s="87"/>
      <c r="H47" s="87"/>
    </row>
    <row r="48" spans="1:12" s="128" customFormat="1" ht="15" customHeight="1" x14ac:dyDescent="0.2">
      <c r="A48" s="116"/>
      <c r="B48" s="156"/>
      <c r="C48" s="87"/>
      <c r="D48" s="156"/>
      <c r="E48" s="87"/>
      <c r="F48" s="87"/>
      <c r="G48" s="87"/>
      <c r="H48" s="87"/>
    </row>
    <row r="49" spans="1:12" s="128" customFormat="1" ht="15" customHeight="1" x14ac:dyDescent="0.2">
      <c r="A49" s="116"/>
      <c r="B49" s="156"/>
      <c r="C49" s="87"/>
      <c r="D49" s="156"/>
      <c r="E49" s="87"/>
      <c r="F49" s="87"/>
      <c r="G49" s="87"/>
      <c r="H49" s="87"/>
    </row>
    <row r="50" spans="1:12" s="128" customFormat="1" ht="15" customHeight="1" x14ac:dyDescent="0.2">
      <c r="A50" s="116"/>
      <c r="B50" s="156"/>
      <c r="C50" s="87"/>
      <c r="D50" s="156"/>
      <c r="E50" s="87"/>
      <c r="F50" s="87"/>
      <c r="G50" s="87"/>
      <c r="H50" s="87"/>
    </row>
    <row r="51" spans="1:12" s="128" customFormat="1" ht="15" customHeight="1" x14ac:dyDescent="0.2">
      <c r="A51" s="116"/>
      <c r="B51" s="156"/>
      <c r="C51" s="87"/>
      <c r="D51" s="156"/>
      <c r="E51" s="87"/>
      <c r="F51" s="87"/>
      <c r="G51" s="87"/>
      <c r="H51" s="87"/>
    </row>
    <row r="52" spans="1:12" s="128" customFormat="1" ht="15" customHeight="1" x14ac:dyDescent="0.2">
      <c r="A52" s="116"/>
      <c r="B52" s="156"/>
      <c r="C52" s="87"/>
      <c r="D52" s="156"/>
      <c r="E52" s="87"/>
      <c r="F52" s="87"/>
      <c r="G52" s="87"/>
      <c r="H52" s="87"/>
    </row>
    <row r="53" spans="1:12" s="128" customFormat="1" ht="15" customHeight="1" x14ac:dyDescent="0.2">
      <c r="A53" s="116"/>
      <c r="B53" s="156"/>
      <c r="C53" s="87"/>
      <c r="D53" s="156"/>
      <c r="E53" s="87"/>
      <c r="F53" s="87"/>
      <c r="G53" s="87"/>
      <c r="H53" s="87"/>
    </row>
    <row r="54" spans="1:12" s="128" customFormat="1" ht="15" customHeight="1" x14ac:dyDescent="0.2">
      <c r="A54" s="116"/>
      <c r="B54" s="156"/>
      <c r="C54" s="87"/>
      <c r="D54" s="156"/>
      <c r="E54" s="87"/>
      <c r="F54" s="87"/>
      <c r="G54" s="87"/>
      <c r="H54" s="87"/>
    </row>
    <row r="55" spans="1:12" s="128" customFormat="1" ht="15" customHeight="1" x14ac:dyDescent="0.2">
      <c r="A55" s="116"/>
      <c r="B55" s="156"/>
      <c r="C55" s="87"/>
      <c r="D55" s="156"/>
      <c r="E55" s="87"/>
      <c r="F55" s="87"/>
      <c r="G55" s="87"/>
      <c r="H55" s="87"/>
    </row>
    <row r="56" spans="1:12" s="128" customFormat="1" ht="15" customHeight="1" x14ac:dyDescent="0.2">
      <c r="A56" s="116"/>
      <c r="B56" s="156"/>
      <c r="C56" s="87"/>
      <c r="D56" s="156"/>
      <c r="E56" s="87"/>
      <c r="F56" s="87"/>
      <c r="G56" s="87"/>
      <c r="H56" s="87"/>
    </row>
    <row r="57" spans="1:12" s="128" customFormat="1" ht="15" customHeight="1" x14ac:dyDescent="0.2">
      <c r="A57" s="116"/>
      <c r="B57" s="156"/>
      <c r="C57" s="87"/>
      <c r="D57" s="156"/>
      <c r="E57" s="87"/>
      <c r="F57" s="87"/>
      <c r="G57" s="87"/>
      <c r="H57" s="87"/>
    </row>
    <row r="58" spans="1:12" s="164" customFormat="1" ht="40.5" customHeight="1" x14ac:dyDescent="0.2">
      <c r="A58" s="129"/>
      <c r="B58" s="95" t="s">
        <v>123</v>
      </c>
      <c r="C58" s="117"/>
      <c r="D58" s="95" t="s">
        <v>123</v>
      </c>
      <c r="E58" s="117"/>
      <c r="F58" s="117"/>
      <c r="G58" s="117"/>
      <c r="H58" s="117"/>
    </row>
    <row r="59" spans="1:12" s="128" customFormat="1" ht="15" customHeight="1" x14ac:dyDescent="0.2">
      <c r="A59" s="116"/>
      <c r="B59" s="87"/>
      <c r="C59" s="87"/>
      <c r="D59" s="87"/>
      <c r="E59" s="87"/>
      <c r="F59" s="87"/>
      <c r="G59" s="87"/>
      <c r="H59" s="87"/>
    </row>
    <row r="60" spans="1:12" s="128" customFormat="1" ht="15" customHeight="1" x14ac:dyDescent="0.2">
      <c r="A60" s="116"/>
      <c r="B60" s="87"/>
      <c r="C60" s="87"/>
      <c r="D60" s="87"/>
      <c r="E60" s="87"/>
      <c r="F60" s="87"/>
      <c r="G60" s="87"/>
      <c r="H60" s="87"/>
    </row>
    <row r="61" spans="1:12" s="128" customFormat="1" ht="15" customHeight="1" x14ac:dyDescent="0.2">
      <c r="A61" s="116"/>
      <c r="B61" s="87"/>
      <c r="C61" s="87"/>
      <c r="D61" s="87"/>
      <c r="E61" s="87"/>
      <c r="F61" s="87"/>
      <c r="G61" s="87"/>
      <c r="H61" s="87"/>
    </row>
    <row r="62" spans="1:12" s="128" customFormat="1" ht="20.25" customHeight="1" x14ac:dyDescent="0.35">
      <c r="A62" s="116"/>
      <c r="B62" s="120" t="str">
        <f>Resumen!D43</f>
        <v>Flujo de caja libre acumulado (Pesos)</v>
      </c>
      <c r="C62" s="13"/>
      <c r="D62" s="120" t="str">
        <f>Resumen!D43</f>
        <v>Flujo de caja libre acumulado (Pesos)</v>
      </c>
      <c r="E62" s="13"/>
      <c r="F62" s="87"/>
      <c r="G62" s="244"/>
      <c r="H62" s="245"/>
      <c r="I62" s="245"/>
      <c r="J62" s="245"/>
      <c r="K62" s="245"/>
      <c r="L62" s="245"/>
    </row>
    <row r="63" spans="1:12" s="128" customFormat="1" ht="15" customHeight="1" x14ac:dyDescent="0.2">
      <c r="A63" s="116"/>
      <c r="B63" s="156"/>
      <c r="C63" s="87"/>
      <c r="D63" s="156"/>
      <c r="E63" s="87"/>
      <c r="F63" s="87"/>
      <c r="G63" s="87"/>
      <c r="H63" s="87"/>
    </row>
    <row r="64" spans="1:12" s="128" customFormat="1" ht="15" customHeight="1" x14ac:dyDescent="0.2">
      <c r="A64" s="116"/>
      <c r="B64" s="156"/>
      <c r="C64" s="87"/>
      <c r="D64" s="156"/>
      <c r="E64" s="87"/>
      <c r="F64" s="87"/>
      <c r="G64" s="87"/>
      <c r="H64" s="87"/>
    </row>
    <row r="65" spans="1:8" s="128" customFormat="1" ht="15" customHeight="1" x14ac:dyDescent="0.2">
      <c r="A65" s="116"/>
      <c r="B65" s="156"/>
      <c r="C65" s="87"/>
      <c r="D65" s="156"/>
      <c r="E65" s="87"/>
      <c r="F65" s="87"/>
      <c r="G65" s="87"/>
      <c r="H65" s="87"/>
    </row>
    <row r="66" spans="1:8" s="128" customFormat="1" ht="15" customHeight="1" x14ac:dyDescent="0.2">
      <c r="A66" s="116"/>
      <c r="B66" s="156"/>
      <c r="C66" s="87"/>
      <c r="D66" s="156"/>
      <c r="E66" s="87"/>
      <c r="F66" s="87"/>
      <c r="G66" s="87"/>
      <c r="H66" s="87"/>
    </row>
    <row r="67" spans="1:8" s="128" customFormat="1" ht="15" customHeight="1" x14ac:dyDescent="0.2">
      <c r="A67" s="116"/>
      <c r="B67" s="156"/>
      <c r="C67" s="87"/>
      <c r="D67" s="156"/>
      <c r="E67" s="87"/>
      <c r="F67" s="87"/>
      <c r="G67" s="87"/>
      <c r="H67" s="87"/>
    </row>
    <row r="68" spans="1:8" s="128" customFormat="1" ht="15" customHeight="1" x14ac:dyDescent="0.2">
      <c r="A68" s="116"/>
      <c r="B68" s="156"/>
      <c r="C68" s="87"/>
      <c r="D68" s="156"/>
      <c r="E68" s="87"/>
      <c r="F68" s="87"/>
      <c r="G68" s="87"/>
      <c r="H68" s="87"/>
    </row>
    <row r="69" spans="1:8" s="128" customFormat="1" ht="15" customHeight="1" x14ac:dyDescent="0.2">
      <c r="A69" s="116"/>
      <c r="B69" s="156"/>
      <c r="C69" s="87"/>
      <c r="D69" s="156"/>
      <c r="E69" s="87"/>
      <c r="F69" s="87"/>
      <c r="G69" s="87"/>
      <c r="H69" s="87"/>
    </row>
    <row r="70" spans="1:8" s="128" customFormat="1" ht="15" customHeight="1" x14ac:dyDescent="0.2">
      <c r="A70" s="116"/>
      <c r="B70" s="156"/>
      <c r="C70" s="87"/>
      <c r="D70" s="156"/>
      <c r="E70" s="87"/>
      <c r="F70" s="87"/>
      <c r="G70" s="87"/>
      <c r="H70" s="87"/>
    </row>
    <row r="71" spans="1:8" s="128" customFormat="1" ht="15" customHeight="1" x14ac:dyDescent="0.2">
      <c r="A71" s="116"/>
      <c r="B71" s="156"/>
      <c r="C71" s="87"/>
      <c r="D71" s="156"/>
      <c r="E71" s="87"/>
      <c r="F71" s="87"/>
      <c r="G71" s="87"/>
      <c r="H71" s="87"/>
    </row>
    <row r="72" spans="1:8" s="128" customFormat="1" ht="15" customHeight="1" x14ac:dyDescent="0.2">
      <c r="A72" s="116"/>
      <c r="B72" s="156"/>
      <c r="C72" s="87"/>
      <c r="D72" s="156"/>
      <c r="E72" s="87"/>
      <c r="F72" s="87"/>
      <c r="G72" s="87"/>
      <c r="H72" s="87"/>
    </row>
    <row r="73" spans="1:8" s="128" customFormat="1" ht="15" customHeight="1" x14ac:dyDescent="0.2">
      <c r="A73" s="116"/>
      <c r="B73" s="156"/>
      <c r="C73" s="87"/>
      <c r="D73" s="156"/>
      <c r="E73" s="87"/>
      <c r="F73" s="87"/>
      <c r="G73" s="87"/>
      <c r="H73" s="87"/>
    </row>
    <row r="74" spans="1:8" s="128" customFormat="1" ht="15" customHeight="1" x14ac:dyDescent="0.2">
      <c r="A74" s="116"/>
      <c r="B74" s="156"/>
      <c r="C74" s="87"/>
      <c r="D74" s="156"/>
      <c r="E74" s="87"/>
      <c r="F74" s="87"/>
      <c r="G74" s="87"/>
      <c r="H74" s="87"/>
    </row>
    <row r="75" spans="1:8" s="128" customFormat="1" ht="15" customHeight="1" x14ac:dyDescent="0.2">
      <c r="A75" s="116"/>
      <c r="B75" s="156"/>
      <c r="C75" s="87"/>
      <c r="D75" s="156"/>
      <c r="E75" s="87"/>
      <c r="F75" s="87"/>
      <c r="G75" s="87"/>
      <c r="H75" s="87"/>
    </row>
    <row r="76" spans="1:8" s="128" customFormat="1" ht="15" customHeight="1" x14ac:dyDescent="0.2">
      <c r="A76" s="116"/>
      <c r="B76" s="156"/>
      <c r="C76" s="87"/>
      <c r="D76" s="156"/>
      <c r="E76" s="87"/>
      <c r="F76" s="87"/>
      <c r="G76" s="87"/>
      <c r="H76" s="87"/>
    </row>
    <row r="77" spans="1:8" s="164" customFormat="1" ht="54" customHeight="1" x14ac:dyDescent="0.2">
      <c r="A77" s="129"/>
      <c r="B77" s="95" t="s">
        <v>82</v>
      </c>
      <c r="C77" s="117"/>
      <c r="D77" s="95" t="s">
        <v>82</v>
      </c>
      <c r="E77" s="117"/>
      <c r="F77" s="117"/>
      <c r="G77" s="117"/>
      <c r="H77" s="117"/>
    </row>
    <row r="78" spans="1:8" s="128" customFormat="1" ht="15" customHeight="1" x14ac:dyDescent="0.2">
      <c r="A78" s="116"/>
      <c r="B78" s="87"/>
      <c r="C78" s="87"/>
      <c r="D78" s="87"/>
      <c r="E78" s="87"/>
      <c r="F78" s="87"/>
      <c r="G78" s="87"/>
      <c r="H78" s="87"/>
    </row>
    <row r="79" spans="1:8" s="128" customFormat="1" ht="15" customHeight="1" x14ac:dyDescent="0.2">
      <c r="A79" s="116"/>
      <c r="B79" s="87"/>
      <c r="C79" s="87"/>
      <c r="D79" s="87"/>
      <c r="E79" s="87"/>
      <c r="F79" s="87"/>
      <c r="G79" s="87"/>
      <c r="H79" s="87"/>
    </row>
    <row r="80" spans="1:8" s="128" customFormat="1" ht="15" customHeight="1" x14ac:dyDescent="0.2">
      <c r="A80" s="116"/>
      <c r="B80" s="87"/>
      <c r="C80" s="87"/>
      <c r="D80" s="87"/>
      <c r="E80" s="87"/>
      <c r="F80" s="87"/>
      <c r="G80" s="87"/>
      <c r="H80" s="87"/>
    </row>
    <row r="81" spans="1:12" s="128" customFormat="1" ht="20.25" customHeight="1" x14ac:dyDescent="0.35">
      <c r="A81" s="116"/>
      <c r="B81" s="120" t="str">
        <f>Resumen!D44</f>
        <v>Financiamiento necesario (Pesos)</v>
      </c>
      <c r="C81" s="13"/>
      <c r="D81" s="120" t="str">
        <f>Resumen!D44</f>
        <v>Financiamiento necesario (Pesos)</v>
      </c>
      <c r="E81" s="13"/>
      <c r="F81" s="87"/>
      <c r="G81" s="244"/>
      <c r="H81" s="245"/>
      <c r="I81" s="245"/>
      <c r="J81" s="245"/>
      <c r="K81" s="245"/>
      <c r="L81" s="245"/>
    </row>
    <row r="82" spans="1:12" s="128" customFormat="1" ht="15" customHeight="1" x14ac:dyDescent="0.2">
      <c r="A82" s="116"/>
      <c r="B82" s="156"/>
      <c r="C82" s="87"/>
      <c r="D82" s="156"/>
      <c r="E82" s="87"/>
      <c r="F82" s="87"/>
      <c r="G82" s="87"/>
      <c r="H82" s="87"/>
    </row>
    <row r="83" spans="1:12" s="128" customFormat="1" ht="15" customHeight="1" x14ac:dyDescent="0.2">
      <c r="A83" s="116"/>
      <c r="B83" s="156"/>
      <c r="C83" s="87"/>
      <c r="D83" s="156"/>
      <c r="E83" s="87"/>
      <c r="F83" s="87"/>
      <c r="G83" s="87"/>
      <c r="H83" s="87"/>
    </row>
    <row r="84" spans="1:12" s="128" customFormat="1" ht="15" customHeight="1" x14ac:dyDescent="0.2">
      <c r="A84" s="116"/>
      <c r="B84" s="156"/>
      <c r="C84" s="87"/>
      <c r="D84" s="156"/>
      <c r="E84" s="87"/>
      <c r="F84" s="87"/>
      <c r="G84" s="87"/>
      <c r="H84" s="87"/>
    </row>
    <row r="85" spans="1:12" s="128" customFormat="1" ht="15" customHeight="1" x14ac:dyDescent="0.2">
      <c r="A85" s="116"/>
      <c r="B85" s="156"/>
      <c r="C85" s="87"/>
      <c r="D85" s="156"/>
      <c r="E85" s="87"/>
      <c r="F85" s="87"/>
      <c r="G85" s="87"/>
      <c r="H85" s="87"/>
    </row>
    <row r="86" spans="1:12" s="128" customFormat="1" ht="15" customHeight="1" x14ac:dyDescent="0.2">
      <c r="A86" s="116"/>
      <c r="B86" s="156"/>
      <c r="C86" s="87"/>
      <c r="D86" s="156"/>
      <c r="E86" s="87"/>
      <c r="F86" s="87"/>
      <c r="G86" s="87"/>
      <c r="H86" s="87"/>
    </row>
    <row r="87" spans="1:12" s="128" customFormat="1" ht="15" customHeight="1" x14ac:dyDescent="0.2">
      <c r="A87" s="116"/>
      <c r="B87" s="156"/>
      <c r="C87" s="87"/>
      <c r="D87" s="156"/>
      <c r="E87" s="87"/>
      <c r="F87" s="87"/>
      <c r="G87" s="87"/>
      <c r="H87" s="87"/>
    </row>
    <row r="88" spans="1:12" s="128" customFormat="1" ht="15" customHeight="1" x14ac:dyDescent="0.2">
      <c r="A88" s="116"/>
      <c r="B88" s="156"/>
      <c r="C88" s="87"/>
      <c r="D88" s="156"/>
      <c r="E88" s="87"/>
      <c r="F88" s="87"/>
      <c r="G88" s="87"/>
      <c r="H88" s="87"/>
    </row>
    <row r="89" spans="1:12" s="128" customFormat="1" ht="15" customHeight="1" x14ac:dyDescent="0.2">
      <c r="A89" s="116"/>
      <c r="B89" s="156"/>
      <c r="C89" s="87"/>
      <c r="D89" s="156"/>
      <c r="E89" s="87"/>
      <c r="F89" s="87"/>
      <c r="G89" s="87"/>
      <c r="H89" s="87"/>
    </row>
    <row r="90" spans="1:12" s="128" customFormat="1" ht="15" customHeight="1" x14ac:dyDescent="0.2">
      <c r="A90" s="116"/>
      <c r="B90" s="156"/>
      <c r="C90" s="87"/>
      <c r="D90" s="156"/>
      <c r="E90" s="87"/>
      <c r="F90" s="87"/>
      <c r="G90" s="87"/>
      <c r="H90" s="87"/>
    </row>
    <row r="91" spans="1:12" s="128" customFormat="1" ht="15" customHeight="1" x14ac:dyDescent="0.2">
      <c r="A91" s="116"/>
      <c r="B91" s="156"/>
      <c r="C91" s="87"/>
      <c r="D91" s="156"/>
      <c r="E91" s="87"/>
      <c r="F91" s="87"/>
      <c r="G91" s="87"/>
      <c r="H91" s="87"/>
    </row>
    <row r="92" spans="1:12" s="128" customFormat="1" ht="15" customHeight="1" x14ac:dyDescent="0.2">
      <c r="A92" s="116"/>
      <c r="B92" s="156"/>
      <c r="C92" s="87"/>
      <c r="D92" s="156"/>
      <c r="E92" s="87"/>
      <c r="F92" s="87"/>
      <c r="G92" s="87"/>
      <c r="H92" s="87"/>
    </row>
    <row r="93" spans="1:12" s="128" customFormat="1" ht="15" customHeight="1" x14ac:dyDescent="0.2">
      <c r="A93" s="116"/>
      <c r="B93" s="156"/>
      <c r="C93" s="87"/>
      <c r="D93" s="156"/>
      <c r="E93" s="87"/>
      <c r="F93" s="87"/>
      <c r="G93" s="87"/>
      <c r="H93" s="87"/>
    </row>
    <row r="94" spans="1:12" s="128" customFormat="1" ht="15" customHeight="1" x14ac:dyDescent="0.2">
      <c r="A94" s="116"/>
      <c r="B94" s="156"/>
      <c r="C94" s="87"/>
      <c r="D94" s="156"/>
      <c r="E94" s="87"/>
      <c r="F94" s="87"/>
      <c r="G94" s="87"/>
      <c r="H94" s="87"/>
    </row>
    <row r="95" spans="1:12" s="128" customFormat="1" ht="15" customHeight="1" x14ac:dyDescent="0.2">
      <c r="A95" s="116"/>
      <c r="B95" s="156"/>
      <c r="C95" s="87"/>
      <c r="D95" s="156"/>
      <c r="E95" s="87"/>
      <c r="F95" s="87"/>
      <c r="G95" s="87"/>
      <c r="H95" s="87"/>
    </row>
    <row r="96" spans="1:12" s="164" customFormat="1" ht="30.75" customHeight="1" x14ac:dyDescent="0.2">
      <c r="A96" s="129"/>
      <c r="B96" s="95" t="s">
        <v>113</v>
      </c>
      <c r="C96" s="117"/>
      <c r="D96" s="95" t="s">
        <v>113</v>
      </c>
      <c r="E96" s="117"/>
      <c r="F96" s="117"/>
      <c r="G96" s="117"/>
      <c r="H96" s="117"/>
    </row>
    <row r="97" spans="1:12" s="128" customFormat="1" ht="15" customHeight="1" x14ac:dyDescent="0.2">
      <c r="A97" s="116"/>
      <c r="B97" s="87"/>
      <c r="C97" s="87"/>
      <c r="D97" s="87"/>
      <c r="E97" s="87"/>
      <c r="F97" s="87"/>
      <c r="G97" s="87"/>
      <c r="H97" s="87"/>
    </row>
    <row r="98" spans="1:12" s="128" customFormat="1" ht="15" customHeight="1" x14ac:dyDescent="0.2">
      <c r="A98" s="116"/>
      <c r="B98" s="87"/>
      <c r="C98" s="87"/>
      <c r="D98" s="87"/>
      <c r="E98" s="87"/>
      <c r="F98" s="87"/>
      <c r="G98" s="87"/>
      <c r="H98" s="87"/>
    </row>
    <row r="99" spans="1:12" s="128" customFormat="1" ht="15" customHeight="1" x14ac:dyDescent="0.2">
      <c r="A99" s="116"/>
      <c r="B99" s="87"/>
      <c r="C99" s="87"/>
      <c r="D99" s="87"/>
      <c r="E99" s="87"/>
      <c r="F99" s="87"/>
      <c r="G99" s="87"/>
      <c r="H99" s="87"/>
    </row>
    <row r="100" spans="1:12" s="128" customFormat="1" ht="20.25" customHeight="1" x14ac:dyDescent="0.35">
      <c r="A100" s="116"/>
      <c r="B100" s="120" t="str">
        <f>Resumen!D45</f>
        <v>Flujo de caja del negocio (Pesos)</v>
      </c>
      <c r="C100" s="13"/>
      <c r="D100" s="120" t="str">
        <f>Resumen!D45</f>
        <v>Flujo de caja del negocio (Pesos)</v>
      </c>
      <c r="E100" s="13"/>
      <c r="F100" s="87"/>
      <c r="G100" s="244"/>
      <c r="H100" s="245"/>
      <c r="I100" s="245"/>
      <c r="J100" s="245"/>
      <c r="K100" s="245"/>
      <c r="L100" s="245"/>
    </row>
    <row r="101" spans="1:12" s="128" customFormat="1" ht="15" customHeight="1" x14ac:dyDescent="0.2">
      <c r="A101" s="116"/>
      <c r="B101" s="156"/>
      <c r="C101" s="87"/>
      <c r="D101" s="156"/>
      <c r="E101" s="87"/>
      <c r="F101" s="87"/>
      <c r="G101" s="87"/>
      <c r="H101" s="87"/>
    </row>
    <row r="102" spans="1:12" s="128" customFormat="1" ht="15" customHeight="1" x14ac:dyDescent="0.2">
      <c r="A102" s="116"/>
      <c r="B102" s="156"/>
      <c r="C102" s="87"/>
      <c r="D102" s="156"/>
      <c r="E102" s="87"/>
      <c r="F102" s="87"/>
      <c r="G102" s="87"/>
      <c r="H102" s="87"/>
    </row>
    <row r="103" spans="1:12" s="128" customFormat="1" ht="15" customHeight="1" x14ac:dyDescent="0.2">
      <c r="A103" s="116"/>
      <c r="B103" s="156"/>
      <c r="C103" s="87"/>
      <c r="D103" s="156"/>
      <c r="E103" s="87"/>
      <c r="F103" s="87"/>
      <c r="G103" s="87"/>
      <c r="H103" s="87"/>
    </row>
    <row r="104" spans="1:12" s="128" customFormat="1" ht="15" customHeight="1" x14ac:dyDescent="0.2">
      <c r="A104" s="116"/>
      <c r="B104" s="156"/>
      <c r="C104" s="87"/>
      <c r="D104" s="156"/>
      <c r="E104" s="87"/>
      <c r="F104" s="87"/>
      <c r="G104" s="87"/>
      <c r="H104" s="87"/>
    </row>
    <row r="105" spans="1:12" s="128" customFormat="1" ht="15" customHeight="1" x14ac:dyDescent="0.2">
      <c r="A105" s="116"/>
      <c r="B105" s="156"/>
      <c r="C105" s="87"/>
      <c r="D105" s="156"/>
      <c r="E105" s="87"/>
      <c r="F105" s="87"/>
      <c r="G105" s="87"/>
      <c r="H105" s="87"/>
    </row>
    <row r="106" spans="1:12" s="128" customFormat="1" ht="15" customHeight="1" x14ac:dyDescent="0.2">
      <c r="A106" s="116"/>
      <c r="B106" s="156"/>
      <c r="C106" s="87"/>
      <c r="D106" s="156"/>
      <c r="E106" s="87"/>
      <c r="F106" s="87"/>
      <c r="G106" s="87"/>
      <c r="H106" s="87"/>
    </row>
    <row r="107" spans="1:12" s="128" customFormat="1" ht="15" customHeight="1" x14ac:dyDescent="0.2">
      <c r="A107" s="116"/>
      <c r="B107" s="156"/>
      <c r="C107" s="87"/>
      <c r="D107" s="156"/>
      <c r="E107" s="87"/>
      <c r="F107" s="87"/>
      <c r="G107" s="87"/>
      <c r="H107" s="87"/>
    </row>
    <row r="108" spans="1:12" s="128" customFormat="1" ht="15" customHeight="1" x14ac:dyDescent="0.2">
      <c r="A108" s="116"/>
      <c r="B108" s="156"/>
      <c r="C108" s="87"/>
      <c r="D108" s="156"/>
      <c r="E108" s="87"/>
      <c r="F108" s="87"/>
      <c r="G108" s="87"/>
      <c r="H108" s="87"/>
    </row>
    <row r="109" spans="1:12" s="128" customFormat="1" ht="15" customHeight="1" x14ac:dyDescent="0.2">
      <c r="A109" s="116"/>
      <c r="B109" s="156"/>
      <c r="C109" s="87"/>
      <c r="D109" s="156"/>
      <c r="E109" s="87"/>
      <c r="F109" s="87"/>
      <c r="G109" s="87"/>
      <c r="H109" s="87"/>
    </row>
    <row r="110" spans="1:12" s="128" customFormat="1" ht="15" customHeight="1" x14ac:dyDescent="0.2">
      <c r="A110" s="116"/>
      <c r="B110" s="156"/>
      <c r="C110" s="87"/>
      <c r="D110" s="156"/>
      <c r="E110" s="87"/>
      <c r="F110" s="87"/>
      <c r="G110" s="87"/>
      <c r="H110" s="87"/>
    </row>
    <row r="111" spans="1:12" s="128" customFormat="1" ht="15" customHeight="1" x14ac:dyDescent="0.2">
      <c r="A111" s="116"/>
      <c r="B111" s="156"/>
      <c r="C111" s="87"/>
      <c r="D111" s="156"/>
      <c r="E111" s="87"/>
      <c r="F111" s="87"/>
      <c r="G111" s="87"/>
      <c r="H111" s="87"/>
    </row>
    <row r="112" spans="1:12" s="128" customFormat="1" ht="15" customHeight="1" x14ac:dyDescent="0.2">
      <c r="A112" s="116"/>
      <c r="B112" s="156"/>
      <c r="C112" s="87"/>
      <c r="D112" s="156"/>
      <c r="E112" s="87"/>
      <c r="F112" s="87"/>
      <c r="G112" s="87"/>
      <c r="H112" s="87"/>
    </row>
    <row r="113" spans="1:12" s="128" customFormat="1" ht="15" customHeight="1" x14ac:dyDescent="0.2">
      <c r="A113" s="116"/>
      <c r="B113" s="156"/>
      <c r="C113" s="87"/>
      <c r="D113" s="156"/>
      <c r="E113" s="87"/>
      <c r="F113" s="87"/>
      <c r="G113" s="87"/>
      <c r="H113" s="87"/>
    </row>
    <row r="114" spans="1:12" s="128" customFormat="1" ht="15" customHeight="1" x14ac:dyDescent="0.2">
      <c r="A114" s="116"/>
      <c r="B114" s="156"/>
      <c r="C114" s="87"/>
      <c r="D114" s="156"/>
      <c r="E114" s="87"/>
      <c r="F114" s="87"/>
      <c r="G114" s="87"/>
      <c r="H114" s="87"/>
    </row>
    <row r="115" spans="1:12" s="164" customFormat="1" ht="27.75" customHeight="1" x14ac:dyDescent="0.2">
      <c r="A115" s="129"/>
      <c r="B115" s="95" t="s">
        <v>155</v>
      </c>
      <c r="C115" s="117"/>
      <c r="D115" s="95" t="s">
        <v>155</v>
      </c>
      <c r="E115" s="117"/>
      <c r="F115" s="117"/>
      <c r="G115" s="117"/>
      <c r="H115" s="117"/>
    </row>
    <row r="116" spans="1:12" s="128" customFormat="1" ht="15" customHeight="1" x14ac:dyDescent="0.2">
      <c r="A116" s="116"/>
      <c r="B116" s="87"/>
      <c r="C116" s="87"/>
      <c r="D116" s="87"/>
      <c r="E116" s="87"/>
      <c r="F116" s="87"/>
      <c r="G116" s="87"/>
      <c r="H116" s="87"/>
    </row>
    <row r="117" spans="1:12" s="128" customFormat="1" ht="15" customHeight="1" x14ac:dyDescent="0.2">
      <c r="A117" s="116"/>
      <c r="B117" s="87"/>
      <c r="C117" s="87"/>
      <c r="D117" s="87"/>
      <c r="E117" s="87"/>
      <c r="F117" s="87"/>
      <c r="G117" s="87"/>
      <c r="H117" s="87"/>
    </row>
    <row r="118" spans="1:12" s="128" customFormat="1" ht="14.25" customHeight="1" x14ac:dyDescent="0.2">
      <c r="A118" s="116"/>
      <c r="B118" s="87"/>
      <c r="C118" s="87"/>
      <c r="D118" s="87"/>
      <c r="E118" s="87"/>
      <c r="F118" s="87"/>
      <c r="G118" s="87"/>
      <c r="H118" s="87"/>
    </row>
    <row r="119" spans="1:12" s="128" customFormat="1" ht="25.5" customHeight="1" x14ac:dyDescent="0.35">
      <c r="A119" s="116"/>
      <c r="B119" s="241" t="str">
        <f>Resumen!D45</f>
        <v>Flujo de caja del negocio (Pesos)</v>
      </c>
      <c r="C119" s="242"/>
      <c r="D119" s="243"/>
      <c r="E119" s="13"/>
      <c r="F119" s="87"/>
      <c r="G119" s="107"/>
      <c r="H119" s="58"/>
      <c r="I119" s="58"/>
      <c r="J119" s="58"/>
      <c r="K119" s="58"/>
      <c r="L119" s="58"/>
    </row>
    <row r="120" spans="1:12" s="128" customFormat="1" ht="14.25" customHeight="1" x14ac:dyDescent="0.2">
      <c r="A120" s="116"/>
      <c r="B120" s="218"/>
      <c r="C120" s="87"/>
      <c r="D120" s="48"/>
      <c r="E120" s="87"/>
      <c r="F120" s="87"/>
      <c r="G120" s="87"/>
      <c r="H120" s="87"/>
    </row>
    <row r="121" spans="1:12" s="128" customFormat="1" ht="14.25" customHeight="1" x14ac:dyDescent="0.2">
      <c r="A121" s="116"/>
      <c r="B121" s="218"/>
      <c r="C121" s="87"/>
      <c r="D121" s="48"/>
      <c r="E121" s="87"/>
      <c r="F121" s="87"/>
      <c r="G121" s="87"/>
      <c r="H121" s="87"/>
    </row>
    <row r="122" spans="1:12" s="128" customFormat="1" ht="14.25" customHeight="1" x14ac:dyDescent="0.2">
      <c r="A122" s="116"/>
      <c r="B122" s="218"/>
      <c r="C122" s="87"/>
      <c r="D122" s="48"/>
      <c r="E122" s="87"/>
      <c r="F122" s="87"/>
      <c r="G122" s="87"/>
      <c r="H122" s="87"/>
    </row>
    <row r="123" spans="1:12" s="128" customFormat="1" ht="14.25" customHeight="1" x14ac:dyDescent="0.2">
      <c r="A123" s="116"/>
      <c r="B123" s="218"/>
      <c r="C123" s="87"/>
      <c r="D123" s="48"/>
      <c r="E123" s="87"/>
      <c r="F123" s="87"/>
      <c r="G123" s="87"/>
      <c r="H123" s="87"/>
    </row>
    <row r="124" spans="1:12" s="128" customFormat="1" ht="14.25" customHeight="1" x14ac:dyDescent="0.2">
      <c r="A124" s="116"/>
      <c r="B124" s="218"/>
      <c r="C124" s="87"/>
      <c r="D124" s="48"/>
      <c r="E124" s="87"/>
      <c r="F124" s="87"/>
      <c r="G124" s="87"/>
      <c r="H124" s="87"/>
    </row>
    <row r="125" spans="1:12" s="128" customFormat="1" ht="14.25" customHeight="1" x14ac:dyDescent="0.2">
      <c r="A125" s="116"/>
      <c r="B125" s="218"/>
      <c r="C125" s="87"/>
      <c r="D125" s="48"/>
      <c r="E125" s="87"/>
      <c r="F125" s="87"/>
      <c r="G125" s="87"/>
      <c r="H125" s="87"/>
    </row>
    <row r="126" spans="1:12" s="128" customFormat="1" ht="14.25" customHeight="1" x14ac:dyDescent="0.2">
      <c r="A126" s="116"/>
      <c r="B126" s="218"/>
      <c r="C126" s="87"/>
      <c r="D126" s="48"/>
      <c r="E126" s="87"/>
      <c r="F126" s="87"/>
      <c r="G126" s="87"/>
      <c r="H126" s="87"/>
    </row>
    <row r="127" spans="1:12" s="128" customFormat="1" ht="14.25" customHeight="1" x14ac:dyDescent="0.2">
      <c r="A127" s="116"/>
      <c r="B127" s="218"/>
      <c r="C127" s="87"/>
      <c r="D127" s="48"/>
      <c r="E127" s="87"/>
      <c r="F127" s="87"/>
      <c r="G127" s="87"/>
      <c r="H127" s="87"/>
    </row>
    <row r="128" spans="1:12" s="128" customFormat="1" ht="14.25" customHeight="1" x14ac:dyDescent="0.2">
      <c r="A128" s="116"/>
      <c r="B128" s="218"/>
      <c r="C128" s="87"/>
      <c r="D128" s="48"/>
      <c r="E128" s="87"/>
      <c r="F128" s="87"/>
      <c r="G128" s="87"/>
      <c r="H128" s="87"/>
    </row>
    <row r="129" spans="1:12" s="128" customFormat="1" ht="14.25" customHeight="1" x14ac:dyDescent="0.2">
      <c r="A129" s="116"/>
      <c r="B129" s="218"/>
      <c r="C129" s="87"/>
      <c r="D129" s="48"/>
      <c r="E129" s="87"/>
      <c r="F129" s="87"/>
      <c r="G129" s="87"/>
      <c r="H129" s="87"/>
    </row>
    <row r="130" spans="1:12" s="128" customFormat="1" ht="14.25" customHeight="1" x14ac:dyDescent="0.2">
      <c r="A130" s="116"/>
      <c r="B130" s="218"/>
      <c r="C130" s="87"/>
      <c r="D130" s="48"/>
      <c r="E130" s="87"/>
      <c r="F130" s="87"/>
      <c r="G130" s="87"/>
      <c r="H130" s="87"/>
    </row>
    <row r="131" spans="1:12" s="128" customFormat="1" ht="14.25" customHeight="1" x14ac:dyDescent="0.2">
      <c r="A131" s="116"/>
      <c r="B131" s="218"/>
      <c r="C131" s="87"/>
      <c r="D131" s="48"/>
      <c r="E131" s="87"/>
      <c r="F131" s="87"/>
      <c r="G131" s="87"/>
      <c r="H131" s="87"/>
    </row>
    <row r="132" spans="1:12" s="128" customFormat="1" ht="14.25" customHeight="1" x14ac:dyDescent="0.2">
      <c r="A132" s="116"/>
      <c r="B132" s="218"/>
      <c r="C132" s="87"/>
      <c r="D132" s="48"/>
      <c r="E132" s="87"/>
      <c r="F132" s="87"/>
      <c r="G132" s="87"/>
      <c r="H132" s="87"/>
    </row>
    <row r="133" spans="1:12" s="128" customFormat="1" ht="14.25" customHeight="1" x14ac:dyDescent="0.2">
      <c r="A133" s="116"/>
      <c r="B133" s="218"/>
      <c r="C133" s="87"/>
      <c r="D133" s="48"/>
      <c r="E133" s="87"/>
      <c r="F133" s="87"/>
      <c r="G133" s="87"/>
      <c r="H133" s="87"/>
    </row>
    <row r="134" spans="1:12" s="128" customFormat="1" ht="14.25" customHeight="1" x14ac:dyDescent="0.2">
      <c r="A134" s="116"/>
      <c r="B134" s="218"/>
      <c r="C134" s="87"/>
      <c r="D134" s="48"/>
      <c r="E134" s="87"/>
      <c r="F134" s="87"/>
      <c r="G134" s="87"/>
      <c r="H134" s="87"/>
    </row>
    <row r="135" spans="1:12" s="128" customFormat="1" ht="14.25" customHeight="1" x14ac:dyDescent="0.2">
      <c r="A135" s="116"/>
      <c r="B135" s="218"/>
      <c r="C135" s="87"/>
      <c r="D135" s="48"/>
      <c r="E135" s="87"/>
      <c r="F135" s="87"/>
      <c r="G135" s="87"/>
      <c r="H135" s="87"/>
    </row>
    <row r="136" spans="1:12" s="128" customFormat="1" ht="14.25" customHeight="1" x14ac:dyDescent="0.2">
      <c r="A136" s="116"/>
      <c r="B136" s="218"/>
      <c r="C136" s="87"/>
      <c r="D136" s="48"/>
      <c r="E136" s="87"/>
      <c r="F136" s="87"/>
      <c r="G136" s="87"/>
      <c r="H136" s="87"/>
    </row>
    <row r="137" spans="1:12" s="128" customFormat="1" ht="14.25" customHeight="1" x14ac:dyDescent="0.2">
      <c r="A137" s="116"/>
      <c r="B137" s="1"/>
      <c r="C137" s="76"/>
      <c r="D137" s="229"/>
      <c r="E137" s="87"/>
      <c r="F137" s="87"/>
      <c r="G137" s="87"/>
      <c r="H137" s="87"/>
    </row>
    <row r="138" spans="1:12" s="128" customFormat="1" ht="14.25" customHeight="1" x14ac:dyDescent="0.2">
      <c r="A138" s="116"/>
      <c r="B138" s="87"/>
      <c r="C138" s="87"/>
      <c r="D138" s="87"/>
      <c r="E138" s="87"/>
      <c r="F138" s="87"/>
      <c r="G138" s="87"/>
      <c r="H138" s="87"/>
    </row>
    <row r="139" spans="1:12" s="128" customFormat="1" ht="15" customHeight="1" x14ac:dyDescent="0.2">
      <c r="A139" s="116"/>
      <c r="B139" s="87"/>
      <c r="C139" s="87"/>
      <c r="D139" s="87"/>
      <c r="E139" s="87"/>
      <c r="F139" s="87"/>
      <c r="G139" s="87"/>
      <c r="H139" s="87"/>
    </row>
    <row r="140" spans="1:12" s="128" customFormat="1" ht="15" customHeight="1" x14ac:dyDescent="0.2">
      <c r="A140" s="116"/>
      <c r="B140" s="87"/>
      <c r="C140" s="87"/>
      <c r="D140" s="87"/>
      <c r="E140" s="87"/>
      <c r="F140" s="87"/>
      <c r="G140" s="87"/>
      <c r="H140" s="87"/>
    </row>
    <row r="141" spans="1:12" s="128" customFormat="1" ht="20.25" customHeight="1" x14ac:dyDescent="0.35">
      <c r="A141" s="116"/>
      <c r="B141" s="120" t="str">
        <f>Resumen!D46</f>
        <v>Saldo de caja del negocio (Pesos)</v>
      </c>
      <c r="C141" s="13"/>
      <c r="D141" s="120" t="str">
        <f>Resumen!D46</f>
        <v>Saldo de caja del negocio (Pesos)</v>
      </c>
      <c r="E141" s="13"/>
      <c r="F141" s="87"/>
      <c r="G141" s="244"/>
      <c r="H141" s="245"/>
      <c r="I141" s="245"/>
      <c r="J141" s="245"/>
      <c r="K141" s="245"/>
      <c r="L141" s="245"/>
    </row>
    <row r="142" spans="1:12" s="128" customFormat="1" ht="15" customHeight="1" x14ac:dyDescent="0.2">
      <c r="A142" s="116"/>
      <c r="B142" s="156"/>
      <c r="C142" s="87"/>
      <c r="D142" s="156"/>
      <c r="E142" s="87"/>
      <c r="F142" s="87"/>
      <c r="G142" s="87"/>
      <c r="H142" s="87"/>
    </row>
    <row r="143" spans="1:12" s="128" customFormat="1" ht="15" customHeight="1" x14ac:dyDescent="0.2">
      <c r="A143" s="116"/>
      <c r="B143" s="156"/>
      <c r="C143" s="87"/>
      <c r="D143" s="156"/>
      <c r="E143" s="87"/>
      <c r="F143" s="87"/>
      <c r="G143" s="87"/>
      <c r="H143" s="87"/>
    </row>
    <row r="144" spans="1:12" s="128" customFormat="1" ht="15" customHeight="1" x14ac:dyDescent="0.2">
      <c r="A144" s="116"/>
      <c r="B144" s="156"/>
      <c r="C144" s="87"/>
      <c r="D144" s="156"/>
      <c r="E144" s="87"/>
      <c r="F144" s="87"/>
      <c r="G144" s="87"/>
      <c r="H144" s="87"/>
    </row>
    <row r="145" spans="1:12" s="128" customFormat="1" ht="15" customHeight="1" x14ac:dyDescent="0.2">
      <c r="A145" s="116"/>
      <c r="B145" s="156"/>
      <c r="C145" s="87"/>
      <c r="D145" s="156"/>
      <c r="E145" s="87"/>
      <c r="F145" s="87"/>
      <c r="G145" s="87"/>
      <c r="H145" s="87"/>
    </row>
    <row r="146" spans="1:12" s="128" customFormat="1" ht="15" customHeight="1" x14ac:dyDescent="0.2">
      <c r="A146" s="116"/>
      <c r="B146" s="156"/>
      <c r="C146" s="87"/>
      <c r="D146" s="156"/>
      <c r="E146" s="87"/>
      <c r="F146" s="87"/>
      <c r="G146" s="87"/>
      <c r="H146" s="87"/>
    </row>
    <row r="147" spans="1:12" s="128" customFormat="1" ht="15" customHeight="1" x14ac:dyDescent="0.2">
      <c r="A147" s="116"/>
      <c r="B147" s="156"/>
      <c r="C147" s="87"/>
      <c r="D147" s="156"/>
      <c r="E147" s="87"/>
      <c r="F147" s="87"/>
      <c r="G147" s="87"/>
      <c r="H147" s="87"/>
    </row>
    <row r="148" spans="1:12" s="128" customFormat="1" ht="15" customHeight="1" x14ac:dyDescent="0.2">
      <c r="A148" s="116"/>
      <c r="B148" s="156"/>
      <c r="C148" s="87"/>
      <c r="D148" s="156"/>
      <c r="E148" s="87"/>
      <c r="F148" s="87"/>
      <c r="G148" s="87"/>
      <c r="H148" s="87"/>
    </row>
    <row r="149" spans="1:12" s="128" customFormat="1" ht="15" customHeight="1" x14ac:dyDescent="0.2">
      <c r="A149" s="116"/>
      <c r="B149" s="156"/>
      <c r="C149" s="87"/>
      <c r="D149" s="156"/>
      <c r="E149" s="87"/>
      <c r="F149" s="87"/>
      <c r="G149" s="87"/>
      <c r="H149" s="87"/>
    </row>
    <row r="150" spans="1:12" s="128" customFormat="1" ht="15" customHeight="1" x14ac:dyDescent="0.2">
      <c r="A150" s="116"/>
      <c r="B150" s="156"/>
      <c r="C150" s="87"/>
      <c r="D150" s="156"/>
      <c r="E150" s="87"/>
      <c r="F150" s="87"/>
      <c r="G150" s="87"/>
      <c r="H150" s="87"/>
    </row>
    <row r="151" spans="1:12" s="128" customFormat="1" ht="15" customHeight="1" x14ac:dyDescent="0.2">
      <c r="A151" s="116"/>
      <c r="B151" s="156"/>
      <c r="C151" s="87"/>
      <c r="D151" s="156"/>
      <c r="E151" s="87"/>
      <c r="F151" s="87"/>
      <c r="G151" s="87"/>
      <c r="H151" s="87"/>
    </row>
    <row r="152" spans="1:12" s="128" customFormat="1" ht="15" customHeight="1" x14ac:dyDescent="0.2">
      <c r="A152" s="116"/>
      <c r="B152" s="156"/>
      <c r="C152" s="87"/>
      <c r="D152" s="156"/>
      <c r="E152" s="87"/>
      <c r="F152" s="87"/>
      <c r="G152" s="87"/>
      <c r="H152" s="87"/>
    </row>
    <row r="153" spans="1:12" s="128" customFormat="1" ht="15" customHeight="1" x14ac:dyDescent="0.2">
      <c r="A153" s="116"/>
      <c r="B153" s="156"/>
      <c r="C153" s="87"/>
      <c r="D153" s="156"/>
      <c r="E153" s="87"/>
      <c r="F153" s="87"/>
      <c r="G153" s="87"/>
      <c r="H153" s="87"/>
    </row>
    <row r="154" spans="1:12" s="128" customFormat="1" ht="15" customHeight="1" x14ac:dyDescent="0.2">
      <c r="A154" s="116"/>
      <c r="B154" s="156"/>
      <c r="C154" s="87"/>
      <c r="D154" s="156"/>
      <c r="E154" s="87"/>
      <c r="F154" s="87"/>
      <c r="G154" s="87"/>
      <c r="H154" s="87"/>
    </row>
    <row r="155" spans="1:12" s="128" customFormat="1" ht="15" customHeight="1" x14ac:dyDescent="0.2">
      <c r="A155" s="116"/>
      <c r="B155" s="156"/>
      <c r="C155" s="87"/>
      <c r="D155" s="156"/>
      <c r="E155" s="87"/>
      <c r="F155" s="87"/>
      <c r="G155" s="87"/>
      <c r="H155" s="87"/>
    </row>
    <row r="156" spans="1:12" s="164" customFormat="1" ht="52.5" customHeight="1" x14ac:dyDescent="0.2">
      <c r="A156" s="129"/>
      <c r="B156" s="95" t="s">
        <v>228</v>
      </c>
      <c r="C156" s="117"/>
      <c r="D156" s="95" t="s">
        <v>228</v>
      </c>
      <c r="E156" s="117"/>
      <c r="F156" s="117"/>
      <c r="G156" s="117"/>
      <c r="H156" s="117"/>
    </row>
    <row r="157" spans="1:12" s="128" customFormat="1" ht="15" customHeight="1" x14ac:dyDescent="0.2">
      <c r="A157" s="116"/>
      <c r="B157" s="87"/>
      <c r="C157" s="87"/>
      <c r="D157" s="87"/>
      <c r="E157" s="87"/>
      <c r="F157" s="87"/>
      <c r="G157" s="87"/>
      <c r="H157" s="87"/>
    </row>
    <row r="158" spans="1:12" s="128" customFormat="1" ht="15" customHeight="1" x14ac:dyDescent="0.2">
      <c r="A158" s="116"/>
      <c r="B158" s="87"/>
      <c r="C158" s="87"/>
      <c r="D158" s="87"/>
      <c r="E158" s="87"/>
      <c r="F158" s="87"/>
      <c r="G158" s="87"/>
      <c r="H158" s="87"/>
    </row>
    <row r="159" spans="1:12" s="128" customFormat="1" ht="15" customHeight="1" x14ac:dyDescent="0.2">
      <c r="A159" s="116"/>
      <c r="B159" s="87"/>
      <c r="C159" s="87"/>
      <c r="D159" s="87"/>
      <c r="E159" s="87"/>
      <c r="F159" s="87"/>
      <c r="G159" s="87"/>
      <c r="H159" s="87"/>
    </row>
    <row r="160" spans="1:12" s="128" customFormat="1" ht="20.25" customHeight="1" x14ac:dyDescent="0.35">
      <c r="A160" s="116"/>
      <c r="B160" s="120" t="str">
        <f>Resumen!D47</f>
        <v>Punto de equilibrio (Pesos)</v>
      </c>
      <c r="C160" s="13"/>
      <c r="D160" s="120" t="str">
        <f>Resumen!D47</f>
        <v>Punto de equilibrio (Pesos)</v>
      </c>
      <c r="E160" s="13"/>
      <c r="F160" s="87"/>
      <c r="G160" s="244"/>
      <c r="H160" s="245"/>
      <c r="I160" s="245"/>
      <c r="J160" s="245"/>
      <c r="K160" s="245"/>
      <c r="L160" s="245"/>
    </row>
    <row r="161" spans="1:8" s="128" customFormat="1" ht="15" customHeight="1" x14ac:dyDescent="0.2">
      <c r="A161" s="116"/>
      <c r="B161" s="156"/>
      <c r="C161" s="87"/>
      <c r="D161" s="156"/>
      <c r="E161" s="87"/>
      <c r="F161" s="87"/>
      <c r="G161" s="87"/>
      <c r="H161" s="87"/>
    </row>
    <row r="162" spans="1:8" s="128" customFormat="1" ht="15" customHeight="1" x14ac:dyDescent="0.2">
      <c r="A162" s="116"/>
      <c r="B162" s="156"/>
      <c r="C162" s="87"/>
      <c r="D162" s="156"/>
      <c r="E162" s="87"/>
      <c r="F162" s="87"/>
      <c r="G162" s="87"/>
      <c r="H162" s="87"/>
    </row>
    <row r="163" spans="1:8" s="128" customFormat="1" ht="15" customHeight="1" x14ac:dyDescent="0.2">
      <c r="A163" s="116"/>
      <c r="B163" s="156"/>
      <c r="C163" s="87"/>
      <c r="D163" s="156"/>
      <c r="E163" s="87"/>
      <c r="F163" s="87"/>
      <c r="G163" s="87"/>
      <c r="H163" s="87"/>
    </row>
    <row r="164" spans="1:8" s="128" customFormat="1" ht="15" customHeight="1" x14ac:dyDescent="0.2">
      <c r="A164" s="116"/>
      <c r="B164" s="156"/>
      <c r="C164" s="87"/>
      <c r="D164" s="156"/>
      <c r="E164" s="87"/>
      <c r="F164" s="87"/>
      <c r="G164" s="87"/>
      <c r="H164" s="87"/>
    </row>
    <row r="165" spans="1:8" s="128" customFormat="1" ht="15" customHeight="1" x14ac:dyDescent="0.2">
      <c r="A165" s="116"/>
      <c r="B165" s="156"/>
      <c r="C165" s="87"/>
      <c r="D165" s="156"/>
      <c r="E165" s="87"/>
      <c r="F165" s="87"/>
      <c r="G165" s="87"/>
      <c r="H165" s="87"/>
    </row>
    <row r="166" spans="1:8" s="128" customFormat="1" ht="15" customHeight="1" x14ac:dyDescent="0.2">
      <c r="A166" s="116"/>
      <c r="B166" s="156"/>
      <c r="C166" s="87"/>
      <c r="D166" s="156"/>
      <c r="E166" s="87"/>
      <c r="F166" s="87"/>
      <c r="G166" s="87"/>
      <c r="H166" s="87"/>
    </row>
    <row r="167" spans="1:8" s="128" customFormat="1" ht="15" customHeight="1" x14ac:dyDescent="0.2">
      <c r="A167" s="116"/>
      <c r="B167" s="156"/>
      <c r="C167" s="87"/>
      <c r="D167" s="156"/>
      <c r="E167" s="87"/>
      <c r="F167" s="87"/>
      <c r="G167" s="87"/>
      <c r="H167" s="87"/>
    </row>
    <row r="168" spans="1:8" s="128" customFormat="1" ht="15" customHeight="1" x14ac:dyDescent="0.2">
      <c r="A168" s="116"/>
      <c r="B168" s="156"/>
      <c r="C168" s="87"/>
      <c r="D168" s="156"/>
      <c r="E168" s="87"/>
      <c r="F168" s="87"/>
      <c r="G168" s="87"/>
      <c r="H168" s="87"/>
    </row>
    <row r="169" spans="1:8" s="128" customFormat="1" ht="15" customHeight="1" x14ac:dyDescent="0.2">
      <c r="A169" s="116"/>
      <c r="B169" s="156"/>
      <c r="C169" s="87"/>
      <c r="D169" s="156"/>
      <c r="E169" s="87"/>
      <c r="F169" s="87"/>
      <c r="G169" s="87"/>
      <c r="H169" s="87"/>
    </row>
    <row r="170" spans="1:8" s="128" customFormat="1" ht="15" customHeight="1" x14ac:dyDescent="0.2">
      <c r="A170" s="116"/>
      <c r="B170" s="156"/>
      <c r="C170" s="87"/>
      <c r="D170" s="156"/>
      <c r="E170" s="87"/>
      <c r="F170" s="87"/>
      <c r="G170" s="87"/>
      <c r="H170" s="87"/>
    </row>
    <row r="171" spans="1:8" s="128" customFormat="1" ht="15" customHeight="1" x14ac:dyDescent="0.2">
      <c r="A171" s="116"/>
      <c r="B171" s="156"/>
      <c r="C171" s="87"/>
      <c r="D171" s="156"/>
      <c r="E171" s="87"/>
      <c r="F171" s="87"/>
      <c r="G171" s="87"/>
      <c r="H171" s="87"/>
    </row>
    <row r="172" spans="1:8" s="128" customFormat="1" ht="15" customHeight="1" x14ac:dyDescent="0.2">
      <c r="A172" s="116"/>
      <c r="B172" s="156"/>
      <c r="C172" s="87"/>
      <c r="D172" s="156"/>
      <c r="E172" s="87"/>
      <c r="F172" s="87"/>
      <c r="G172" s="87"/>
      <c r="H172" s="87"/>
    </row>
    <row r="173" spans="1:8" s="128" customFormat="1" ht="15" customHeight="1" x14ac:dyDescent="0.2">
      <c r="A173" s="116"/>
      <c r="B173" s="156"/>
      <c r="C173" s="87"/>
      <c r="D173" s="156"/>
      <c r="E173" s="87"/>
      <c r="F173" s="87"/>
      <c r="G173" s="87"/>
      <c r="H173" s="87"/>
    </row>
    <row r="174" spans="1:8" s="128" customFormat="1" ht="15" customHeight="1" x14ac:dyDescent="0.2">
      <c r="A174" s="116"/>
      <c r="B174" s="156"/>
      <c r="C174" s="87"/>
      <c r="D174" s="156"/>
      <c r="E174" s="87"/>
      <c r="F174" s="87"/>
      <c r="G174" s="87"/>
      <c r="H174" s="87"/>
    </row>
    <row r="175" spans="1:8" s="164" customFormat="1" ht="34.5" customHeight="1" x14ac:dyDescent="0.2">
      <c r="A175" s="129"/>
      <c r="B175" s="95" t="s">
        <v>202</v>
      </c>
      <c r="C175" s="117"/>
      <c r="D175" s="95" t="s">
        <v>202</v>
      </c>
      <c r="E175" s="117"/>
      <c r="F175" s="117"/>
      <c r="G175" s="117"/>
      <c r="H175" s="117"/>
    </row>
    <row r="176" spans="1:8" s="128" customFormat="1" x14ac:dyDescent="0.2">
      <c r="A176" s="116"/>
      <c r="B176" s="87"/>
      <c r="C176" s="87"/>
      <c r="D176" s="87"/>
      <c r="E176" s="87"/>
      <c r="F176" s="87"/>
      <c r="G176" s="87"/>
      <c r="H176" s="87"/>
    </row>
  </sheetData>
  <sheetProtection sheet="1" objects="1" scenarios="1"/>
  <mergeCells count="9">
    <mergeCell ref="B119:D119"/>
    <mergeCell ref="G141:L141"/>
    <mergeCell ref="G160:L160"/>
    <mergeCell ref="B2:D2"/>
    <mergeCell ref="G25:L25"/>
    <mergeCell ref="G43:L43"/>
    <mergeCell ref="G62:L62"/>
    <mergeCell ref="G81:L81"/>
    <mergeCell ref="G100:L100"/>
  </mergeCells>
  <pageMargins left="0.7" right="0.7" top="0.75" bottom="0.75" header="0.3" footer="0.3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41"/>
  <sheetViews>
    <sheetView showGridLines="0" zoomScale="115" zoomScaleNormal="115" workbookViewId="0">
      <pane xSplit="1" ySplit="1" topLeftCell="N2" activePane="bottomRight" state="frozen"/>
      <selection activeCell="G19" sqref="G19"/>
      <selection pane="topRight" activeCell="G19" sqref="G19"/>
      <selection pane="bottomLeft" activeCell="G19" sqref="G19"/>
      <selection pane="bottomRight" activeCell="AB9" sqref="AB9"/>
    </sheetView>
  </sheetViews>
  <sheetFormatPr baseColWidth="10" defaultColWidth="11.7109375" defaultRowHeight="12.75" outlineLevelCol="1" x14ac:dyDescent="0.2"/>
  <cols>
    <col min="1" max="1" width="42.85546875" style="12" customWidth="1"/>
    <col min="2" max="13" width="13.28515625" hidden="1" customWidth="1" outlineLevel="1"/>
    <col min="14" max="14" width="13.28515625" customWidth="1" collapsed="1"/>
    <col min="15" max="26" width="13.28515625" hidden="1" customWidth="1" outlineLevel="1"/>
    <col min="27" max="27" width="13.28515625" customWidth="1" collapsed="1"/>
    <col min="28" max="30" width="13.28515625" customWidth="1"/>
  </cols>
  <sheetData>
    <row r="1" spans="1:31" ht="15.75" customHeight="1" x14ac:dyDescent="0.25">
      <c r="A1" s="213" t="str">
        <f>"FLUJO DE CAJA (" &amp; Introducción!E17 &amp; ")"</f>
        <v>FLUJO DE CAJA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</row>
    <row r="2" spans="1:31" x14ac:dyDescent="0.2">
      <c r="A2" s="41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31" s="180" customFormat="1" ht="16.5" x14ac:dyDescent="0.25">
      <c r="A3" s="17" t="s">
        <v>22</v>
      </c>
      <c r="B3" s="17">
        <f>'Valores de Inicio'!B6</f>
        <v>10000</v>
      </c>
      <c r="C3" s="231">
        <f t="shared" ref="C3:M3" si="2">B36</f>
        <v>3183958.5805234634</v>
      </c>
      <c r="D3" s="231">
        <f t="shared" si="2"/>
        <v>3963971.1610469269</v>
      </c>
      <c r="E3" s="231">
        <f t="shared" si="2"/>
        <v>4743983.7415703908</v>
      </c>
      <c r="F3" s="231">
        <f t="shared" si="2"/>
        <v>5523996.3220938547</v>
      </c>
      <c r="G3" s="231">
        <f t="shared" si="2"/>
        <v>6304008.9026173186</v>
      </c>
      <c r="H3" s="231">
        <f t="shared" si="2"/>
        <v>7084021.4831407825</v>
      </c>
      <c r="I3" s="231">
        <f t="shared" si="2"/>
        <v>7864034.0636642464</v>
      </c>
      <c r="J3" s="230">
        <f t="shared" si="2"/>
        <v>8644046.6441877093</v>
      </c>
      <c r="K3" s="230">
        <f t="shared" si="2"/>
        <v>9424059.2247111723</v>
      </c>
      <c r="L3" s="230">
        <f t="shared" si="2"/>
        <v>10230065.746434635</v>
      </c>
      <c r="M3" s="230">
        <f t="shared" si="2"/>
        <v>11041999.948158097</v>
      </c>
      <c r="N3" s="230">
        <f>B3</f>
        <v>10000</v>
      </c>
      <c r="O3" s="230">
        <f t="shared" ref="O3:Z3" si="3">N36</f>
        <v>11853934.149881562</v>
      </c>
      <c r="P3" s="230">
        <f t="shared" si="3"/>
        <v>10541050.647660581</v>
      </c>
      <c r="Q3" s="230">
        <f t="shared" si="3"/>
        <v>10698893.545439599</v>
      </c>
      <c r="R3" s="230">
        <f t="shared" si="3"/>
        <v>10856736.443218617</v>
      </c>
      <c r="S3" s="230">
        <f t="shared" si="3"/>
        <v>11014579.340997634</v>
      </c>
      <c r="T3" s="230">
        <f t="shared" si="3"/>
        <v>11172422.238776652</v>
      </c>
      <c r="U3" s="230">
        <f t="shared" si="3"/>
        <v>11404778.021587763</v>
      </c>
      <c r="V3" s="230">
        <f t="shared" si="3"/>
        <v>11637133.804398874</v>
      </c>
      <c r="W3" s="230">
        <f t="shared" si="3"/>
        <v>11869489.587209985</v>
      </c>
      <c r="X3" s="231">
        <f t="shared" si="3"/>
        <v>12101845.370021095</v>
      </c>
      <c r="Y3" s="231">
        <f t="shared" si="3"/>
        <v>12276306.986125207</v>
      </c>
      <c r="Z3" s="231">
        <f t="shared" si="3"/>
        <v>12515762.711029319</v>
      </c>
      <c r="AA3" s="230">
        <f>O3</f>
        <v>11853934.149881562</v>
      </c>
      <c r="AB3" s="231">
        <f>AA36</f>
        <v>12755218.435933435</v>
      </c>
      <c r="AC3" s="231">
        <f>AB36</f>
        <v>41964589.82245072</v>
      </c>
      <c r="AD3" s="231">
        <f>AC36</f>
        <v>86521626.867969111</v>
      </c>
    </row>
    <row r="4" spans="1:31" x14ac:dyDescent="0.2">
      <c r="A4" s="41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</row>
    <row r="5" spans="1:31" x14ac:dyDescent="0.2">
      <c r="A5" s="212" t="s">
        <v>51</v>
      </c>
      <c r="B5" s="54">
        <f>Ingresos!B7</f>
        <v>1689600</v>
      </c>
      <c r="C5" s="54">
        <f>Ingresos!C7</f>
        <v>1689600</v>
      </c>
      <c r="D5" s="54">
        <f>Ingresos!D7</f>
        <v>1689600</v>
      </c>
      <c r="E5" s="54">
        <f>Ingresos!E7</f>
        <v>1689600</v>
      </c>
      <c r="F5" s="54">
        <f>Ingresos!F7</f>
        <v>1689600</v>
      </c>
      <c r="G5" s="54">
        <f>Ingresos!G7</f>
        <v>1689600</v>
      </c>
      <c r="H5" s="54">
        <f>Ingresos!H7</f>
        <v>1689600</v>
      </c>
      <c r="I5" s="54">
        <f>Ingresos!I7</f>
        <v>1689600</v>
      </c>
      <c r="J5" s="54">
        <f>Ingresos!J7</f>
        <v>1689600</v>
      </c>
      <c r="K5" s="54">
        <f>Ingresos!K7</f>
        <v>1757184</v>
      </c>
      <c r="L5" s="54">
        <f>Ingresos!L7</f>
        <v>1757184</v>
      </c>
      <c r="M5" s="54">
        <f>Ingresos!M7</f>
        <v>1757184</v>
      </c>
      <c r="N5" s="54">
        <f>Ingresos!N7</f>
        <v>20477952</v>
      </c>
      <c r="O5" s="54">
        <f>Ingresos!O7</f>
        <v>2635776</v>
      </c>
      <c r="P5" s="54">
        <f>Ingresos!P7</f>
        <v>2635776</v>
      </c>
      <c r="Q5" s="54">
        <f>Ingresos!Q7</f>
        <v>2635776</v>
      </c>
      <c r="R5" s="54">
        <f>Ingresos!R7</f>
        <v>2635776</v>
      </c>
      <c r="S5" s="54">
        <f>Ingresos!S7</f>
        <v>2635776</v>
      </c>
      <c r="T5" s="54">
        <f>Ingresos!T7</f>
        <v>2635776</v>
      </c>
      <c r="U5" s="54">
        <f>Ingresos!U7</f>
        <v>2635776</v>
      </c>
      <c r="V5" s="54">
        <f>Ingresos!V7</f>
        <v>2635776</v>
      </c>
      <c r="W5" s="54">
        <f>Ingresos!W7</f>
        <v>2635776</v>
      </c>
      <c r="X5" s="54">
        <f>Ingresos!X7</f>
        <v>2741207.0400000005</v>
      </c>
      <c r="Y5" s="54">
        <f>Ingresos!Y7</f>
        <v>2741207.0400000005</v>
      </c>
      <c r="Z5" s="54">
        <f>Ingresos!Z7</f>
        <v>2741207.0400000005</v>
      </c>
      <c r="AA5" s="54">
        <f>Ingresos!AA7</f>
        <v>31945605.119999997</v>
      </c>
      <c r="AB5" s="54">
        <f>Ingresos!AB7</f>
        <v>51828549.746688008</v>
      </c>
      <c r="AC5" s="54">
        <f>Ingresos!AC7</f>
        <v>80852537.60483329</v>
      </c>
      <c r="AD5" s="54">
        <f>Ingresos!AD7</f>
        <v>126129958.66353996</v>
      </c>
    </row>
    <row r="6" spans="1:31" x14ac:dyDescent="0.2">
      <c r="A6" s="212" t="s">
        <v>195</v>
      </c>
      <c r="B6" s="54">
        <f>-'Costo de Ventas'!B16</f>
        <v>-447744</v>
      </c>
      <c r="C6" s="54">
        <f>-'Costo de Ventas'!C16</f>
        <v>-447744</v>
      </c>
      <c r="D6" s="54">
        <f>-'Costo de Ventas'!D16</f>
        <v>-447744</v>
      </c>
      <c r="E6" s="54">
        <f>-'Costo de Ventas'!E16</f>
        <v>-447744</v>
      </c>
      <c r="F6" s="54">
        <f>-'Costo de Ventas'!F16</f>
        <v>-447744</v>
      </c>
      <c r="G6" s="54">
        <f>-'Costo de Ventas'!G16</f>
        <v>-447744</v>
      </c>
      <c r="H6" s="54">
        <f>-'Costo de Ventas'!H16</f>
        <v>-447744</v>
      </c>
      <c r="I6" s="54">
        <f>-'Costo de Ventas'!I16</f>
        <v>-447744</v>
      </c>
      <c r="J6" s="54">
        <f>-'Costo de Ventas'!J16</f>
        <v>-447744</v>
      </c>
      <c r="K6" s="54">
        <f>-'Costo de Ventas'!K16</f>
        <v>-465653.76000000013</v>
      </c>
      <c r="L6" s="54">
        <f>-'Costo de Ventas'!L16</f>
        <v>-465653.76000000013</v>
      </c>
      <c r="M6" s="54">
        <f>-'Costo de Ventas'!M16</f>
        <v>-465653.76000000013</v>
      </c>
      <c r="N6" s="54">
        <f>-'Costo de Ventas'!N16</f>
        <v>-5426657.2799999993</v>
      </c>
      <c r="O6" s="54">
        <f>-'Costo de Ventas'!O16</f>
        <v>-2092147.2</v>
      </c>
      <c r="P6" s="54">
        <f>-'Costo de Ventas'!P16</f>
        <v>-2092147.2</v>
      </c>
      <c r="Q6" s="54">
        <f>-'Costo de Ventas'!Q16</f>
        <v>-2092147.2</v>
      </c>
      <c r="R6" s="54">
        <f>-'Costo de Ventas'!R16</f>
        <v>-2092147.2</v>
      </c>
      <c r="S6" s="54">
        <f>-'Costo de Ventas'!S16</f>
        <v>-2092147.2</v>
      </c>
      <c r="T6" s="54">
        <f>-'Costo de Ventas'!T16</f>
        <v>-2092147.2</v>
      </c>
      <c r="U6" s="54">
        <f>-'Costo de Ventas'!U16</f>
        <v>-2092147.2</v>
      </c>
      <c r="V6" s="54">
        <f>-'Costo de Ventas'!V16</f>
        <v>-2092147.2</v>
      </c>
      <c r="W6" s="54">
        <f>-'Costo de Ventas'!W16</f>
        <v>-2092147.2</v>
      </c>
      <c r="X6" s="54">
        <f>-'Costo de Ventas'!X16</f>
        <v>-2175833.088</v>
      </c>
      <c r="Y6" s="54">
        <f>-'Costo de Ventas'!Y16</f>
        <v>-2175833.088</v>
      </c>
      <c r="Z6" s="54">
        <f>-'Costo de Ventas'!Z16</f>
        <v>-2175833.088</v>
      </c>
      <c r="AA6" s="54">
        <f>-'Costo de Ventas'!AA16</f>
        <v>-25356824.063999996</v>
      </c>
      <c r="AB6" s="54">
        <f>-'Costo de Ventas'!AB16</f>
        <v>-13325547.439226883</v>
      </c>
      <c r="AC6" s="54">
        <f>-'Costo de Ventas'!AC16</f>
        <v>-20787854.005193938</v>
      </c>
      <c r="AD6" s="54">
        <f>-'Costo de Ventas'!AD16</f>
        <v>-31327548.803953461</v>
      </c>
    </row>
    <row r="7" spans="1:31" x14ac:dyDescent="0.2">
      <c r="A7" s="212" t="s">
        <v>164</v>
      </c>
      <c r="B7" s="54">
        <f>-Salarios!B20</f>
        <v>-63765</v>
      </c>
      <c r="C7" s="54">
        <f>-Salarios!C20</f>
        <v>-63765</v>
      </c>
      <c r="D7" s="54">
        <f>-Salarios!D20</f>
        <v>-63765</v>
      </c>
      <c r="E7" s="54">
        <f>-Salarios!E20</f>
        <v>-63765</v>
      </c>
      <c r="F7" s="54">
        <f>-Salarios!F20</f>
        <v>-63765</v>
      </c>
      <c r="G7" s="54">
        <f>-Salarios!G20</f>
        <v>-63765</v>
      </c>
      <c r="H7" s="54">
        <f>-Salarios!H20</f>
        <v>-63765</v>
      </c>
      <c r="I7" s="54">
        <f>-Salarios!I20</f>
        <v>-63765</v>
      </c>
      <c r="J7" s="54">
        <f>-Salarios!J20</f>
        <v>-63765</v>
      </c>
      <c r="K7" s="54">
        <f>-Salarios!K20</f>
        <v>-73329.75</v>
      </c>
      <c r="L7" s="54">
        <f>-Salarios!L20</f>
        <v>-73329.75</v>
      </c>
      <c r="M7" s="54">
        <f>-Salarios!M20</f>
        <v>-73329.75</v>
      </c>
      <c r="N7" s="54">
        <f>-Salarios!N20</f>
        <v>-793874.25</v>
      </c>
      <c r="O7" s="54">
        <f>-Salarios!O20</f>
        <v>-73329.75</v>
      </c>
      <c r="P7" s="54">
        <f>-Salarios!P20</f>
        <v>-73329.75</v>
      </c>
      <c r="Q7" s="54">
        <f>-Salarios!Q20</f>
        <v>-73329.75</v>
      </c>
      <c r="R7" s="54">
        <f>-Salarios!R20</f>
        <v>-73329.75</v>
      </c>
      <c r="S7" s="54">
        <f>-Salarios!S20</f>
        <v>-73329.75</v>
      </c>
      <c r="T7" s="54">
        <f>-Salarios!T20</f>
        <v>-73329.75</v>
      </c>
      <c r="U7" s="54">
        <f>-Salarios!U20</f>
        <v>-73329.75</v>
      </c>
      <c r="V7" s="54">
        <f>-Salarios!V20</f>
        <v>-73329.75</v>
      </c>
      <c r="W7" s="54">
        <f>-Salarios!W20</f>
        <v>-73329.75</v>
      </c>
      <c r="X7" s="54">
        <f>-Salarios!X20</f>
        <v>-84329.212499999994</v>
      </c>
      <c r="Y7" s="54">
        <f>-Salarios!Y20</f>
        <v>-84329.212499999994</v>
      </c>
      <c r="Z7" s="54">
        <f>-Salarios!Z20</f>
        <v>-84329.212499999994</v>
      </c>
      <c r="AA7" s="54">
        <f>-Salarios!AA20</f>
        <v>-912955.38750000007</v>
      </c>
      <c r="AB7" s="54">
        <f>-Salarios!AB20</f>
        <v>-1539851.42025</v>
      </c>
      <c r="AC7" s="54">
        <f>-Salarios!AC20</f>
        <v>-1770829.1332875001</v>
      </c>
      <c r="AD7" s="54">
        <f>-Salarios!AD20</f>
        <v>-2036453.503280625</v>
      </c>
    </row>
    <row r="8" spans="1:31" x14ac:dyDescent="0.2">
      <c r="A8" s="212" t="s">
        <v>173</v>
      </c>
      <c r="B8" s="54">
        <f>-'Gastos Fijos'!B15</f>
        <v>-105489</v>
      </c>
      <c r="C8" s="54">
        <f>-'Gastos Fijos'!C15</f>
        <v>-105489</v>
      </c>
      <c r="D8" s="54">
        <f>-'Gastos Fijos'!D15</f>
        <v>-105489</v>
      </c>
      <c r="E8" s="54">
        <f>-'Gastos Fijos'!E15</f>
        <v>-105489</v>
      </c>
      <c r="F8" s="54">
        <f>-'Gastos Fijos'!F15</f>
        <v>-105489</v>
      </c>
      <c r="G8" s="54">
        <f>-'Gastos Fijos'!G15</f>
        <v>-105489</v>
      </c>
      <c r="H8" s="54">
        <f>-'Gastos Fijos'!H15</f>
        <v>-105489</v>
      </c>
      <c r="I8" s="54">
        <f>-'Gastos Fijos'!I15</f>
        <v>-105489</v>
      </c>
      <c r="J8" s="54">
        <f>-'Gastos Fijos'!J15</f>
        <v>-105489</v>
      </c>
      <c r="K8" s="54">
        <f>-'Gastos Fijos'!K15</f>
        <v>-107596.56</v>
      </c>
      <c r="L8" s="54">
        <f>-'Gastos Fijos'!L15</f>
        <v>-107596.56</v>
      </c>
      <c r="M8" s="54">
        <f>-'Gastos Fijos'!M15</f>
        <v>-107596.56</v>
      </c>
      <c r="N8" s="54">
        <f>-'Gastos Fijos'!N15</f>
        <v>-1272190.6800000002</v>
      </c>
      <c r="O8" s="54">
        <f>-'Gastos Fijos'!O15</f>
        <v>-133996.56</v>
      </c>
      <c r="P8" s="54">
        <f>-'Gastos Fijos'!P15</f>
        <v>-133996.56</v>
      </c>
      <c r="Q8" s="54">
        <f>-'Gastos Fijos'!Q15</f>
        <v>-133996.56</v>
      </c>
      <c r="R8" s="54">
        <f>-'Gastos Fijos'!R15</f>
        <v>-133996.56</v>
      </c>
      <c r="S8" s="54">
        <f>-'Gastos Fijos'!S15</f>
        <v>-133996.56</v>
      </c>
      <c r="T8" s="54">
        <f>-'Gastos Fijos'!T15</f>
        <v>-133996.56</v>
      </c>
      <c r="U8" s="54">
        <f>-'Gastos Fijos'!U15</f>
        <v>-133996.56</v>
      </c>
      <c r="V8" s="54">
        <f>-'Gastos Fijos'!V15</f>
        <v>-133996.56</v>
      </c>
      <c r="W8" s="54">
        <f>-'Gastos Fijos'!W15</f>
        <v>-133996.56</v>
      </c>
      <c r="X8" s="54">
        <f>-'Gastos Fijos'!X15</f>
        <v>-136188.42239999998</v>
      </c>
      <c r="Y8" s="54">
        <f>-'Gastos Fijos'!Y15</f>
        <v>-136188.10239999997</v>
      </c>
      <c r="Z8" s="54">
        <f>-'Gastos Fijos'!Z15</f>
        <v>-136188.10239999997</v>
      </c>
      <c r="AA8" s="54">
        <f>-'Gastos Fijos'!AA15</f>
        <v>-1614533.6672000003</v>
      </c>
      <c r="AB8" s="54">
        <f>-'Gastos Fijos'!AB15</f>
        <v>-2093603.7178880002</v>
      </c>
      <c r="AC8" s="54">
        <f>-'Gastos Fijos'!AC15</f>
        <v>-2833123.8666035202</v>
      </c>
      <c r="AD8" s="54">
        <f>-'Gastos Fijos'!AD15</f>
        <v>-3930112.8212676607</v>
      </c>
    </row>
    <row r="9" spans="1:31" x14ac:dyDescent="0.2">
      <c r="A9" s="212" t="s">
        <v>61</v>
      </c>
      <c r="B9" s="54">
        <f>-Impuestos!B20</f>
        <v>-170990.76444444444</v>
      </c>
      <c r="C9" s="54">
        <f>-Impuestos!C20</f>
        <v>-170990.76444444444</v>
      </c>
      <c r="D9" s="54">
        <f>-Impuestos!D20</f>
        <v>-170990.76444444444</v>
      </c>
      <c r="E9" s="54">
        <f>-Impuestos!E20</f>
        <v>-170990.76444444444</v>
      </c>
      <c r="F9" s="54">
        <f>-Impuestos!F20</f>
        <v>-170990.76444444444</v>
      </c>
      <c r="G9" s="54">
        <f>-Impuestos!G20</f>
        <v>-170990.76444444444</v>
      </c>
      <c r="H9" s="54">
        <f>-Impuestos!H20</f>
        <v>-170990.76444444444</v>
      </c>
      <c r="I9" s="54">
        <f>-Impuestos!I20</f>
        <v>-170990.76444444444</v>
      </c>
      <c r="J9" s="54">
        <f>-Impuestos!J20</f>
        <v>-170990.76444444444</v>
      </c>
      <c r="K9" s="54">
        <f>-Impuestos!K20</f>
        <v>-177071.07324444439</v>
      </c>
      <c r="L9" s="54">
        <f>-Impuestos!L20</f>
        <v>-177071.07324444439</v>
      </c>
      <c r="M9" s="54">
        <f>-Impuestos!M20</f>
        <v>-177071.07324444439</v>
      </c>
      <c r="N9" s="54">
        <f>-Impuestos!N20</f>
        <v>-2070130.0997333329</v>
      </c>
      <c r="O9" s="54">
        <f>-Impuestos!O20</f>
        <v>-56860.9371888889</v>
      </c>
      <c r="P9" s="54">
        <f>-Impuestos!P20</f>
        <v>-56860.9371888889</v>
      </c>
      <c r="Q9" s="54">
        <f>-Impuestos!Q20</f>
        <v>-56860.9371888889</v>
      </c>
      <c r="R9" s="54">
        <f>-Impuestos!R20</f>
        <v>-56860.9371888889</v>
      </c>
      <c r="S9" s="54">
        <f>-Impuestos!S20</f>
        <v>-56860.9371888889</v>
      </c>
      <c r="T9" s="54">
        <f>-Impuestos!T20</f>
        <v>-56860.9371888889</v>
      </c>
      <c r="U9" s="54">
        <f>-Impuestos!U20</f>
        <v>-56860.9371888889</v>
      </c>
      <c r="V9" s="54">
        <f>-Impuestos!V20</f>
        <v>-56860.9371888889</v>
      </c>
      <c r="W9" s="54">
        <f>-Impuestos!W20</f>
        <v>-56860.9371888889</v>
      </c>
      <c r="X9" s="54">
        <f>-Impuestos!X20</f>
        <v>-58315.087795888991</v>
      </c>
      <c r="Y9" s="54">
        <f>-Impuestos!Y20</f>
        <v>-58315.142195888984</v>
      </c>
      <c r="Z9" s="54">
        <f>-Impuestos!Z20</f>
        <v>-58315.142195888984</v>
      </c>
      <c r="AA9" s="54">
        <f>-Impuestos!AA20</f>
        <v>-686693.80688766716</v>
      </c>
      <c r="AB9" s="54">
        <f>-Impuestos!AB20</f>
        <v>-6273023.4904781636</v>
      </c>
      <c r="AC9" s="54">
        <f>-Impuestos!AC20</f>
        <v>-10533849.647285517</v>
      </c>
      <c r="AD9" s="54">
        <f>-Impuestos!AD20</f>
        <v>-17763535.373674311</v>
      </c>
    </row>
    <row r="10" spans="1:31" x14ac:dyDescent="0.2">
      <c r="A10" s="212" t="s">
        <v>121</v>
      </c>
      <c r="B10" s="54">
        <f>Extraordinarios!B3</f>
        <v>0</v>
      </c>
      <c r="C10" s="54">
        <f>Extraordinarios!C3</f>
        <v>0</v>
      </c>
      <c r="D10" s="54">
        <f>Extraordinarios!D3</f>
        <v>0</v>
      </c>
      <c r="E10" s="54">
        <f>Extraordinarios!E3</f>
        <v>0</v>
      </c>
      <c r="F10" s="54">
        <f>Extraordinarios!F3</f>
        <v>0</v>
      </c>
      <c r="G10" s="54">
        <f>Extraordinarios!G3</f>
        <v>0</v>
      </c>
      <c r="H10" s="54">
        <f>Extraordinarios!H3</f>
        <v>0</v>
      </c>
      <c r="I10" s="54">
        <f>Extraordinarios!I3</f>
        <v>0</v>
      </c>
      <c r="J10" s="54">
        <f>Extraordinarios!J3</f>
        <v>0</v>
      </c>
      <c r="K10" s="54">
        <f>Extraordinarios!K3</f>
        <v>0</v>
      </c>
      <c r="L10" s="54">
        <f>Extraordinarios!L3</f>
        <v>0</v>
      </c>
      <c r="M10" s="54">
        <f>Extraordinarios!M3</f>
        <v>0</v>
      </c>
      <c r="N10" s="54">
        <f>Extraordinarios!N3</f>
        <v>0</v>
      </c>
      <c r="O10" s="54">
        <f>Extraordinarios!O3</f>
        <v>0</v>
      </c>
      <c r="P10" s="54">
        <f>Extraordinarios!P3</f>
        <v>0</v>
      </c>
      <c r="Q10" s="54">
        <f>Extraordinarios!Q3</f>
        <v>0</v>
      </c>
      <c r="R10" s="54">
        <f>Extraordinarios!R3</f>
        <v>0</v>
      </c>
      <c r="S10" s="54">
        <f>Extraordinarios!S3</f>
        <v>0</v>
      </c>
      <c r="T10" s="54">
        <f>Extraordinarios!T3</f>
        <v>0</v>
      </c>
      <c r="U10" s="54">
        <f>Extraordinarios!U3</f>
        <v>0</v>
      </c>
      <c r="V10" s="54">
        <f>Extraordinarios!V3</f>
        <v>0</v>
      </c>
      <c r="W10" s="54">
        <f>Extraordinarios!W3</f>
        <v>0</v>
      </c>
      <c r="X10" s="54">
        <f>Extraordinarios!X3</f>
        <v>0</v>
      </c>
      <c r="Y10" s="54">
        <f>Extraordinarios!Y3</f>
        <v>0</v>
      </c>
      <c r="Z10" s="54">
        <f>Extraordinarios!Z3</f>
        <v>0</v>
      </c>
      <c r="AA10" s="54">
        <f>Extraordinarios!AA3</f>
        <v>0</v>
      </c>
      <c r="AB10" s="54">
        <f>Extraordinarios!AB3</f>
        <v>0</v>
      </c>
      <c r="AC10" s="54">
        <f>Extraordinarios!AC3</f>
        <v>0</v>
      </c>
      <c r="AD10" s="54">
        <f>Extraordinarios!AD3</f>
        <v>0</v>
      </c>
    </row>
    <row r="11" spans="1:31" s="91" customFormat="1" ht="12" x14ac:dyDescent="0.2">
      <c r="A11" s="170" t="s">
        <v>134</v>
      </c>
      <c r="B11" s="115">
        <f t="shared" ref="B11:AD11" si="4">SUM(B5:B10)</f>
        <v>901611.23555555556</v>
      </c>
      <c r="C11" s="115">
        <f t="shared" si="4"/>
        <v>901611.23555555556</v>
      </c>
      <c r="D11" s="115">
        <f t="shared" si="4"/>
        <v>901611.23555555556</v>
      </c>
      <c r="E11" s="115">
        <f t="shared" si="4"/>
        <v>901611.23555555556</v>
      </c>
      <c r="F11" s="115">
        <f t="shared" si="4"/>
        <v>901611.23555555556</v>
      </c>
      <c r="G11" s="115">
        <f t="shared" si="4"/>
        <v>901611.23555555556</v>
      </c>
      <c r="H11" s="115">
        <f t="shared" si="4"/>
        <v>901611.23555555556</v>
      </c>
      <c r="I11" s="115">
        <f t="shared" si="4"/>
        <v>901611.23555555556</v>
      </c>
      <c r="J11" s="115">
        <f t="shared" si="4"/>
        <v>901611.23555555556</v>
      </c>
      <c r="K11" s="115">
        <f t="shared" si="4"/>
        <v>933532.85675555537</v>
      </c>
      <c r="L11" s="115">
        <f t="shared" si="4"/>
        <v>933532.85675555537</v>
      </c>
      <c r="M11" s="115">
        <f t="shared" si="4"/>
        <v>933532.85675555537</v>
      </c>
      <c r="N11" s="115">
        <f t="shared" si="4"/>
        <v>10915099.690266669</v>
      </c>
      <c r="O11" s="115">
        <f t="shared" si="4"/>
        <v>279441.55281111115</v>
      </c>
      <c r="P11" s="115">
        <f t="shared" si="4"/>
        <v>279441.55281111115</v>
      </c>
      <c r="Q11" s="115">
        <f t="shared" si="4"/>
        <v>279441.55281111115</v>
      </c>
      <c r="R11" s="115">
        <f t="shared" si="4"/>
        <v>279441.55281111115</v>
      </c>
      <c r="S11" s="115">
        <f t="shared" si="4"/>
        <v>279441.55281111115</v>
      </c>
      <c r="T11" s="115">
        <f t="shared" si="4"/>
        <v>279441.55281111115</v>
      </c>
      <c r="U11" s="115">
        <f t="shared" si="4"/>
        <v>279441.55281111115</v>
      </c>
      <c r="V11" s="115">
        <f t="shared" si="4"/>
        <v>279441.55281111115</v>
      </c>
      <c r="W11" s="115">
        <f t="shared" si="4"/>
        <v>279441.55281111115</v>
      </c>
      <c r="X11" s="115">
        <f t="shared" si="4"/>
        <v>286541.2293041115</v>
      </c>
      <c r="Y11" s="115">
        <f t="shared" si="4"/>
        <v>286541.49490411155</v>
      </c>
      <c r="Z11" s="115">
        <f t="shared" si="4"/>
        <v>286541.49490411155</v>
      </c>
      <c r="AA11" s="115">
        <f t="shared" si="4"/>
        <v>3374598.1944123344</v>
      </c>
      <c r="AB11" s="115">
        <f>SUM(AB5:AB10)</f>
        <v>28596523.678844966</v>
      </c>
      <c r="AC11" s="115">
        <f t="shared" si="4"/>
        <v>44926880.952462822</v>
      </c>
      <c r="AD11" s="115">
        <f t="shared" si="4"/>
        <v>71072308.1613639</v>
      </c>
    </row>
    <row r="12" spans="1:31" x14ac:dyDescent="0.2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</row>
    <row r="13" spans="1:31" x14ac:dyDescent="0.2">
      <c r="A13" s="212" t="s">
        <v>8</v>
      </c>
      <c r="B13" s="54">
        <f>-'Cobranzas y pagos'!B9+'Valores de Inicio'!B37</f>
        <v>0</v>
      </c>
      <c r="C13" s="54">
        <f>-'Cobranzas y pagos'!C9+'Cobranzas y pagos'!B9+'Valores de Inicio'!C37</f>
        <v>0</v>
      </c>
      <c r="D13" s="54">
        <f>-'Cobranzas y pagos'!D9+'Cobranzas y pagos'!C9+'Valores de Inicio'!D37</f>
        <v>0</v>
      </c>
      <c r="E13" s="54">
        <f>-'Cobranzas y pagos'!E9+'Cobranzas y pagos'!D9+'Valores de Inicio'!E37</f>
        <v>0</v>
      </c>
      <c r="F13" s="54">
        <f>-'Cobranzas y pagos'!F9+'Cobranzas y pagos'!E9+'Valores de Inicio'!F37</f>
        <v>0</v>
      </c>
      <c r="G13" s="54">
        <f>-'Cobranzas y pagos'!G9+'Cobranzas y pagos'!F9+'Valores de Inicio'!G37</f>
        <v>0</v>
      </c>
      <c r="H13" s="54">
        <f>-'Cobranzas y pagos'!H9+'Cobranzas y pagos'!G9+'Valores de Inicio'!H37</f>
        <v>0</v>
      </c>
      <c r="I13" s="54">
        <f>-'Cobranzas y pagos'!I9+'Cobranzas y pagos'!H9+'Valores de Inicio'!I37</f>
        <v>0</v>
      </c>
      <c r="J13" s="54">
        <f>-'Cobranzas y pagos'!J9+'Cobranzas y pagos'!I9+'Valores de Inicio'!J37</f>
        <v>0</v>
      </c>
      <c r="K13" s="54">
        <f>-'Cobranzas y pagos'!K9+'Cobranzas y pagos'!J9+'Valores de Inicio'!K37</f>
        <v>0</v>
      </c>
      <c r="L13" s="54">
        <f>-'Cobranzas y pagos'!L9+'Cobranzas y pagos'!K9+'Valores de Inicio'!L37</f>
        <v>0</v>
      </c>
      <c r="M13" s="54">
        <f>-'Cobranzas y pagos'!M9+'Cobranzas y pagos'!L9+'Valores de Inicio'!M37</f>
        <v>0</v>
      </c>
      <c r="N13" s="54">
        <f>SUM(B13:M13)</f>
        <v>0</v>
      </c>
      <c r="O13" s="54">
        <f>-'Cobranzas y pagos'!O9+'Cobranzas y pagos'!N9+'Valores de Inicio'!O37</f>
        <v>0</v>
      </c>
      <c r="P13" s="54">
        <f>-'Cobranzas y pagos'!P9+'Cobranzas y pagos'!O9+'Valores de Inicio'!P37</f>
        <v>0</v>
      </c>
      <c r="Q13" s="54">
        <f>-'Cobranzas y pagos'!Q9+'Cobranzas y pagos'!P9+'Valores de Inicio'!Q37</f>
        <v>0</v>
      </c>
      <c r="R13" s="54">
        <f>-'Cobranzas y pagos'!R9+'Cobranzas y pagos'!Q9+'Valores de Inicio'!R37</f>
        <v>0</v>
      </c>
      <c r="S13" s="54">
        <f>-'Cobranzas y pagos'!S9+'Cobranzas y pagos'!R9+'Valores de Inicio'!S37</f>
        <v>0</v>
      </c>
      <c r="T13" s="54">
        <f>-'Cobranzas y pagos'!T9+'Cobranzas y pagos'!S9+'Valores de Inicio'!T37</f>
        <v>0</v>
      </c>
      <c r="U13" s="54">
        <f>-'Cobranzas y pagos'!U9+'Cobranzas y pagos'!T9+'Valores de Inicio'!U37</f>
        <v>0</v>
      </c>
      <c r="V13" s="54">
        <f>-'Cobranzas y pagos'!V9+'Cobranzas y pagos'!U9+'Valores de Inicio'!V37</f>
        <v>0</v>
      </c>
      <c r="W13" s="54">
        <f>-'Cobranzas y pagos'!W9+'Cobranzas y pagos'!V9+'Valores de Inicio'!W37</f>
        <v>0</v>
      </c>
      <c r="X13" s="54">
        <f>-'Cobranzas y pagos'!X9+'Cobranzas y pagos'!W9+'Valores de Inicio'!X37</f>
        <v>0</v>
      </c>
      <c r="Y13" s="54">
        <f>-'Cobranzas y pagos'!Y9+'Cobranzas y pagos'!X9+'Valores de Inicio'!Y37</f>
        <v>0</v>
      </c>
      <c r="Z13" s="54">
        <f>-'Cobranzas y pagos'!Z9+'Cobranzas y pagos'!Y9+'Valores de Inicio'!Z37</f>
        <v>0</v>
      </c>
      <c r="AA13" s="54">
        <f>SUM(O13:Z13)</f>
        <v>0</v>
      </c>
      <c r="AB13" s="54">
        <f>-'Cobranzas y pagos'!AB9+'Cobranzas y pagos'!AA9+'Valores de Inicio'!AB37</f>
        <v>0</v>
      </c>
      <c r="AC13" s="54">
        <f>-'Cobranzas y pagos'!AC9+'Cobranzas y pagos'!AB9+'Valores de Inicio'!AC37</f>
        <v>0</v>
      </c>
      <c r="AD13" s="54">
        <f>-'Cobranzas y pagos'!AD9+'Cobranzas y pagos'!AC9+'Valores de Inicio'!AD37</f>
        <v>0</v>
      </c>
    </row>
    <row r="14" spans="1:31" x14ac:dyDescent="0.2">
      <c r="A14" s="212" t="s">
        <v>4</v>
      </c>
      <c r="B14" s="54">
        <f>'Cobranzas y pagos'!B50-'Valores de Inicio'!B49</f>
        <v>0</v>
      </c>
      <c r="C14" s="54">
        <f>'Cobranzas y pagos'!C50-'Cobranzas y pagos'!B50-'Valores de Inicio'!C49</f>
        <v>0</v>
      </c>
      <c r="D14" s="54">
        <f>'Cobranzas y pagos'!D50-'Cobranzas y pagos'!C50-'Valores de Inicio'!D49</f>
        <v>0</v>
      </c>
      <c r="E14" s="54">
        <f>'Cobranzas y pagos'!E50-'Cobranzas y pagos'!D50-'Valores de Inicio'!E49</f>
        <v>0</v>
      </c>
      <c r="F14" s="54">
        <f>'Cobranzas y pagos'!F50-'Cobranzas y pagos'!E50-'Valores de Inicio'!F49</f>
        <v>0</v>
      </c>
      <c r="G14" s="54">
        <f>'Cobranzas y pagos'!G50-'Cobranzas y pagos'!F50-'Valores de Inicio'!G49</f>
        <v>0</v>
      </c>
      <c r="H14" s="54">
        <f>'Cobranzas y pagos'!H50-'Cobranzas y pagos'!G50-'Valores de Inicio'!H49</f>
        <v>0</v>
      </c>
      <c r="I14" s="54">
        <f>'Cobranzas y pagos'!I50-'Cobranzas y pagos'!H50-'Valores de Inicio'!I49</f>
        <v>0</v>
      </c>
      <c r="J14" s="54">
        <f>'Cobranzas y pagos'!J50-'Cobranzas y pagos'!I50-'Valores de Inicio'!J49</f>
        <v>0</v>
      </c>
      <c r="K14" s="54">
        <f>'Cobranzas y pagos'!K50-'Cobranzas y pagos'!J50-'Valores de Inicio'!K49</f>
        <v>0</v>
      </c>
      <c r="L14" s="54">
        <f>'Cobranzas y pagos'!L50-'Cobranzas y pagos'!K50-'Valores de Inicio'!L49</f>
        <v>0</v>
      </c>
      <c r="M14" s="54">
        <f>'Cobranzas y pagos'!M50-'Cobranzas y pagos'!L50-'Valores de Inicio'!M49</f>
        <v>0</v>
      </c>
      <c r="N14" s="54">
        <f>SUM(B14:M14)</f>
        <v>0</v>
      </c>
      <c r="O14" s="54">
        <f>'Cobranzas y pagos'!O50-'Cobranzas y pagos'!N50-'Valores de Inicio'!O49</f>
        <v>0</v>
      </c>
      <c r="P14" s="54">
        <f>'Cobranzas y pagos'!P50-'Cobranzas y pagos'!O50-'Valores de Inicio'!P49</f>
        <v>0</v>
      </c>
      <c r="Q14" s="54">
        <f>'Cobranzas y pagos'!Q50-'Cobranzas y pagos'!P50-'Valores de Inicio'!Q49</f>
        <v>0</v>
      </c>
      <c r="R14" s="54">
        <f>'Cobranzas y pagos'!R50-'Cobranzas y pagos'!Q50-'Valores de Inicio'!R49</f>
        <v>0</v>
      </c>
      <c r="S14" s="54">
        <f>'Cobranzas y pagos'!S50-'Cobranzas y pagos'!R50-'Valores de Inicio'!S49</f>
        <v>0</v>
      </c>
      <c r="T14" s="54">
        <f>'Cobranzas y pagos'!T50-'Cobranzas y pagos'!S50-'Valores de Inicio'!T49</f>
        <v>0</v>
      </c>
      <c r="U14" s="54">
        <f>'Cobranzas y pagos'!U50-'Cobranzas y pagos'!T50-'Valores de Inicio'!U49</f>
        <v>0</v>
      </c>
      <c r="V14" s="54">
        <f>'Cobranzas y pagos'!V50-'Cobranzas y pagos'!U50-'Valores de Inicio'!V49</f>
        <v>0</v>
      </c>
      <c r="W14" s="54">
        <f>'Cobranzas y pagos'!W50-'Cobranzas y pagos'!V50-'Valores de Inicio'!W49</f>
        <v>0</v>
      </c>
      <c r="X14" s="54">
        <f>'Cobranzas y pagos'!X50-'Cobranzas y pagos'!W50-'Valores de Inicio'!X49</f>
        <v>0</v>
      </c>
      <c r="Y14" s="54">
        <f>'Cobranzas y pagos'!Y50-'Cobranzas y pagos'!X50-'Valores de Inicio'!Y49</f>
        <v>0</v>
      </c>
      <c r="Z14" s="54">
        <f>'Cobranzas y pagos'!Z50-'Cobranzas y pagos'!Y50-'Valores de Inicio'!Z49</f>
        <v>0</v>
      </c>
      <c r="AA14" s="54">
        <f>SUM(O14:Z14)</f>
        <v>0</v>
      </c>
      <c r="AB14" s="54">
        <f>'Cobranzas y pagos'!AB50-'Cobranzas y pagos'!AA50-'Valores de Inicio'!AB49</f>
        <v>0</v>
      </c>
      <c r="AC14" s="54">
        <f>'Cobranzas y pagos'!AC50-'Cobranzas y pagos'!AB50-'Valores de Inicio'!AC49</f>
        <v>0</v>
      </c>
      <c r="AD14" s="54">
        <f>'Cobranzas y pagos'!AD50-'Cobranzas y pagos'!AC50-'Valores de Inicio'!AD49</f>
        <v>0</v>
      </c>
    </row>
    <row r="15" spans="1:31" x14ac:dyDescent="0.2">
      <c r="A15" s="212" t="s">
        <v>122</v>
      </c>
      <c r="B15" s="54">
        <f>-Impuestos!B7-Impuestos!B16</f>
        <v>-84000</v>
      </c>
      <c r="C15" s="54">
        <f>-Impuestos!C7-Impuestos!C16</f>
        <v>0</v>
      </c>
      <c r="D15" s="54">
        <f>-Impuestos!D7-Impuestos!D16</f>
        <v>0</v>
      </c>
      <c r="E15" s="54">
        <f>-Impuestos!E7-Impuestos!E16</f>
        <v>0</v>
      </c>
      <c r="F15" s="54">
        <f>-Impuestos!F7-Impuestos!F16</f>
        <v>0</v>
      </c>
      <c r="G15" s="54">
        <f>-Impuestos!G7-Impuestos!G16</f>
        <v>0</v>
      </c>
      <c r="H15" s="54">
        <f>-Impuestos!H7-Impuestos!H16</f>
        <v>0</v>
      </c>
      <c r="I15" s="54">
        <f>-Impuestos!I7-Impuestos!I16</f>
        <v>0</v>
      </c>
      <c r="J15" s="54">
        <f>-Impuestos!J7-Impuestos!J16</f>
        <v>0</v>
      </c>
      <c r="K15" s="54">
        <f>-Impuestos!K7-Impuestos!K16</f>
        <v>0</v>
      </c>
      <c r="L15" s="54">
        <f>-Impuestos!L7-Impuestos!L16</f>
        <v>0</v>
      </c>
      <c r="M15" s="54">
        <f>-Impuestos!M7-Impuestos!M16</f>
        <v>0</v>
      </c>
      <c r="N15" s="54">
        <f>SUM(B15:M15)</f>
        <v>-84000</v>
      </c>
      <c r="O15" s="54">
        <f>-Impuestos!O7-Impuestos!O16</f>
        <v>0</v>
      </c>
      <c r="P15" s="54">
        <f>-Impuestos!P7-Impuestos!P16</f>
        <v>0</v>
      </c>
      <c r="Q15" s="54">
        <f>-Impuestos!Q7-Impuestos!Q16</f>
        <v>0</v>
      </c>
      <c r="R15" s="54">
        <f>-Impuestos!R7-Impuestos!R16</f>
        <v>0</v>
      </c>
      <c r="S15" s="54">
        <f>-Impuestos!S7-Impuestos!S16</f>
        <v>0</v>
      </c>
      <c r="T15" s="54">
        <f>-Impuestos!T7-Impuestos!T16</f>
        <v>0</v>
      </c>
      <c r="U15" s="54">
        <f>-Impuestos!U7-Impuestos!U16</f>
        <v>0</v>
      </c>
      <c r="V15" s="54">
        <f>-Impuestos!V7-Impuestos!V16</f>
        <v>0</v>
      </c>
      <c r="W15" s="54">
        <f>-Impuestos!W7-Impuestos!W16</f>
        <v>0</v>
      </c>
      <c r="X15" s="54">
        <f>-Impuestos!X7-Impuestos!X16</f>
        <v>0</v>
      </c>
      <c r="Y15" s="54">
        <f>-Impuestos!Y7-Impuestos!Y16</f>
        <v>0</v>
      </c>
      <c r="Z15" s="54">
        <f>-Impuestos!Z7-Impuestos!Z16</f>
        <v>0</v>
      </c>
      <c r="AA15" s="54">
        <f>SUM(O15:Z15)</f>
        <v>0</v>
      </c>
      <c r="AB15" s="54">
        <f>-Impuestos!AB7-Impuestos!AB16</f>
        <v>0</v>
      </c>
      <c r="AC15" s="54">
        <f>-Impuestos!AC7-Impuestos!AC16</f>
        <v>0</v>
      </c>
      <c r="AD15" s="54">
        <f>-Impuestos!AD7-Impuestos!AD16</f>
        <v>0</v>
      </c>
    </row>
    <row r="16" spans="1:31" x14ac:dyDescent="0.2">
      <c r="A16" s="212" t="s">
        <v>53</v>
      </c>
      <c r="B16" s="54">
        <f>-Inventarios!B5+'Valores de Inicio'!B10</f>
        <v>-148192.00000000003</v>
      </c>
      <c r="C16" s="54">
        <f>-Inventarios!C5+Inventarios!B5</f>
        <v>0</v>
      </c>
      <c r="D16" s="54">
        <f>-Inventarios!D5+Inventarios!C5</f>
        <v>0</v>
      </c>
      <c r="E16" s="54">
        <f>-Inventarios!E5+Inventarios!D5</f>
        <v>0</v>
      </c>
      <c r="F16" s="54">
        <f>-Inventarios!F5+Inventarios!E5</f>
        <v>0</v>
      </c>
      <c r="G16" s="54">
        <f>-Inventarios!G5+Inventarios!F5</f>
        <v>0</v>
      </c>
      <c r="H16" s="54">
        <f>-Inventarios!H5+Inventarios!G5</f>
        <v>0</v>
      </c>
      <c r="I16" s="54">
        <f>-Inventarios!I5+Inventarios!H5</f>
        <v>0</v>
      </c>
      <c r="J16" s="54">
        <f>-Inventarios!J5+Inventarios!I5</f>
        <v>0</v>
      </c>
      <c r="K16" s="54">
        <f>-Inventarios!K5+Inventarios!J5</f>
        <v>-5927.6799999999639</v>
      </c>
      <c r="L16" s="54">
        <f>-Inventarios!L5+Inventarios!K5</f>
        <v>0</v>
      </c>
      <c r="M16" s="54">
        <f>-Inventarios!M5+Inventarios!L5</f>
        <v>0</v>
      </c>
      <c r="N16" s="54">
        <f>SUM(B16:M16)</f>
        <v>-154119.67999999999</v>
      </c>
      <c r="O16" s="54">
        <f>-Inventarios!O5+Inventarios!N5</f>
        <v>-1470726.3999999994</v>
      </c>
      <c r="P16" s="54">
        <f>-Inventarios!P5+Inventarios!O5</f>
        <v>0</v>
      </c>
      <c r="Q16" s="54">
        <f>-Inventarios!Q5+Inventarios!P5</f>
        <v>0</v>
      </c>
      <c r="R16" s="54">
        <f>-Inventarios!R5+Inventarios!Q5</f>
        <v>0</v>
      </c>
      <c r="S16" s="54">
        <f>-Inventarios!S5+Inventarios!R5</f>
        <v>0</v>
      </c>
      <c r="T16" s="54">
        <f>-Inventarios!T5+Inventarios!S5</f>
        <v>0</v>
      </c>
      <c r="U16" s="54">
        <f>-Inventarios!U5+Inventarios!T5</f>
        <v>0</v>
      </c>
      <c r="V16" s="54">
        <f>-Inventarios!V5+Inventarios!U5</f>
        <v>0</v>
      </c>
      <c r="W16" s="54">
        <f>-Inventarios!W5+Inventarios!V5</f>
        <v>0</v>
      </c>
      <c r="X16" s="54">
        <f>-Inventarios!X5+Inventarios!W5</f>
        <v>-64993.843200000934</v>
      </c>
      <c r="Y16" s="54">
        <f>-Inventarios!Y5+Inventarios!X5</f>
        <v>0</v>
      </c>
      <c r="Z16" s="54">
        <f>-Inventarios!Z5+Inventarios!Y5</f>
        <v>0</v>
      </c>
      <c r="AA16" s="54">
        <f>SUM(O16:Z16)</f>
        <v>-1535720.2432000004</v>
      </c>
      <c r="AB16" s="54">
        <f>-Inventarios!AB5+Inventarios!AA5</f>
        <v>1095617.7076723177</v>
      </c>
      <c r="AC16" s="54">
        <f>-Inventarios!AC5+Inventarios!AB5</f>
        <v>-369843.90694442997</v>
      </c>
      <c r="AD16" s="54">
        <f>-Inventarios!AD5+Inventarios!AC5</f>
        <v>-539877.02858438343</v>
      </c>
    </row>
    <row r="17" spans="1:30" s="91" customFormat="1" ht="12" x14ac:dyDescent="0.2">
      <c r="A17" s="170" t="s">
        <v>135</v>
      </c>
      <c r="B17" s="115">
        <f t="shared" ref="B17:AD17" si="5">SUM(B13:B16)</f>
        <v>-232192.00000000003</v>
      </c>
      <c r="C17" s="115">
        <f t="shared" si="5"/>
        <v>0</v>
      </c>
      <c r="D17" s="115">
        <f t="shared" si="5"/>
        <v>0</v>
      </c>
      <c r="E17" s="115">
        <f t="shared" si="5"/>
        <v>0</v>
      </c>
      <c r="F17" s="115">
        <f t="shared" si="5"/>
        <v>0</v>
      </c>
      <c r="G17" s="115">
        <f t="shared" si="5"/>
        <v>0</v>
      </c>
      <c r="H17" s="115">
        <f t="shared" si="5"/>
        <v>0</v>
      </c>
      <c r="I17" s="115">
        <f t="shared" si="5"/>
        <v>0</v>
      </c>
      <c r="J17" s="115">
        <f t="shared" si="5"/>
        <v>0</v>
      </c>
      <c r="K17" s="115">
        <f t="shared" si="5"/>
        <v>-5927.6799999999639</v>
      </c>
      <c r="L17" s="115">
        <f t="shared" si="5"/>
        <v>0</v>
      </c>
      <c r="M17" s="115">
        <f t="shared" si="5"/>
        <v>0</v>
      </c>
      <c r="N17" s="115">
        <f t="shared" si="5"/>
        <v>-238119.67999999999</v>
      </c>
      <c r="O17" s="115">
        <f t="shared" si="5"/>
        <v>-1470726.3999999994</v>
      </c>
      <c r="P17" s="115">
        <f t="shared" si="5"/>
        <v>0</v>
      </c>
      <c r="Q17" s="115">
        <f t="shared" si="5"/>
        <v>0</v>
      </c>
      <c r="R17" s="115">
        <f t="shared" si="5"/>
        <v>0</v>
      </c>
      <c r="S17" s="115">
        <f t="shared" si="5"/>
        <v>0</v>
      </c>
      <c r="T17" s="115">
        <f t="shared" si="5"/>
        <v>0</v>
      </c>
      <c r="U17" s="115">
        <f t="shared" si="5"/>
        <v>0</v>
      </c>
      <c r="V17" s="115">
        <f t="shared" si="5"/>
        <v>0</v>
      </c>
      <c r="W17" s="115">
        <f t="shared" si="5"/>
        <v>0</v>
      </c>
      <c r="X17" s="115">
        <f t="shared" si="5"/>
        <v>-64993.843200000934</v>
      </c>
      <c r="Y17" s="115">
        <f t="shared" si="5"/>
        <v>0</v>
      </c>
      <c r="Z17" s="115">
        <f t="shared" si="5"/>
        <v>0</v>
      </c>
      <c r="AA17" s="115">
        <f t="shared" si="5"/>
        <v>-1535720.2432000004</v>
      </c>
      <c r="AB17" s="115">
        <f t="shared" si="5"/>
        <v>1095617.7076723177</v>
      </c>
      <c r="AC17" s="115">
        <f t="shared" si="5"/>
        <v>-369843.90694442997</v>
      </c>
      <c r="AD17" s="115">
        <f t="shared" si="5"/>
        <v>-539877.02858438343</v>
      </c>
    </row>
    <row r="18" spans="1:30" x14ac:dyDescent="0.2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</row>
    <row r="19" spans="1:30" s="91" customFormat="1" ht="12" x14ac:dyDescent="0.2">
      <c r="A19" s="170" t="s">
        <v>86</v>
      </c>
      <c r="B19" s="115">
        <f>-Inversiones!B17</f>
        <v>-775000</v>
      </c>
      <c r="C19" s="115">
        <f>-Inversiones!C17</f>
        <v>0</v>
      </c>
      <c r="D19" s="115">
        <f>-Inversiones!D17</f>
        <v>0</v>
      </c>
      <c r="E19" s="115">
        <f>-Inversiones!E17</f>
        <v>0</v>
      </c>
      <c r="F19" s="115">
        <f>-Inversiones!F17</f>
        <v>0</v>
      </c>
      <c r="G19" s="115">
        <f>-Inversiones!G17</f>
        <v>0</v>
      </c>
      <c r="H19" s="115">
        <f>-Inversiones!H17</f>
        <v>0</v>
      </c>
      <c r="I19" s="115">
        <f>-Inversiones!I17</f>
        <v>0</v>
      </c>
      <c r="J19" s="115">
        <f>-Inversiones!J17</f>
        <v>0</v>
      </c>
      <c r="K19" s="115">
        <f>-Inversiones!K17</f>
        <v>0</v>
      </c>
      <c r="L19" s="115">
        <f>-Inversiones!L17</f>
        <v>0</v>
      </c>
      <c r="M19" s="115">
        <f>-Inversiones!M17</f>
        <v>0</v>
      </c>
      <c r="N19" s="115">
        <f>-Inversiones!N17</f>
        <v>-775000</v>
      </c>
      <c r="O19" s="115">
        <f>-Inversiones!O17</f>
        <v>0</v>
      </c>
      <c r="P19" s="115">
        <f>-Inversiones!P17</f>
        <v>0</v>
      </c>
      <c r="Q19" s="115">
        <f>-Inversiones!Q17</f>
        <v>0</v>
      </c>
      <c r="R19" s="115">
        <f>-Inversiones!R17</f>
        <v>0</v>
      </c>
      <c r="S19" s="115">
        <f>-Inversiones!S17</f>
        <v>0</v>
      </c>
      <c r="T19" s="115">
        <f>-Inversiones!T17</f>
        <v>0</v>
      </c>
      <c r="U19" s="115">
        <f>-Inversiones!U17</f>
        <v>0</v>
      </c>
      <c r="V19" s="115">
        <f>-Inversiones!V17</f>
        <v>0</v>
      </c>
      <c r="W19" s="115">
        <f>-Inversiones!W17</f>
        <v>0</v>
      </c>
      <c r="X19" s="115">
        <f>-Inversiones!X17</f>
        <v>0</v>
      </c>
      <c r="Y19" s="115">
        <f>-Inversiones!Y17</f>
        <v>0</v>
      </c>
      <c r="Z19" s="115">
        <f>-Inversiones!Z17</f>
        <v>0</v>
      </c>
      <c r="AA19" s="115">
        <f>-Inversiones!AA17</f>
        <v>0</v>
      </c>
      <c r="AB19" s="115">
        <f>-Inversiones!AB17</f>
        <v>0</v>
      </c>
      <c r="AC19" s="115">
        <f>-Inversiones!AC17</f>
        <v>0</v>
      </c>
      <c r="AD19" s="115">
        <f>-Inversiones!AD17</f>
        <v>0</v>
      </c>
    </row>
    <row r="20" spans="1:30" x14ac:dyDescent="0.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</row>
    <row r="21" spans="1:30" ht="15" x14ac:dyDescent="0.25">
      <c r="A21" s="174" t="s">
        <v>55</v>
      </c>
      <c r="B21" s="174">
        <f t="shared" ref="B21:AD21" si="6">B11+B17+B19</f>
        <v>-105580.76444444444</v>
      </c>
      <c r="C21" s="174">
        <f t="shared" si="6"/>
        <v>901611.23555555556</v>
      </c>
      <c r="D21" s="174">
        <f t="shared" si="6"/>
        <v>901611.23555555556</v>
      </c>
      <c r="E21" s="174">
        <f t="shared" si="6"/>
        <v>901611.23555555556</v>
      </c>
      <c r="F21" s="174">
        <f t="shared" si="6"/>
        <v>901611.23555555556</v>
      </c>
      <c r="G21" s="174">
        <f t="shared" si="6"/>
        <v>901611.23555555556</v>
      </c>
      <c r="H21" s="174">
        <f t="shared" si="6"/>
        <v>901611.23555555556</v>
      </c>
      <c r="I21" s="174">
        <f t="shared" si="6"/>
        <v>901611.23555555556</v>
      </c>
      <c r="J21" s="174">
        <f t="shared" si="6"/>
        <v>901611.23555555556</v>
      </c>
      <c r="K21" s="174">
        <f t="shared" si="6"/>
        <v>927605.17675555544</v>
      </c>
      <c r="L21" s="174">
        <f t="shared" si="6"/>
        <v>933532.85675555537</v>
      </c>
      <c r="M21" s="174">
        <f t="shared" si="6"/>
        <v>933532.85675555537</v>
      </c>
      <c r="N21" s="174">
        <f t="shared" si="6"/>
        <v>9901980.0102666691</v>
      </c>
      <c r="O21" s="174">
        <f t="shared" si="6"/>
        <v>-1191284.8471888884</v>
      </c>
      <c r="P21" s="174">
        <f t="shared" si="6"/>
        <v>279441.55281111115</v>
      </c>
      <c r="Q21" s="174">
        <f t="shared" si="6"/>
        <v>279441.55281111115</v>
      </c>
      <c r="R21" s="174">
        <f t="shared" si="6"/>
        <v>279441.55281111115</v>
      </c>
      <c r="S21" s="174">
        <f t="shared" si="6"/>
        <v>279441.55281111115</v>
      </c>
      <c r="T21" s="174">
        <f t="shared" si="6"/>
        <v>279441.55281111115</v>
      </c>
      <c r="U21" s="174">
        <f t="shared" si="6"/>
        <v>279441.55281111115</v>
      </c>
      <c r="V21" s="174">
        <f t="shared" si="6"/>
        <v>279441.55281111115</v>
      </c>
      <c r="W21" s="174">
        <f t="shared" si="6"/>
        <v>279441.55281111115</v>
      </c>
      <c r="X21" s="174">
        <f t="shared" si="6"/>
        <v>221547.38610411057</v>
      </c>
      <c r="Y21" s="174">
        <f t="shared" si="6"/>
        <v>286541.49490411155</v>
      </c>
      <c r="Z21" s="174">
        <f t="shared" si="6"/>
        <v>286541.49490411155</v>
      </c>
      <c r="AA21" s="174">
        <f t="shared" si="6"/>
        <v>1838877.951212334</v>
      </c>
      <c r="AB21" s="237">
        <f>AB11+AB17+AB19</f>
        <v>29692141.386517283</v>
      </c>
      <c r="AC21" s="237">
        <f t="shared" si="6"/>
        <v>44557037.045518391</v>
      </c>
      <c r="AD21" s="237">
        <f t="shared" si="6"/>
        <v>70532431.132779509</v>
      </c>
    </row>
    <row r="22" spans="1:30" x14ac:dyDescent="0.2">
      <c r="A22" s="173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</row>
    <row r="23" spans="1:30" x14ac:dyDescent="0.2">
      <c r="A23" s="212" t="s">
        <v>210</v>
      </c>
      <c r="B23" s="54">
        <f>Financiamiento!B4</f>
        <v>0</v>
      </c>
      <c r="C23" s="54">
        <f>Financiamiento!C4</f>
        <v>0</v>
      </c>
      <c r="D23" s="54">
        <f>Financiamiento!D4</f>
        <v>0</v>
      </c>
      <c r="E23" s="54">
        <f>Financiamiento!E4</f>
        <v>0</v>
      </c>
      <c r="F23" s="54">
        <f>Financiamiento!F4</f>
        <v>0</v>
      </c>
      <c r="G23" s="54">
        <f>Financiamiento!G4</f>
        <v>0</v>
      </c>
      <c r="H23" s="54">
        <f>Financiamiento!H4</f>
        <v>0</v>
      </c>
      <c r="I23" s="54">
        <f>Financiamiento!I4</f>
        <v>0</v>
      </c>
      <c r="J23" s="54">
        <f>Financiamiento!J4</f>
        <v>0</v>
      </c>
      <c r="K23" s="54">
        <f>Financiamiento!K4</f>
        <v>0</v>
      </c>
      <c r="L23" s="54">
        <f>Financiamiento!L4</f>
        <v>0</v>
      </c>
      <c r="M23" s="54">
        <f>Financiamiento!M4</f>
        <v>0</v>
      </c>
      <c r="N23" s="54">
        <f>Financiamiento!N4</f>
        <v>0</v>
      </c>
      <c r="O23" s="54">
        <f>Financiamiento!O4</f>
        <v>0</v>
      </c>
      <c r="P23" s="54">
        <f>Financiamiento!P4</f>
        <v>0</v>
      </c>
      <c r="Q23" s="54">
        <f>Financiamiento!Q4</f>
        <v>0</v>
      </c>
      <c r="R23" s="54">
        <f>Financiamiento!R4</f>
        <v>0</v>
      </c>
      <c r="S23" s="54">
        <f>Financiamiento!S4</f>
        <v>0</v>
      </c>
      <c r="T23" s="54">
        <f>Financiamiento!T4</f>
        <v>0</v>
      </c>
      <c r="U23" s="54">
        <f>Financiamiento!U4</f>
        <v>0</v>
      </c>
      <c r="V23" s="54">
        <f>Financiamiento!V4</f>
        <v>0</v>
      </c>
      <c r="W23" s="54">
        <f>Financiamiento!W4</f>
        <v>0</v>
      </c>
      <c r="X23" s="54">
        <f>Financiamiento!X4</f>
        <v>0</v>
      </c>
      <c r="Y23" s="54">
        <f>Financiamiento!Y4</f>
        <v>0</v>
      </c>
      <c r="Z23" s="54">
        <f>Financiamiento!Z4</f>
        <v>0</v>
      </c>
      <c r="AA23" s="54">
        <f>Financiamiento!AA4</f>
        <v>0</v>
      </c>
      <c r="AB23" s="54">
        <f>Financiamiento!AB4</f>
        <v>0</v>
      </c>
      <c r="AC23" s="54">
        <f>Financiamiento!AC4</f>
        <v>0</v>
      </c>
      <c r="AD23" s="54">
        <f>Financiamiento!AD4</f>
        <v>0</v>
      </c>
    </row>
    <row r="24" spans="1:30" x14ac:dyDescent="0.2">
      <c r="A24" s="212" t="s">
        <v>50</v>
      </c>
      <c r="B24" s="54">
        <f>-Financiamiento!B5</f>
        <v>0</v>
      </c>
      <c r="C24" s="54">
        <f>-Financiamiento!C5</f>
        <v>0</v>
      </c>
      <c r="D24" s="54">
        <f>-Financiamiento!D5</f>
        <v>0</v>
      </c>
      <c r="E24" s="54">
        <f>-Financiamiento!E5</f>
        <v>0</v>
      </c>
      <c r="F24" s="54">
        <f>-Financiamiento!F5</f>
        <v>0</v>
      </c>
      <c r="G24" s="54">
        <f>-Financiamiento!G5</f>
        <v>0</v>
      </c>
      <c r="H24" s="54">
        <f>-Financiamiento!H5</f>
        <v>0</v>
      </c>
      <c r="I24" s="54">
        <f>-Financiamiento!I5</f>
        <v>0</v>
      </c>
      <c r="J24" s="54">
        <f>-Financiamiento!J5</f>
        <v>0</v>
      </c>
      <c r="K24" s="54">
        <f>-Financiamiento!K5</f>
        <v>0</v>
      </c>
      <c r="L24" s="54">
        <f>-Financiamiento!L5</f>
        <v>0</v>
      </c>
      <c r="M24" s="54">
        <f>-Financiamiento!M5</f>
        <v>0</v>
      </c>
      <c r="N24" s="54">
        <f>-Financiamiento!N5</f>
        <v>0</v>
      </c>
      <c r="O24" s="54">
        <f>-Financiamiento!O5</f>
        <v>0</v>
      </c>
      <c r="P24" s="54">
        <f>-Financiamiento!P5</f>
        <v>0</v>
      </c>
      <c r="Q24" s="54">
        <f>-Financiamiento!Q5</f>
        <v>0</v>
      </c>
      <c r="R24" s="54">
        <f>-Financiamiento!R5</f>
        <v>0</v>
      </c>
      <c r="S24" s="54">
        <f>-Financiamiento!S5</f>
        <v>0</v>
      </c>
      <c r="T24" s="54">
        <f>-Financiamiento!T5</f>
        <v>0</v>
      </c>
      <c r="U24" s="54">
        <f>-Financiamiento!U5</f>
        <v>0</v>
      </c>
      <c r="V24" s="54">
        <f>-Financiamiento!V5</f>
        <v>0</v>
      </c>
      <c r="W24" s="54">
        <f>-Financiamiento!W5</f>
        <v>0</v>
      </c>
      <c r="X24" s="54">
        <f>-Financiamiento!X5</f>
        <v>0</v>
      </c>
      <c r="Y24" s="54">
        <f>-Financiamiento!Y5</f>
        <v>0</v>
      </c>
      <c r="Z24" s="54">
        <f>-Financiamiento!Z5</f>
        <v>0</v>
      </c>
      <c r="AA24" s="54">
        <f>-Financiamiento!AA5</f>
        <v>0</v>
      </c>
      <c r="AB24" s="54">
        <f>-Financiamiento!AB5</f>
        <v>0</v>
      </c>
      <c r="AC24" s="54">
        <f>-Financiamiento!AC5</f>
        <v>0</v>
      </c>
      <c r="AD24" s="54">
        <f>-Financiamiento!AD5</f>
        <v>0</v>
      </c>
    </row>
    <row r="25" spans="1:30" s="91" customFormat="1" ht="12" x14ac:dyDescent="0.2">
      <c r="A25" s="170" t="s">
        <v>110</v>
      </c>
      <c r="B25" s="115">
        <f t="shared" ref="B25:AD25" si="7">B24+B23</f>
        <v>0</v>
      </c>
      <c r="C25" s="115">
        <f t="shared" si="7"/>
        <v>0</v>
      </c>
      <c r="D25" s="115">
        <f t="shared" si="7"/>
        <v>0</v>
      </c>
      <c r="E25" s="115">
        <f t="shared" si="7"/>
        <v>0</v>
      </c>
      <c r="F25" s="115">
        <f t="shared" si="7"/>
        <v>0</v>
      </c>
      <c r="G25" s="115">
        <f t="shared" si="7"/>
        <v>0</v>
      </c>
      <c r="H25" s="115">
        <f t="shared" si="7"/>
        <v>0</v>
      </c>
      <c r="I25" s="115">
        <f t="shared" si="7"/>
        <v>0</v>
      </c>
      <c r="J25" s="115">
        <f t="shared" si="7"/>
        <v>0</v>
      </c>
      <c r="K25" s="115">
        <f t="shared" si="7"/>
        <v>0</v>
      </c>
      <c r="L25" s="115">
        <f t="shared" si="7"/>
        <v>0</v>
      </c>
      <c r="M25" s="115">
        <f t="shared" si="7"/>
        <v>0</v>
      </c>
      <c r="N25" s="115">
        <f t="shared" si="7"/>
        <v>0</v>
      </c>
      <c r="O25" s="115">
        <f t="shared" si="7"/>
        <v>0</v>
      </c>
      <c r="P25" s="115">
        <f t="shared" si="7"/>
        <v>0</v>
      </c>
      <c r="Q25" s="115">
        <f t="shared" si="7"/>
        <v>0</v>
      </c>
      <c r="R25" s="115">
        <f t="shared" si="7"/>
        <v>0</v>
      </c>
      <c r="S25" s="115">
        <f t="shared" si="7"/>
        <v>0</v>
      </c>
      <c r="T25" s="115">
        <f t="shared" si="7"/>
        <v>0</v>
      </c>
      <c r="U25" s="115">
        <f t="shared" si="7"/>
        <v>0</v>
      </c>
      <c r="V25" s="115">
        <f t="shared" si="7"/>
        <v>0</v>
      </c>
      <c r="W25" s="115">
        <f t="shared" si="7"/>
        <v>0</v>
      </c>
      <c r="X25" s="115">
        <f t="shared" si="7"/>
        <v>0</v>
      </c>
      <c r="Y25" s="115">
        <f t="shared" si="7"/>
        <v>0</v>
      </c>
      <c r="Z25" s="115">
        <f t="shared" si="7"/>
        <v>0</v>
      </c>
      <c r="AA25" s="115">
        <f t="shared" si="7"/>
        <v>0</v>
      </c>
      <c r="AB25" s="115">
        <f t="shared" si="7"/>
        <v>0</v>
      </c>
      <c r="AC25" s="115">
        <f t="shared" si="7"/>
        <v>0</v>
      </c>
      <c r="AD25" s="115">
        <f t="shared" si="7"/>
        <v>0</v>
      </c>
    </row>
    <row r="26" spans="1:30" x14ac:dyDescent="0.2">
      <c r="A26" s="173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</row>
    <row r="27" spans="1:30" x14ac:dyDescent="0.2">
      <c r="A27" s="212" t="s">
        <v>185</v>
      </c>
      <c r="B27" s="54">
        <f>Financiamiento!B10-Financiamiento!B11-Financiamiento!B14-'Valores de Inicio'!B55-'Valores de Inicio'!B56</f>
        <v>0</v>
      </c>
      <c r="C27" s="54">
        <f>Financiamiento!C10-Financiamiento!C11-Financiamiento!C14-'Valores de Inicio'!C55-'Valores de Inicio'!C56</f>
        <v>0</v>
      </c>
      <c r="D27" s="54">
        <f>Financiamiento!D10-Financiamiento!D11-Financiamiento!D14-'Valores de Inicio'!D55-'Valores de Inicio'!D56</f>
        <v>0</v>
      </c>
      <c r="E27" s="54">
        <f>Financiamiento!E10-Financiamiento!E11-Financiamiento!E14-'Valores de Inicio'!E55-'Valores de Inicio'!E56</f>
        <v>0</v>
      </c>
      <c r="F27" s="54">
        <f>Financiamiento!F10-Financiamiento!F11-Financiamiento!F14-'Valores de Inicio'!F55-'Valores de Inicio'!F56</f>
        <v>0</v>
      </c>
      <c r="G27" s="54">
        <f>Financiamiento!G10-Financiamiento!G11-Financiamiento!G14-'Valores de Inicio'!G55-'Valores de Inicio'!G56</f>
        <v>0</v>
      </c>
      <c r="H27" s="54">
        <f>Financiamiento!H10-Financiamiento!H11-Financiamiento!H14-'Valores de Inicio'!H55-'Valores de Inicio'!H56</f>
        <v>0</v>
      </c>
      <c r="I27" s="54">
        <f>Financiamiento!I10-Financiamiento!I11-Financiamiento!I14-'Valores de Inicio'!I55-'Valores de Inicio'!I56</f>
        <v>0</v>
      </c>
      <c r="J27" s="54">
        <f>Financiamiento!J10-Financiamiento!J11-Financiamiento!J14-'Valores de Inicio'!J55-'Valores de Inicio'!J56</f>
        <v>0</v>
      </c>
      <c r="K27" s="54">
        <f>Financiamiento!K10-Financiamiento!K11-Financiamiento!K14-'Valores de Inicio'!K55-'Valores de Inicio'!K56</f>
        <v>0</v>
      </c>
      <c r="L27" s="54">
        <f>Financiamiento!L10-Financiamiento!L11-Financiamiento!L14-'Valores de Inicio'!L55-'Valores de Inicio'!L56</f>
        <v>0</v>
      </c>
      <c r="M27" s="54">
        <f>Financiamiento!M10-Financiamiento!M11-Financiamiento!M14-'Valores de Inicio'!M55-'Valores de Inicio'!M56</f>
        <v>0</v>
      </c>
      <c r="N27" s="54">
        <f>Financiamiento!N10-Financiamiento!N11-Financiamiento!N14-'Valores de Inicio'!N55-'Valores de Inicio'!N56</f>
        <v>0</v>
      </c>
      <c r="O27" s="54">
        <f>Financiamiento!O10-Financiamiento!O11-Financiamiento!O14-'Valores de Inicio'!O55-'Valores de Inicio'!O56</f>
        <v>0</v>
      </c>
      <c r="P27" s="54">
        <f>Financiamiento!P10-Financiamiento!P11-Financiamiento!P14-'Valores de Inicio'!P55-'Valores de Inicio'!P56</f>
        <v>0</v>
      </c>
      <c r="Q27" s="54">
        <f>Financiamiento!Q10-Financiamiento!Q11-Financiamiento!Q14-'Valores de Inicio'!Q55-'Valores de Inicio'!Q56</f>
        <v>0</v>
      </c>
      <c r="R27" s="54">
        <f>Financiamiento!R10-Financiamiento!R11-Financiamiento!R14-'Valores de Inicio'!R55-'Valores de Inicio'!R56</f>
        <v>0</v>
      </c>
      <c r="S27" s="54">
        <f>Financiamiento!S10-Financiamiento!S11-Financiamiento!S14-'Valores de Inicio'!S55-'Valores de Inicio'!S56</f>
        <v>0</v>
      </c>
      <c r="T27" s="54">
        <f>Financiamiento!T10-Financiamiento!T11-Financiamiento!T14-'Valores de Inicio'!T55-'Valores de Inicio'!T56</f>
        <v>0</v>
      </c>
      <c r="U27" s="54">
        <f>Financiamiento!U10-Financiamiento!U11-Financiamiento!U14-'Valores de Inicio'!U55-'Valores de Inicio'!U56</f>
        <v>0</v>
      </c>
      <c r="V27" s="54">
        <f>Financiamiento!V10-Financiamiento!V11-Financiamiento!V14-'Valores de Inicio'!V55-'Valores de Inicio'!V56</f>
        <v>0</v>
      </c>
      <c r="W27" s="54">
        <f>Financiamiento!W10-Financiamiento!W11-Financiamiento!W14-'Valores de Inicio'!W55-'Valores de Inicio'!W56</f>
        <v>0</v>
      </c>
      <c r="X27" s="54">
        <f>Financiamiento!X10-Financiamiento!X11-Financiamiento!X14-'Valores de Inicio'!X55-'Valores de Inicio'!X56</f>
        <v>0</v>
      </c>
      <c r="Y27" s="54">
        <f>Financiamiento!Y10-Financiamiento!Y11-Financiamiento!Y14-'Valores de Inicio'!Y55-'Valores de Inicio'!Y56</f>
        <v>0</v>
      </c>
      <c r="Z27" s="54">
        <f>Financiamiento!Z10-Financiamiento!Z11-Financiamiento!Z14-'Valores de Inicio'!Z55-'Valores de Inicio'!Z56</f>
        <v>0</v>
      </c>
      <c r="AA27" s="54">
        <f>Financiamiento!AA10-Financiamiento!AA11-Financiamiento!AA14-'Valores de Inicio'!AA55-'Valores de Inicio'!AA56</f>
        <v>0</v>
      </c>
      <c r="AB27" s="54">
        <f>Financiamiento!AB10-Financiamiento!AB11-Financiamiento!AB14-'Valores de Inicio'!AB55-'Valores de Inicio'!AB56</f>
        <v>0</v>
      </c>
      <c r="AC27" s="54">
        <f>Financiamiento!AC10-Financiamiento!AC11-Financiamiento!AC14-'Valores de Inicio'!AC55-'Valores de Inicio'!AC56</f>
        <v>0</v>
      </c>
      <c r="AD27" s="54">
        <f>Financiamiento!AD10-Financiamiento!AD11-Financiamiento!AD14-'Valores de Inicio'!AD55-'Valores de Inicio'!AD56</f>
        <v>0</v>
      </c>
    </row>
    <row r="28" spans="1:30" x14ac:dyDescent="0.2">
      <c r="A28" s="212" t="s">
        <v>0</v>
      </c>
      <c r="B28" s="54">
        <f>Financiamiento!B18-Financiamiento!B19-Financiamiento!B22-'Valores de Inicio'!B62-'Valores de Inicio'!B63</f>
        <v>3279539.3449679078</v>
      </c>
      <c r="C28" s="54">
        <f>Financiamiento!C18-Financiamiento!C19-Financiamiento!C22-'Valores de Inicio'!C62-'Valores de Inicio'!C63</f>
        <v>-121598.65503209218</v>
      </c>
      <c r="D28" s="54">
        <f>Financiamiento!D18-Financiamiento!D19-Financiamiento!D22-'Valores de Inicio'!D62-'Valores de Inicio'!D63</f>
        <v>-121598.65503209218</v>
      </c>
      <c r="E28" s="54">
        <f>Financiamiento!E18-Financiamiento!E19-Financiamiento!E22-'Valores de Inicio'!E62-'Valores de Inicio'!E63</f>
        <v>-121598.65503209218</v>
      </c>
      <c r="F28" s="54">
        <f>Financiamiento!F18-Financiamiento!F19-Financiamiento!F22-'Valores de Inicio'!F62-'Valores de Inicio'!F63</f>
        <v>-121598.65503209218</v>
      </c>
      <c r="G28" s="54">
        <f>Financiamiento!G18-Financiamiento!G19-Financiamiento!G22-'Valores de Inicio'!G62-'Valores de Inicio'!G63</f>
        <v>-121598.65503209218</v>
      </c>
      <c r="H28" s="54">
        <f>Financiamiento!H18-Financiamiento!H19-Financiamiento!H22-'Valores de Inicio'!H62-'Valores de Inicio'!H63</f>
        <v>-121598.65503209218</v>
      </c>
      <c r="I28" s="54">
        <f>Financiamiento!I18-Financiamiento!I19-Financiamiento!I22-'Valores de Inicio'!I62-'Valores de Inicio'!I63</f>
        <v>-121598.65503209218</v>
      </c>
      <c r="J28" s="54">
        <f>Financiamiento!J18-Financiamiento!J19-Financiamiento!J22-'Valores de Inicio'!J62-'Valores de Inicio'!J63</f>
        <v>-121598.65503209218</v>
      </c>
      <c r="K28" s="54">
        <f>Financiamiento!K18-Financiamiento!K19-Financiamiento!K22-'Valores de Inicio'!K62-'Valores de Inicio'!K63</f>
        <v>-121598.65503209218</v>
      </c>
      <c r="L28" s="54">
        <f>Financiamiento!L18-Financiamiento!L19-Financiamiento!L22-'Valores de Inicio'!L62-'Valores de Inicio'!L63</f>
        <v>-121598.65503209218</v>
      </c>
      <c r="M28" s="54">
        <f>Financiamiento!M18-Financiamiento!M19-Financiamiento!M22-'Valores de Inicio'!M62-'Valores de Inicio'!M63</f>
        <v>-121598.65503209218</v>
      </c>
      <c r="N28" s="54">
        <f>Financiamiento!N18-Financiamiento!N19-Financiamiento!N22-'Valores de Inicio'!N62-'Valores de Inicio'!N63</f>
        <v>1941954.1396148934</v>
      </c>
      <c r="O28" s="54">
        <f>Financiamiento!O18-Financiamiento!O19-Financiamiento!O22-'Valores de Inicio'!O62-'Valores de Inicio'!O63</f>
        <v>-121598.65503209218</v>
      </c>
      <c r="P28" s="54">
        <f>Financiamiento!P18-Financiamiento!P19-Financiamiento!P22-'Valores de Inicio'!P62-'Valores de Inicio'!P63</f>
        <v>-121598.65503209218</v>
      </c>
      <c r="Q28" s="54">
        <f>Financiamiento!Q18-Financiamiento!Q19-Financiamiento!Q22-'Valores de Inicio'!Q62-'Valores de Inicio'!Q63</f>
        <v>-121598.65503209218</v>
      </c>
      <c r="R28" s="54">
        <f>Financiamiento!R18-Financiamiento!R19-Financiamiento!R22-'Valores de Inicio'!R62-'Valores de Inicio'!R63</f>
        <v>-121598.65503209218</v>
      </c>
      <c r="S28" s="54">
        <f>Financiamiento!S18-Financiamiento!S19-Financiamiento!S22-'Valores de Inicio'!S62-'Valores de Inicio'!S63</f>
        <v>-121598.65503209218</v>
      </c>
      <c r="T28" s="54">
        <f>Financiamiento!T18-Financiamiento!T19-Financiamiento!T22-'Valores de Inicio'!T62-'Valores de Inicio'!T63</f>
        <v>-47085.77</v>
      </c>
      <c r="U28" s="54">
        <f>Financiamiento!U18-Financiamiento!U19-Financiamiento!U22-'Valores de Inicio'!U62-'Valores de Inicio'!U63</f>
        <v>-47085.77</v>
      </c>
      <c r="V28" s="54">
        <f>Financiamiento!V18-Financiamiento!V19-Financiamiento!V22-'Valores de Inicio'!V62-'Valores de Inicio'!V63</f>
        <v>-47085.77</v>
      </c>
      <c r="W28" s="54">
        <f>Financiamiento!W18-Financiamiento!W19-Financiamiento!W22-'Valores de Inicio'!W62-'Valores de Inicio'!W63</f>
        <v>-47085.77</v>
      </c>
      <c r="X28" s="54">
        <f>Financiamiento!X18-Financiamiento!X19-Financiamiento!X22-'Valores de Inicio'!X62-'Valores de Inicio'!X63</f>
        <v>-47085.77</v>
      </c>
      <c r="Y28" s="54">
        <f>Financiamiento!Y18-Financiamiento!Y19-Financiamiento!Y22-'Valores de Inicio'!Y62-'Valores de Inicio'!Y63</f>
        <v>-47085.77</v>
      </c>
      <c r="Z28" s="54">
        <f>Financiamiento!Z18-Financiamiento!Z19-Financiamiento!Z22-'Valores de Inicio'!Z62-'Valores de Inicio'!Z63</f>
        <v>-47085.77</v>
      </c>
      <c r="AA28" s="54">
        <f>Financiamiento!AA18-Financiamiento!AA19-Financiamiento!AA22-'Valores de Inicio'!AA62-'Valores de Inicio'!AA63</f>
        <v>-937593.6651604611</v>
      </c>
      <c r="AB28" s="54">
        <f>Financiamiento!AB18-Financiamiento!AB19-Financiamiento!AB22-'Valores de Inicio'!AB62-'Valores de Inicio'!AB63</f>
        <v>-482770</v>
      </c>
      <c r="AC28" s="54">
        <f>Financiamiento!AC18-Financiamiento!AC19-Financiamiento!AC22-'Valores de Inicio'!AC62-'Valores de Inicio'!AC63</f>
        <v>0</v>
      </c>
      <c r="AD28" s="54">
        <f>Financiamiento!AD18-Financiamiento!AD19-Financiamiento!AD22-'Valores de Inicio'!AD62-'Valores de Inicio'!AD63</f>
        <v>0</v>
      </c>
    </row>
    <row r="29" spans="1:30" s="91" customFormat="1" ht="12" x14ac:dyDescent="0.2">
      <c r="A29" s="170" t="s">
        <v>199</v>
      </c>
      <c r="B29" s="115">
        <f t="shared" ref="B29:AD29" si="8">B27+B28</f>
        <v>3279539.3449679078</v>
      </c>
      <c r="C29" s="115">
        <f t="shared" si="8"/>
        <v>-121598.65503209218</v>
      </c>
      <c r="D29" s="115">
        <f t="shared" si="8"/>
        <v>-121598.65503209218</v>
      </c>
      <c r="E29" s="115">
        <f t="shared" si="8"/>
        <v>-121598.65503209218</v>
      </c>
      <c r="F29" s="115">
        <f t="shared" si="8"/>
        <v>-121598.65503209218</v>
      </c>
      <c r="G29" s="115">
        <f t="shared" si="8"/>
        <v>-121598.65503209218</v>
      </c>
      <c r="H29" s="115">
        <f t="shared" si="8"/>
        <v>-121598.65503209218</v>
      </c>
      <c r="I29" s="115">
        <f t="shared" si="8"/>
        <v>-121598.65503209218</v>
      </c>
      <c r="J29" s="115">
        <f t="shared" si="8"/>
        <v>-121598.65503209218</v>
      </c>
      <c r="K29" s="115">
        <f t="shared" si="8"/>
        <v>-121598.65503209218</v>
      </c>
      <c r="L29" s="115">
        <f t="shared" si="8"/>
        <v>-121598.65503209218</v>
      </c>
      <c r="M29" s="115">
        <f t="shared" si="8"/>
        <v>-121598.65503209218</v>
      </c>
      <c r="N29" s="115">
        <f t="shared" si="8"/>
        <v>1941954.1396148934</v>
      </c>
      <c r="O29" s="115">
        <f t="shared" si="8"/>
        <v>-121598.65503209218</v>
      </c>
      <c r="P29" s="115">
        <f t="shared" si="8"/>
        <v>-121598.65503209218</v>
      </c>
      <c r="Q29" s="115">
        <f t="shared" si="8"/>
        <v>-121598.65503209218</v>
      </c>
      <c r="R29" s="115">
        <f t="shared" si="8"/>
        <v>-121598.65503209218</v>
      </c>
      <c r="S29" s="115">
        <f t="shared" si="8"/>
        <v>-121598.65503209218</v>
      </c>
      <c r="T29" s="115">
        <f t="shared" si="8"/>
        <v>-47085.77</v>
      </c>
      <c r="U29" s="115">
        <f t="shared" si="8"/>
        <v>-47085.77</v>
      </c>
      <c r="V29" s="115">
        <f t="shared" si="8"/>
        <v>-47085.77</v>
      </c>
      <c r="W29" s="115">
        <f t="shared" si="8"/>
        <v>-47085.77</v>
      </c>
      <c r="X29" s="115">
        <f t="shared" si="8"/>
        <v>-47085.77</v>
      </c>
      <c r="Y29" s="115">
        <f t="shared" si="8"/>
        <v>-47085.77</v>
      </c>
      <c r="Z29" s="115">
        <f t="shared" si="8"/>
        <v>-47085.77</v>
      </c>
      <c r="AA29" s="115">
        <f t="shared" si="8"/>
        <v>-937593.6651604611</v>
      </c>
      <c r="AB29" s="115">
        <f t="shared" si="8"/>
        <v>-482770</v>
      </c>
      <c r="AC29" s="115">
        <f t="shared" si="8"/>
        <v>0</v>
      </c>
      <c r="AD29" s="115">
        <f t="shared" si="8"/>
        <v>0</v>
      </c>
    </row>
    <row r="30" spans="1:30" x14ac:dyDescent="0.2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</row>
    <row r="31" spans="1:30" s="91" customFormat="1" ht="12" x14ac:dyDescent="0.2">
      <c r="A31" s="170" t="s">
        <v>65</v>
      </c>
      <c r="B31" s="115">
        <f>Financiamiento!B26</f>
        <v>0</v>
      </c>
      <c r="C31" s="115">
        <f>Financiamiento!C26</f>
        <v>0</v>
      </c>
      <c r="D31" s="115">
        <f>Financiamiento!D26</f>
        <v>0</v>
      </c>
      <c r="E31" s="115">
        <f>Financiamiento!E26</f>
        <v>0</v>
      </c>
      <c r="F31" s="115">
        <f>Financiamiento!F26</f>
        <v>0</v>
      </c>
      <c r="G31" s="115">
        <f>Financiamiento!G26</f>
        <v>0</v>
      </c>
      <c r="H31" s="115">
        <f>Financiamiento!H26</f>
        <v>0</v>
      </c>
      <c r="I31" s="115">
        <f>Financiamiento!I26</f>
        <v>0</v>
      </c>
      <c r="J31" s="115">
        <f>Financiamiento!J26</f>
        <v>0</v>
      </c>
      <c r="K31" s="115">
        <f>Financiamiento!K26</f>
        <v>0</v>
      </c>
      <c r="L31" s="115">
        <f>Financiamiento!L26</f>
        <v>0</v>
      </c>
      <c r="M31" s="115">
        <f>Financiamiento!M26</f>
        <v>0</v>
      </c>
      <c r="N31" s="115">
        <f>Financiamiento!N26</f>
        <v>0</v>
      </c>
      <c r="O31" s="115">
        <f>Financiamiento!O26</f>
        <v>0</v>
      </c>
      <c r="P31" s="115">
        <f>Financiamiento!P26</f>
        <v>0</v>
      </c>
      <c r="Q31" s="115">
        <f>Financiamiento!Q26</f>
        <v>0</v>
      </c>
      <c r="R31" s="115">
        <f>Financiamiento!R26</f>
        <v>0</v>
      </c>
      <c r="S31" s="115">
        <f>Financiamiento!S26</f>
        <v>0</v>
      </c>
      <c r="T31" s="115">
        <f>Financiamiento!T26</f>
        <v>0</v>
      </c>
      <c r="U31" s="115">
        <f>Financiamiento!U26</f>
        <v>0</v>
      </c>
      <c r="V31" s="115">
        <f>Financiamiento!V26</f>
        <v>0</v>
      </c>
      <c r="W31" s="115">
        <f>Financiamiento!W26</f>
        <v>0</v>
      </c>
      <c r="X31" s="115">
        <f>Financiamiento!X26</f>
        <v>0</v>
      </c>
      <c r="Y31" s="115">
        <f>Financiamiento!Y26</f>
        <v>0</v>
      </c>
      <c r="Z31" s="115">
        <f>Financiamiento!Z26</f>
        <v>0</v>
      </c>
      <c r="AA31" s="115">
        <f>Financiamiento!AA26</f>
        <v>0</v>
      </c>
      <c r="AB31" s="115">
        <f>Financiamiento!AB26</f>
        <v>0</v>
      </c>
      <c r="AC31" s="115">
        <f>Financiamiento!AC26</f>
        <v>0</v>
      </c>
      <c r="AD31" s="115">
        <f>Financiamiento!AD26</f>
        <v>0</v>
      </c>
    </row>
    <row r="32" spans="1:30" x14ac:dyDescent="0.2">
      <c r="A32"/>
    </row>
    <row r="33" spans="1:30" ht="15" x14ac:dyDescent="0.25">
      <c r="A33" s="174" t="s">
        <v>235</v>
      </c>
      <c r="B33" s="174">
        <f t="shared" ref="B33:AD33" si="9">B25+B29+B31</f>
        <v>3279539.3449679078</v>
      </c>
      <c r="C33" s="174">
        <f t="shared" si="9"/>
        <v>-121598.65503209218</v>
      </c>
      <c r="D33" s="174">
        <f t="shared" si="9"/>
        <v>-121598.65503209218</v>
      </c>
      <c r="E33" s="174">
        <f t="shared" si="9"/>
        <v>-121598.65503209218</v>
      </c>
      <c r="F33" s="174">
        <f t="shared" si="9"/>
        <v>-121598.65503209218</v>
      </c>
      <c r="G33" s="174">
        <f t="shared" si="9"/>
        <v>-121598.65503209218</v>
      </c>
      <c r="H33" s="174">
        <f t="shared" si="9"/>
        <v>-121598.65503209218</v>
      </c>
      <c r="I33" s="174">
        <f t="shared" si="9"/>
        <v>-121598.65503209218</v>
      </c>
      <c r="J33" s="174">
        <f t="shared" si="9"/>
        <v>-121598.65503209218</v>
      </c>
      <c r="K33" s="174">
        <f t="shared" si="9"/>
        <v>-121598.65503209218</v>
      </c>
      <c r="L33" s="174">
        <f t="shared" si="9"/>
        <v>-121598.65503209218</v>
      </c>
      <c r="M33" s="174">
        <f t="shared" si="9"/>
        <v>-121598.65503209218</v>
      </c>
      <c r="N33" s="174">
        <f t="shared" si="9"/>
        <v>1941954.1396148934</v>
      </c>
      <c r="O33" s="174">
        <f t="shared" si="9"/>
        <v>-121598.65503209218</v>
      </c>
      <c r="P33" s="174">
        <f t="shared" si="9"/>
        <v>-121598.65503209218</v>
      </c>
      <c r="Q33" s="174">
        <f t="shared" si="9"/>
        <v>-121598.65503209218</v>
      </c>
      <c r="R33" s="174">
        <f t="shared" si="9"/>
        <v>-121598.65503209218</v>
      </c>
      <c r="S33" s="174">
        <f t="shared" si="9"/>
        <v>-121598.65503209218</v>
      </c>
      <c r="T33" s="174">
        <f t="shared" si="9"/>
        <v>-47085.77</v>
      </c>
      <c r="U33" s="174">
        <f t="shared" si="9"/>
        <v>-47085.77</v>
      </c>
      <c r="V33" s="174">
        <f t="shared" si="9"/>
        <v>-47085.77</v>
      </c>
      <c r="W33" s="174">
        <f t="shared" si="9"/>
        <v>-47085.77</v>
      </c>
      <c r="X33" s="174">
        <f t="shared" si="9"/>
        <v>-47085.77</v>
      </c>
      <c r="Y33" s="174">
        <f t="shared" si="9"/>
        <v>-47085.77</v>
      </c>
      <c r="Z33" s="174">
        <f t="shared" si="9"/>
        <v>-47085.77</v>
      </c>
      <c r="AA33" s="174">
        <f t="shared" si="9"/>
        <v>-937593.6651604611</v>
      </c>
      <c r="AB33" s="174">
        <f t="shared" si="9"/>
        <v>-482770</v>
      </c>
      <c r="AC33" s="174">
        <f t="shared" si="9"/>
        <v>0</v>
      </c>
      <c r="AD33" s="174">
        <f t="shared" si="9"/>
        <v>0</v>
      </c>
    </row>
    <row r="34" spans="1:30" ht="13.5" customHeight="1" x14ac:dyDescent="0.2"/>
    <row r="35" spans="1:30" s="180" customFormat="1" ht="16.5" x14ac:dyDescent="0.25">
      <c r="A35" s="17" t="s">
        <v>220</v>
      </c>
      <c r="B35" s="231">
        <f>B21+B33</f>
        <v>3173958.5805234634</v>
      </c>
      <c r="C35" s="17">
        <f t="shared" ref="C35:AC35" si="10">C21+C33</f>
        <v>780012.58052346343</v>
      </c>
      <c r="D35" s="17">
        <f t="shared" si="10"/>
        <v>780012.58052346343</v>
      </c>
      <c r="E35" s="17">
        <f t="shared" si="10"/>
        <v>780012.58052346343</v>
      </c>
      <c r="F35" s="17">
        <f t="shared" si="10"/>
        <v>780012.58052346343</v>
      </c>
      <c r="G35" s="17">
        <f t="shared" si="10"/>
        <v>780012.58052346343</v>
      </c>
      <c r="H35" s="17">
        <f t="shared" si="10"/>
        <v>780012.58052346343</v>
      </c>
      <c r="I35" s="17">
        <f t="shared" si="10"/>
        <v>780012.58052346343</v>
      </c>
      <c r="J35" s="17">
        <f t="shared" si="10"/>
        <v>780012.58052346343</v>
      </c>
      <c r="K35" s="17">
        <f t="shared" si="10"/>
        <v>806006.5217234632</v>
      </c>
      <c r="L35" s="17">
        <f t="shared" si="10"/>
        <v>811934.20172346313</v>
      </c>
      <c r="M35" s="17">
        <f t="shared" si="10"/>
        <v>811934.20172346313</v>
      </c>
      <c r="N35" s="231">
        <f t="shared" si="10"/>
        <v>11843934.149881562</v>
      </c>
      <c r="O35" s="17">
        <f t="shared" si="10"/>
        <v>-1312883.5022209806</v>
      </c>
      <c r="P35" s="17">
        <f t="shared" si="10"/>
        <v>157842.89777901897</v>
      </c>
      <c r="Q35" s="17">
        <f t="shared" si="10"/>
        <v>157842.89777901897</v>
      </c>
      <c r="R35" s="17">
        <f t="shared" si="10"/>
        <v>157842.89777901897</v>
      </c>
      <c r="S35" s="17">
        <f t="shared" si="10"/>
        <v>157842.89777901897</v>
      </c>
      <c r="T35" s="17">
        <f t="shared" si="10"/>
        <v>232355.78281111116</v>
      </c>
      <c r="U35" s="17">
        <f t="shared" si="10"/>
        <v>232355.78281111116</v>
      </c>
      <c r="V35" s="17">
        <f t="shared" si="10"/>
        <v>232355.78281111116</v>
      </c>
      <c r="W35" s="17">
        <f t="shared" si="10"/>
        <v>232355.78281111116</v>
      </c>
      <c r="X35" s="17">
        <f t="shared" si="10"/>
        <v>174461.61610411058</v>
      </c>
      <c r="Y35" s="17">
        <f t="shared" si="10"/>
        <v>239455.72490411156</v>
      </c>
      <c r="Z35" s="17">
        <f t="shared" si="10"/>
        <v>239455.72490411156</v>
      </c>
      <c r="AA35" s="231">
        <f t="shared" si="10"/>
        <v>901284.28605187288</v>
      </c>
      <c r="AB35" s="236">
        <f>AB21+AB33</f>
        <v>29209371.386517283</v>
      </c>
      <c r="AC35" s="236">
        <f t="shared" si="10"/>
        <v>44557037.045518391</v>
      </c>
      <c r="AD35" s="236">
        <f>AD21+AD33</f>
        <v>70532431.132779509</v>
      </c>
    </row>
    <row r="36" spans="1:30" s="180" customFormat="1" ht="16.5" x14ac:dyDescent="0.25">
      <c r="A36" s="17" t="s">
        <v>171</v>
      </c>
      <c r="B36" s="231">
        <f t="shared" ref="B36:AD36" si="11">B3+B21+B33</f>
        <v>3183958.5805234634</v>
      </c>
      <c r="C36" s="231">
        <f t="shared" si="11"/>
        <v>3963971.1610469269</v>
      </c>
      <c r="D36" s="231">
        <f t="shared" si="11"/>
        <v>4743983.7415703908</v>
      </c>
      <c r="E36" s="231">
        <f t="shared" si="11"/>
        <v>5523996.3220938547</v>
      </c>
      <c r="F36" s="231">
        <f t="shared" si="11"/>
        <v>6304008.9026173186</v>
      </c>
      <c r="G36" s="231">
        <f t="shared" si="11"/>
        <v>7084021.4831407825</v>
      </c>
      <c r="H36" s="231">
        <f t="shared" si="11"/>
        <v>7864034.0636642464</v>
      </c>
      <c r="I36" s="230">
        <f t="shared" si="11"/>
        <v>8644046.6441877093</v>
      </c>
      <c r="J36" s="230">
        <f t="shared" si="11"/>
        <v>9424059.2247111723</v>
      </c>
      <c r="K36" s="230">
        <f t="shared" si="11"/>
        <v>10230065.746434635</v>
      </c>
      <c r="L36" s="230">
        <f t="shared" si="11"/>
        <v>11041999.948158097</v>
      </c>
      <c r="M36" s="231">
        <f t="shared" si="11"/>
        <v>11853934.149881558</v>
      </c>
      <c r="N36" s="231">
        <f t="shared" si="11"/>
        <v>11853934.149881562</v>
      </c>
      <c r="O36" s="231">
        <f t="shared" si="11"/>
        <v>10541050.647660581</v>
      </c>
      <c r="P36" s="231">
        <f t="shared" si="11"/>
        <v>10698893.545439599</v>
      </c>
      <c r="Q36" s="231">
        <f t="shared" si="11"/>
        <v>10856736.443218617</v>
      </c>
      <c r="R36" s="231">
        <f t="shared" si="11"/>
        <v>11014579.340997634</v>
      </c>
      <c r="S36" s="231">
        <f t="shared" si="11"/>
        <v>11172422.238776652</v>
      </c>
      <c r="T36" s="231">
        <f t="shared" si="11"/>
        <v>11404778.021587763</v>
      </c>
      <c r="U36" s="231">
        <f t="shared" si="11"/>
        <v>11637133.804398874</v>
      </c>
      <c r="V36" s="231">
        <f t="shared" si="11"/>
        <v>11869489.587209985</v>
      </c>
      <c r="W36" s="231">
        <f t="shared" si="11"/>
        <v>12101845.370021095</v>
      </c>
      <c r="X36" s="231">
        <f t="shared" si="11"/>
        <v>12276306.986125207</v>
      </c>
      <c r="Y36" s="231">
        <f t="shared" si="11"/>
        <v>12515762.711029319</v>
      </c>
      <c r="Z36" s="231">
        <f t="shared" si="11"/>
        <v>12755218.435933432</v>
      </c>
      <c r="AA36" s="231">
        <f t="shared" si="11"/>
        <v>12755218.435933435</v>
      </c>
      <c r="AB36" s="236">
        <f t="shared" si="11"/>
        <v>41964589.82245072</v>
      </c>
      <c r="AC36" s="236">
        <f>AC3+AC21+AC33</f>
        <v>86521626.867969111</v>
      </c>
      <c r="AD36" s="236">
        <f t="shared" si="11"/>
        <v>157054058.00074863</v>
      </c>
    </row>
    <row r="37" spans="1:30" ht="13.5" customHeight="1" x14ac:dyDescent="0.2"/>
    <row r="39" spans="1:30" s="42" customFormat="1" x14ac:dyDescent="0.2">
      <c r="B39" s="149"/>
    </row>
    <row r="40" spans="1:30" hidden="1" x14ac:dyDescent="0.2">
      <c r="A40" s="191" t="s">
        <v>169</v>
      </c>
      <c r="B40" s="100">
        <f>B21</f>
        <v>-105580.76444444444</v>
      </c>
      <c r="C40" s="100">
        <f t="shared" ref="C40:M40" si="12">C21+B40</f>
        <v>796030.47111111111</v>
      </c>
      <c r="D40" s="100">
        <f t="shared" si="12"/>
        <v>1697641.7066666665</v>
      </c>
      <c r="E40" s="100">
        <f t="shared" si="12"/>
        <v>2599252.9422222222</v>
      </c>
      <c r="F40" s="100">
        <f t="shared" si="12"/>
        <v>3500864.1777777779</v>
      </c>
      <c r="G40" s="100">
        <f t="shared" si="12"/>
        <v>4402475.4133333331</v>
      </c>
      <c r="H40" s="100">
        <f t="shared" si="12"/>
        <v>5304086.6488888888</v>
      </c>
      <c r="I40" s="100">
        <f t="shared" si="12"/>
        <v>6205697.8844444444</v>
      </c>
      <c r="J40" s="100">
        <f t="shared" si="12"/>
        <v>7107309.1200000001</v>
      </c>
      <c r="K40" s="100">
        <f t="shared" si="12"/>
        <v>8034914.296755556</v>
      </c>
      <c r="L40" s="100">
        <f t="shared" si="12"/>
        <v>8968447.1535111107</v>
      </c>
      <c r="M40" s="100">
        <f t="shared" si="12"/>
        <v>9901980.0102666654</v>
      </c>
      <c r="N40" s="100">
        <f>M40</f>
        <v>9901980.0102666654</v>
      </c>
      <c r="O40" s="100">
        <f>O21+M40</f>
        <v>8710695.1630777773</v>
      </c>
      <c r="P40" s="100">
        <f t="shared" ref="P40:Z40" si="13">P21+O40</f>
        <v>8990136.7158888876</v>
      </c>
      <c r="Q40" s="100">
        <f t="shared" si="13"/>
        <v>9269578.268699998</v>
      </c>
      <c r="R40" s="100">
        <f t="shared" si="13"/>
        <v>9549019.8215111084</v>
      </c>
      <c r="S40" s="100">
        <f t="shared" si="13"/>
        <v>9828461.3743222188</v>
      </c>
      <c r="T40" s="100">
        <f t="shared" si="13"/>
        <v>10107902.927133329</v>
      </c>
      <c r="U40" s="100">
        <f t="shared" si="13"/>
        <v>10387344.47994444</v>
      </c>
      <c r="V40" s="100">
        <f t="shared" si="13"/>
        <v>10666786.03275555</v>
      </c>
      <c r="W40" s="100">
        <f t="shared" si="13"/>
        <v>10946227.58556666</v>
      </c>
      <c r="X40" s="100">
        <f t="shared" si="13"/>
        <v>11167774.971670771</v>
      </c>
      <c r="Y40" s="100">
        <f t="shared" si="13"/>
        <v>11454316.466574883</v>
      </c>
      <c r="Z40" s="100">
        <f t="shared" si="13"/>
        <v>11740857.961478995</v>
      </c>
      <c r="AA40" s="100">
        <f>Z40</f>
        <v>11740857.961478995</v>
      </c>
      <c r="AB40" s="100">
        <f>AB21+Z40</f>
        <v>41432999.34799628</v>
      </c>
      <c r="AC40" s="100">
        <f>AC21+AB40</f>
        <v>85990036.393514663</v>
      </c>
      <c r="AD40" s="100">
        <f>AD21+AC40</f>
        <v>156522467.52629417</v>
      </c>
    </row>
    <row r="41" spans="1:30" hidden="1" x14ac:dyDescent="0.2">
      <c r="A41" s="191" t="s">
        <v>101</v>
      </c>
      <c r="B41" s="228">
        <f t="shared" ref="B41:M41" si="14">IF(B40&lt;0,1,0)</f>
        <v>1</v>
      </c>
      <c r="C41" s="228">
        <f t="shared" si="14"/>
        <v>0</v>
      </c>
      <c r="D41" s="228">
        <f t="shared" si="14"/>
        <v>0</v>
      </c>
      <c r="E41" s="228">
        <f t="shared" si="14"/>
        <v>0</v>
      </c>
      <c r="F41" s="228">
        <f t="shared" si="14"/>
        <v>0</v>
      </c>
      <c r="G41" s="228">
        <f t="shared" si="14"/>
        <v>0</v>
      </c>
      <c r="H41" s="228">
        <f t="shared" si="14"/>
        <v>0</v>
      </c>
      <c r="I41" s="228">
        <f t="shared" si="14"/>
        <v>0</v>
      </c>
      <c r="J41" s="228">
        <f t="shared" si="14"/>
        <v>0</v>
      </c>
      <c r="K41" s="228">
        <f t="shared" si="14"/>
        <v>0</v>
      </c>
      <c r="L41" s="228">
        <f t="shared" si="14"/>
        <v>0</v>
      </c>
      <c r="M41" s="228">
        <f t="shared" si="14"/>
        <v>0</v>
      </c>
      <c r="N41" s="228"/>
      <c r="O41" s="228">
        <f t="shared" ref="O41:Z41" si="15">IF(O40&lt;0,1,0)</f>
        <v>0</v>
      </c>
      <c r="P41" s="228">
        <f t="shared" si="15"/>
        <v>0</v>
      </c>
      <c r="Q41" s="228">
        <f t="shared" si="15"/>
        <v>0</v>
      </c>
      <c r="R41" s="228">
        <f t="shared" si="15"/>
        <v>0</v>
      </c>
      <c r="S41" s="228">
        <f t="shared" si="15"/>
        <v>0</v>
      </c>
      <c r="T41" s="228">
        <f t="shared" si="15"/>
        <v>0</v>
      </c>
      <c r="U41" s="228">
        <f t="shared" si="15"/>
        <v>0</v>
      </c>
      <c r="V41" s="228">
        <f t="shared" si="15"/>
        <v>0</v>
      </c>
      <c r="W41" s="228">
        <f t="shared" si="15"/>
        <v>0</v>
      </c>
      <c r="X41" s="228">
        <f t="shared" si="15"/>
        <v>0</v>
      </c>
      <c r="Y41" s="228">
        <f t="shared" si="15"/>
        <v>0</v>
      </c>
      <c r="Z41" s="228">
        <f t="shared" si="15"/>
        <v>0</v>
      </c>
      <c r="AA41" s="228"/>
      <c r="AB41" s="228">
        <f>IF(AB40&lt;0,12,0)</f>
        <v>0</v>
      </c>
      <c r="AC41" s="228">
        <f>IF(AC40&lt;0,12,0)</f>
        <v>0</v>
      </c>
      <c r="AD41" s="228">
        <f>IF(AD40&lt;0,12,0)</f>
        <v>0</v>
      </c>
    </row>
  </sheetData>
  <pageMargins left="0.7" right="0.7" top="0.75" bottom="0.75" header="0.3" footer="0.3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9"/>
  <sheetViews>
    <sheetView showGridLines="0" zoomScale="115" zoomScaleNormal="115" workbookViewId="0">
      <pane xSplit="1" ySplit="1" topLeftCell="F2" activePane="bottomRight" state="frozen"/>
      <selection activeCell="G19" sqref="G19"/>
      <selection pane="topRight" activeCell="G19" sqref="G19"/>
      <selection pane="bottomLeft" activeCell="G19" sqref="G19"/>
      <selection pane="bottomRight" activeCell="AF15" sqref="AF15"/>
    </sheetView>
  </sheetViews>
  <sheetFormatPr baseColWidth="10" defaultColWidth="11.7109375" defaultRowHeight="12.75" outlineLevelCol="1" x14ac:dyDescent="0.2"/>
  <cols>
    <col min="1" max="1" width="42.85546875" style="12" customWidth="1"/>
    <col min="2" max="13" width="13.28515625" hidden="1" customWidth="1" outlineLevel="1"/>
    <col min="14" max="14" width="13.28515625" customWidth="1" collapsed="1"/>
    <col min="15" max="26" width="13.28515625" hidden="1" customWidth="1" outlineLevel="1"/>
    <col min="27" max="27" width="13.28515625" customWidth="1" collapsed="1"/>
    <col min="28" max="30" width="13.28515625" customWidth="1"/>
  </cols>
  <sheetData>
    <row r="1" spans="1:31" ht="15.75" customHeight="1" x14ac:dyDescent="0.25">
      <c r="A1" s="213" t="str">
        <f>"ESTADO DE RESULTADOS (" &amp; Introducción!E17 &amp; ")"</f>
        <v>ESTADO DE RESULTADOS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</row>
    <row r="2" spans="1:31" x14ac:dyDescent="0.2">
      <c r="A2" s="41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31" x14ac:dyDescent="0.2">
      <c r="A3" s="39" t="s">
        <v>51</v>
      </c>
      <c r="B3" s="39">
        <f>Ingresos!B7</f>
        <v>1689600</v>
      </c>
      <c r="C3" s="39">
        <f>Ingresos!C7</f>
        <v>1689600</v>
      </c>
      <c r="D3" s="39">
        <f>Ingresos!D7</f>
        <v>1689600</v>
      </c>
      <c r="E3" s="39">
        <f>Ingresos!E7</f>
        <v>1689600</v>
      </c>
      <c r="F3" s="39">
        <f>Ingresos!F7</f>
        <v>1689600</v>
      </c>
      <c r="G3" s="39">
        <f>Ingresos!G7</f>
        <v>1689600</v>
      </c>
      <c r="H3" s="39">
        <f>Ingresos!H7</f>
        <v>1689600</v>
      </c>
      <c r="I3" s="39">
        <f>Ingresos!I7</f>
        <v>1689600</v>
      </c>
      <c r="J3" s="39">
        <f>Ingresos!J7</f>
        <v>1689600</v>
      </c>
      <c r="K3" s="39">
        <f>Ingresos!K7</f>
        <v>1757184</v>
      </c>
      <c r="L3" s="39">
        <f>Ingresos!L7</f>
        <v>1757184</v>
      </c>
      <c r="M3" s="39">
        <f>Ingresos!M7</f>
        <v>1757184</v>
      </c>
      <c r="N3" s="39">
        <f>Ingresos!N7</f>
        <v>20477952</v>
      </c>
      <c r="O3" s="39">
        <f>Ingresos!O7</f>
        <v>2635776</v>
      </c>
      <c r="P3" s="39">
        <f>Ingresos!P7</f>
        <v>2635776</v>
      </c>
      <c r="Q3" s="39">
        <f>Ingresos!Q7</f>
        <v>2635776</v>
      </c>
      <c r="R3" s="39">
        <f>Ingresos!R7</f>
        <v>2635776</v>
      </c>
      <c r="S3" s="39">
        <f>Ingresos!S7</f>
        <v>2635776</v>
      </c>
      <c r="T3" s="39">
        <f>Ingresos!T7</f>
        <v>2635776</v>
      </c>
      <c r="U3" s="39">
        <f>Ingresos!U7</f>
        <v>2635776</v>
      </c>
      <c r="V3" s="39">
        <f>Ingresos!V7</f>
        <v>2635776</v>
      </c>
      <c r="W3" s="39">
        <f>Ingresos!W7</f>
        <v>2635776</v>
      </c>
      <c r="X3" s="39">
        <f>Ingresos!X7</f>
        <v>2741207.0400000005</v>
      </c>
      <c r="Y3" s="39">
        <f>Ingresos!Y7</f>
        <v>2741207.0400000005</v>
      </c>
      <c r="Z3" s="39">
        <f>Ingresos!Z7</f>
        <v>2741207.0400000005</v>
      </c>
      <c r="AA3" s="39">
        <f>Ingresos!AA7</f>
        <v>31945605.119999997</v>
      </c>
      <c r="AB3" s="39">
        <f>Ingresos!AB7</f>
        <v>51828549.746688008</v>
      </c>
      <c r="AC3" s="39">
        <f>Ingresos!AC7</f>
        <v>80852537.60483329</v>
      </c>
      <c r="AD3" s="39">
        <f>Ingresos!AD7</f>
        <v>126129958.66353996</v>
      </c>
    </row>
    <row r="4" spans="1:31" x14ac:dyDescent="0.2">
      <c r="A4" s="39" t="s">
        <v>195</v>
      </c>
      <c r="B4" s="39">
        <f>-'Costo de Ventas'!B16</f>
        <v>-447744</v>
      </c>
      <c r="C4" s="39">
        <f>-'Costo de Ventas'!C16</f>
        <v>-447744</v>
      </c>
      <c r="D4" s="39">
        <f>-'Costo de Ventas'!D16</f>
        <v>-447744</v>
      </c>
      <c r="E4" s="39">
        <f>-'Costo de Ventas'!E16</f>
        <v>-447744</v>
      </c>
      <c r="F4" s="39">
        <f>-'Costo de Ventas'!F16</f>
        <v>-447744</v>
      </c>
      <c r="G4" s="39">
        <f>-'Costo de Ventas'!G16</f>
        <v>-447744</v>
      </c>
      <c r="H4" s="39">
        <f>-'Costo de Ventas'!H16</f>
        <v>-447744</v>
      </c>
      <c r="I4" s="39">
        <f>-'Costo de Ventas'!I16</f>
        <v>-447744</v>
      </c>
      <c r="J4" s="39">
        <f>-'Costo de Ventas'!J16</f>
        <v>-447744</v>
      </c>
      <c r="K4" s="39">
        <f>-'Costo de Ventas'!K16</f>
        <v>-465653.76000000013</v>
      </c>
      <c r="L4" s="39">
        <f>-'Costo de Ventas'!L16</f>
        <v>-465653.76000000013</v>
      </c>
      <c r="M4" s="39">
        <f>-'Costo de Ventas'!M16</f>
        <v>-465653.76000000013</v>
      </c>
      <c r="N4" s="39">
        <f>-'Costo de Ventas'!N16</f>
        <v>-5426657.2799999993</v>
      </c>
      <c r="O4" s="39">
        <f>-'Costo de Ventas'!O16</f>
        <v>-2092147.2</v>
      </c>
      <c r="P4" s="39">
        <f>-'Costo de Ventas'!P16</f>
        <v>-2092147.2</v>
      </c>
      <c r="Q4" s="39">
        <f>-'Costo de Ventas'!Q16</f>
        <v>-2092147.2</v>
      </c>
      <c r="R4" s="39">
        <f>-'Costo de Ventas'!R16</f>
        <v>-2092147.2</v>
      </c>
      <c r="S4" s="39">
        <f>-'Costo de Ventas'!S16</f>
        <v>-2092147.2</v>
      </c>
      <c r="T4" s="39">
        <f>-'Costo de Ventas'!T16</f>
        <v>-2092147.2</v>
      </c>
      <c r="U4" s="39">
        <f>-'Costo de Ventas'!U16</f>
        <v>-2092147.2</v>
      </c>
      <c r="V4" s="39">
        <f>-'Costo de Ventas'!V16</f>
        <v>-2092147.2</v>
      </c>
      <c r="W4" s="39">
        <f>-'Costo de Ventas'!W16</f>
        <v>-2092147.2</v>
      </c>
      <c r="X4" s="39">
        <f>-'Costo de Ventas'!X16</f>
        <v>-2175833.088</v>
      </c>
      <c r="Y4" s="39">
        <f>-'Costo de Ventas'!Y16</f>
        <v>-2175833.088</v>
      </c>
      <c r="Z4" s="39">
        <f>-'Costo de Ventas'!Z16</f>
        <v>-2175833.088</v>
      </c>
      <c r="AA4" s="39">
        <f>-'Costo de Ventas'!AA16</f>
        <v>-25356824.063999996</v>
      </c>
      <c r="AB4" s="39">
        <f>-'Costo de Ventas'!AB16</f>
        <v>-13325547.439226883</v>
      </c>
      <c r="AC4" s="39">
        <f>-'Costo de Ventas'!AC16</f>
        <v>-20787854.005193938</v>
      </c>
      <c r="AD4" s="39">
        <f>-'Costo de Ventas'!AD16</f>
        <v>-31327548.803953461</v>
      </c>
    </row>
    <row r="5" spans="1:31" ht="15" x14ac:dyDescent="0.25">
      <c r="A5" s="174" t="s">
        <v>147</v>
      </c>
      <c r="B5" s="174">
        <f t="shared" ref="B5:M5" si="2">B3+B4</f>
        <v>1241856</v>
      </c>
      <c r="C5" s="174">
        <f t="shared" si="2"/>
        <v>1241856</v>
      </c>
      <c r="D5" s="174">
        <f t="shared" si="2"/>
        <v>1241856</v>
      </c>
      <c r="E5" s="174">
        <f t="shared" si="2"/>
        <v>1241856</v>
      </c>
      <c r="F5" s="174">
        <f t="shared" si="2"/>
        <v>1241856</v>
      </c>
      <c r="G5" s="174">
        <f t="shared" si="2"/>
        <v>1241856</v>
      </c>
      <c r="H5" s="174">
        <f t="shared" si="2"/>
        <v>1241856</v>
      </c>
      <c r="I5" s="174">
        <f t="shared" si="2"/>
        <v>1241856</v>
      </c>
      <c r="J5" s="174">
        <f t="shared" si="2"/>
        <v>1241856</v>
      </c>
      <c r="K5" s="174">
        <f t="shared" si="2"/>
        <v>1291530.2399999998</v>
      </c>
      <c r="L5" s="174">
        <f t="shared" si="2"/>
        <v>1291530.2399999998</v>
      </c>
      <c r="M5" s="174">
        <f t="shared" si="2"/>
        <v>1291530.2399999998</v>
      </c>
      <c r="N5" s="174">
        <f>SUM(B5:M5)</f>
        <v>15051294.720000001</v>
      </c>
      <c r="O5" s="174">
        <f t="shared" ref="O5:Z5" si="3">O3+O4</f>
        <v>543628.80000000005</v>
      </c>
      <c r="P5" s="174">
        <f t="shared" si="3"/>
        <v>543628.80000000005</v>
      </c>
      <c r="Q5" s="174">
        <f t="shared" si="3"/>
        <v>543628.80000000005</v>
      </c>
      <c r="R5" s="174">
        <f t="shared" si="3"/>
        <v>543628.80000000005</v>
      </c>
      <c r="S5" s="174">
        <f t="shared" si="3"/>
        <v>543628.80000000005</v>
      </c>
      <c r="T5" s="174">
        <f t="shared" si="3"/>
        <v>543628.80000000005</v>
      </c>
      <c r="U5" s="174">
        <f t="shared" si="3"/>
        <v>543628.80000000005</v>
      </c>
      <c r="V5" s="174">
        <f t="shared" si="3"/>
        <v>543628.80000000005</v>
      </c>
      <c r="W5" s="174">
        <f t="shared" si="3"/>
        <v>543628.80000000005</v>
      </c>
      <c r="X5" s="174">
        <f t="shared" si="3"/>
        <v>565373.95200000051</v>
      </c>
      <c r="Y5" s="174">
        <f t="shared" si="3"/>
        <v>565373.95200000051</v>
      </c>
      <c r="Z5" s="174">
        <f t="shared" si="3"/>
        <v>565373.95200000051</v>
      </c>
      <c r="AA5" s="174">
        <f>SUM(O5:Z5)</f>
        <v>6588781.0560000008</v>
      </c>
      <c r="AB5" s="174">
        <f>AB3+AB4</f>
        <v>38503002.307461128</v>
      </c>
      <c r="AC5" s="174">
        <f>AC3+AC4</f>
        <v>60064683.599639356</v>
      </c>
      <c r="AD5" s="174">
        <f>AD3+AD4</f>
        <v>94802409.859586507</v>
      </c>
    </row>
    <row r="6" spans="1:31" x14ac:dyDescent="0.2">
      <c r="A6" s="173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</row>
    <row r="7" spans="1:31" x14ac:dyDescent="0.2">
      <c r="A7" s="54" t="s">
        <v>164</v>
      </c>
      <c r="B7" s="39">
        <f>-Salarios!B20</f>
        <v>-63765</v>
      </c>
      <c r="C7" s="39">
        <f>-Salarios!C20</f>
        <v>-63765</v>
      </c>
      <c r="D7" s="39">
        <f>-Salarios!D20</f>
        <v>-63765</v>
      </c>
      <c r="E7" s="39">
        <f>-Salarios!E20</f>
        <v>-63765</v>
      </c>
      <c r="F7" s="39">
        <f>-Salarios!F20</f>
        <v>-63765</v>
      </c>
      <c r="G7" s="39">
        <f>-Salarios!G20</f>
        <v>-63765</v>
      </c>
      <c r="H7" s="39">
        <f>-Salarios!H20</f>
        <v>-63765</v>
      </c>
      <c r="I7" s="39">
        <f>-Salarios!I20</f>
        <v>-63765</v>
      </c>
      <c r="J7" s="39">
        <f>-Salarios!J20</f>
        <v>-63765</v>
      </c>
      <c r="K7" s="39">
        <f>-Salarios!K20</f>
        <v>-73329.75</v>
      </c>
      <c r="L7" s="39">
        <f>-Salarios!L20</f>
        <v>-73329.75</v>
      </c>
      <c r="M7" s="39">
        <f>-Salarios!M20</f>
        <v>-73329.75</v>
      </c>
      <c r="N7" s="39">
        <f>SUM(B7:M7)</f>
        <v>-793874.25</v>
      </c>
      <c r="O7" s="39">
        <f>-Salarios!O20</f>
        <v>-73329.75</v>
      </c>
      <c r="P7" s="39">
        <f>-Salarios!P20</f>
        <v>-73329.75</v>
      </c>
      <c r="Q7" s="39">
        <f>-Salarios!Q20</f>
        <v>-73329.75</v>
      </c>
      <c r="R7" s="39">
        <f>-Salarios!R20</f>
        <v>-73329.75</v>
      </c>
      <c r="S7" s="39">
        <f>-Salarios!S20</f>
        <v>-73329.75</v>
      </c>
      <c r="T7" s="39">
        <f>-Salarios!T20</f>
        <v>-73329.75</v>
      </c>
      <c r="U7" s="39">
        <f>-Salarios!U20</f>
        <v>-73329.75</v>
      </c>
      <c r="V7" s="39">
        <f>-Salarios!V20</f>
        <v>-73329.75</v>
      </c>
      <c r="W7" s="39">
        <f>-Salarios!W20</f>
        <v>-73329.75</v>
      </c>
      <c r="X7" s="39">
        <f>-Salarios!X20</f>
        <v>-84329.212499999994</v>
      </c>
      <c r="Y7" s="39">
        <f>-Salarios!Y20</f>
        <v>-84329.212499999994</v>
      </c>
      <c r="Z7" s="39">
        <f>-Salarios!Z20</f>
        <v>-84329.212499999994</v>
      </c>
      <c r="AA7" s="39">
        <f>SUM(O7:Z7)</f>
        <v>-912955.38750000007</v>
      </c>
      <c r="AB7" s="39">
        <f>-Salarios!AB20</f>
        <v>-1539851.42025</v>
      </c>
      <c r="AC7" s="39">
        <f>-Salarios!AC20</f>
        <v>-1770829.1332875001</v>
      </c>
      <c r="AD7" s="39">
        <f>-Salarios!AD20</f>
        <v>-2036453.503280625</v>
      </c>
    </row>
    <row r="8" spans="1:31" x14ac:dyDescent="0.2">
      <c r="A8" s="54" t="s">
        <v>57</v>
      </c>
      <c r="B8" s="39">
        <f>-'Gastos Fijos'!B15</f>
        <v>-105489</v>
      </c>
      <c r="C8" s="39">
        <f>-'Gastos Fijos'!C15</f>
        <v>-105489</v>
      </c>
      <c r="D8" s="39">
        <f>-'Gastos Fijos'!D15</f>
        <v>-105489</v>
      </c>
      <c r="E8" s="39">
        <f>-'Gastos Fijos'!E15</f>
        <v>-105489</v>
      </c>
      <c r="F8" s="39">
        <f>-'Gastos Fijos'!F15</f>
        <v>-105489</v>
      </c>
      <c r="G8" s="39">
        <f>-'Gastos Fijos'!G15</f>
        <v>-105489</v>
      </c>
      <c r="H8" s="39">
        <f>-'Gastos Fijos'!H15</f>
        <v>-105489</v>
      </c>
      <c r="I8" s="39">
        <f>-'Gastos Fijos'!I15</f>
        <v>-105489</v>
      </c>
      <c r="J8" s="39">
        <f>-'Gastos Fijos'!J15</f>
        <v>-105489</v>
      </c>
      <c r="K8" s="39">
        <f>-'Gastos Fijos'!K15</f>
        <v>-107596.56</v>
      </c>
      <c r="L8" s="39">
        <f>-'Gastos Fijos'!L15</f>
        <v>-107596.56</v>
      </c>
      <c r="M8" s="39">
        <f>-'Gastos Fijos'!M15</f>
        <v>-107596.56</v>
      </c>
      <c r="N8" s="39">
        <f>SUM(B8:M8)</f>
        <v>-1272190.6800000002</v>
      </c>
      <c r="O8" s="39">
        <f>-'Gastos Fijos'!O15</f>
        <v>-133996.56</v>
      </c>
      <c r="P8" s="39">
        <f>-'Gastos Fijos'!P15</f>
        <v>-133996.56</v>
      </c>
      <c r="Q8" s="39">
        <f>-'Gastos Fijos'!Q15</f>
        <v>-133996.56</v>
      </c>
      <c r="R8" s="39">
        <f>-'Gastos Fijos'!R15</f>
        <v>-133996.56</v>
      </c>
      <c r="S8" s="39">
        <f>-'Gastos Fijos'!S15</f>
        <v>-133996.56</v>
      </c>
      <c r="T8" s="39">
        <f>-'Gastos Fijos'!T15</f>
        <v>-133996.56</v>
      </c>
      <c r="U8" s="39">
        <f>-'Gastos Fijos'!U15</f>
        <v>-133996.56</v>
      </c>
      <c r="V8" s="39">
        <f>-'Gastos Fijos'!V15</f>
        <v>-133996.56</v>
      </c>
      <c r="W8" s="39">
        <f>-'Gastos Fijos'!W15</f>
        <v>-133996.56</v>
      </c>
      <c r="X8" s="39">
        <f>-'Gastos Fijos'!X15</f>
        <v>-136188.42239999998</v>
      </c>
      <c r="Y8" s="39">
        <f>-'Gastos Fijos'!Y15</f>
        <v>-136188.10239999997</v>
      </c>
      <c r="Z8" s="39">
        <f>-'Gastos Fijos'!Z15</f>
        <v>-136188.10239999997</v>
      </c>
      <c r="AA8" s="39">
        <f>SUM(O8:Z8)</f>
        <v>-1614533.6672000003</v>
      </c>
      <c r="AB8" s="39">
        <f>-'Gastos Fijos'!AB15</f>
        <v>-2093603.7178880002</v>
      </c>
      <c r="AC8" s="39">
        <f>-'Gastos Fijos'!AC15</f>
        <v>-2833123.8666035202</v>
      </c>
      <c r="AD8" s="39">
        <f>-'Gastos Fijos'!AD15</f>
        <v>-3930112.8212676607</v>
      </c>
    </row>
    <row r="9" spans="1:31" x14ac:dyDescent="0.2">
      <c r="A9" s="86" t="s">
        <v>173</v>
      </c>
      <c r="B9" s="86">
        <f t="shared" ref="B9:M9" si="4">SUM(B7:B8)</f>
        <v>-169254</v>
      </c>
      <c r="C9" s="86">
        <f t="shared" si="4"/>
        <v>-169254</v>
      </c>
      <c r="D9" s="86">
        <f t="shared" si="4"/>
        <v>-169254</v>
      </c>
      <c r="E9" s="86">
        <f t="shared" si="4"/>
        <v>-169254</v>
      </c>
      <c r="F9" s="86">
        <f t="shared" si="4"/>
        <v>-169254</v>
      </c>
      <c r="G9" s="86">
        <f t="shared" si="4"/>
        <v>-169254</v>
      </c>
      <c r="H9" s="86">
        <f t="shared" si="4"/>
        <v>-169254</v>
      </c>
      <c r="I9" s="86">
        <f t="shared" si="4"/>
        <v>-169254</v>
      </c>
      <c r="J9" s="86">
        <f t="shared" si="4"/>
        <v>-169254</v>
      </c>
      <c r="K9" s="86">
        <f t="shared" si="4"/>
        <v>-180926.31</v>
      </c>
      <c r="L9" s="86">
        <f t="shared" si="4"/>
        <v>-180926.31</v>
      </c>
      <c r="M9" s="86">
        <f t="shared" si="4"/>
        <v>-180926.31</v>
      </c>
      <c r="N9" s="86">
        <f>SUM(B9:M9)</f>
        <v>-2066064.9300000002</v>
      </c>
      <c r="O9" s="86">
        <f t="shared" ref="O9:Z9" si="5">SUM(O7:O8)</f>
        <v>-207326.31</v>
      </c>
      <c r="P9" s="86">
        <f t="shared" si="5"/>
        <v>-207326.31</v>
      </c>
      <c r="Q9" s="86">
        <f t="shared" si="5"/>
        <v>-207326.31</v>
      </c>
      <c r="R9" s="86">
        <f t="shared" si="5"/>
        <v>-207326.31</v>
      </c>
      <c r="S9" s="86">
        <f t="shared" si="5"/>
        <v>-207326.31</v>
      </c>
      <c r="T9" s="86">
        <f t="shared" si="5"/>
        <v>-207326.31</v>
      </c>
      <c r="U9" s="86">
        <f t="shared" si="5"/>
        <v>-207326.31</v>
      </c>
      <c r="V9" s="86">
        <f t="shared" si="5"/>
        <v>-207326.31</v>
      </c>
      <c r="W9" s="86">
        <f t="shared" si="5"/>
        <v>-207326.31</v>
      </c>
      <c r="X9" s="86">
        <f t="shared" si="5"/>
        <v>-220517.63489999998</v>
      </c>
      <c r="Y9" s="86">
        <f t="shared" si="5"/>
        <v>-220517.31489999997</v>
      </c>
      <c r="Z9" s="86">
        <f t="shared" si="5"/>
        <v>-220517.31489999997</v>
      </c>
      <c r="AA9" s="86">
        <f>SUM(O9:Z9)</f>
        <v>-2527489.0547000002</v>
      </c>
      <c r="AB9" s="86">
        <f>SUM(AB7:AB8)</f>
        <v>-3633455.1381379999</v>
      </c>
      <c r="AC9" s="86">
        <f>SUM(AC7:AC8)</f>
        <v>-4603952.9998910204</v>
      </c>
      <c r="AD9" s="86">
        <f>SUM(AD7:AD8)</f>
        <v>-5966566.3245482855</v>
      </c>
    </row>
    <row r="10" spans="1:31" ht="15" x14ac:dyDescent="0.25">
      <c r="A10" s="174" t="s">
        <v>206</v>
      </c>
      <c r="B10" s="174">
        <f t="shared" ref="B10:M10" si="6">B5+B9</f>
        <v>1072602</v>
      </c>
      <c r="C10" s="174">
        <f t="shared" si="6"/>
        <v>1072602</v>
      </c>
      <c r="D10" s="174">
        <f t="shared" si="6"/>
        <v>1072602</v>
      </c>
      <c r="E10" s="174">
        <f t="shared" si="6"/>
        <v>1072602</v>
      </c>
      <c r="F10" s="174">
        <f t="shared" si="6"/>
        <v>1072602</v>
      </c>
      <c r="G10" s="174">
        <f t="shared" si="6"/>
        <v>1072602</v>
      </c>
      <c r="H10" s="174">
        <f t="shared" si="6"/>
        <v>1072602</v>
      </c>
      <c r="I10" s="174">
        <f t="shared" si="6"/>
        <v>1072602</v>
      </c>
      <c r="J10" s="174">
        <f t="shared" si="6"/>
        <v>1072602</v>
      </c>
      <c r="K10" s="174">
        <f t="shared" si="6"/>
        <v>1110603.9299999997</v>
      </c>
      <c r="L10" s="174">
        <f t="shared" si="6"/>
        <v>1110603.9299999997</v>
      </c>
      <c r="M10" s="174">
        <f t="shared" si="6"/>
        <v>1110603.9299999997</v>
      </c>
      <c r="N10" s="174">
        <f>SUM(B10:M10)</f>
        <v>12985229.789999999</v>
      </c>
      <c r="O10" s="174">
        <f t="shared" ref="O10:Z10" si="7">O5+O9</f>
        <v>336302.49000000005</v>
      </c>
      <c r="P10" s="174">
        <f t="shared" si="7"/>
        <v>336302.49000000005</v>
      </c>
      <c r="Q10" s="174">
        <f t="shared" si="7"/>
        <v>336302.49000000005</v>
      </c>
      <c r="R10" s="174">
        <f t="shared" si="7"/>
        <v>336302.49000000005</v>
      </c>
      <c r="S10" s="174">
        <f t="shared" si="7"/>
        <v>336302.49000000005</v>
      </c>
      <c r="T10" s="174">
        <f t="shared" si="7"/>
        <v>336302.49000000005</v>
      </c>
      <c r="U10" s="174">
        <f t="shared" si="7"/>
        <v>336302.49000000005</v>
      </c>
      <c r="V10" s="174">
        <f t="shared" si="7"/>
        <v>336302.49000000005</v>
      </c>
      <c r="W10" s="174">
        <f t="shared" si="7"/>
        <v>336302.49000000005</v>
      </c>
      <c r="X10" s="174">
        <f t="shared" si="7"/>
        <v>344856.31710000057</v>
      </c>
      <c r="Y10" s="174">
        <f t="shared" si="7"/>
        <v>344856.63710000052</v>
      </c>
      <c r="Z10" s="174">
        <f t="shared" si="7"/>
        <v>344856.63710000052</v>
      </c>
      <c r="AA10" s="174">
        <f>SUM(O10:Z10)</f>
        <v>4061292.001300002</v>
      </c>
      <c r="AB10" s="174">
        <f>AB5+AB9</f>
        <v>34869547.169323131</v>
      </c>
      <c r="AC10" s="174">
        <f>AC5+AC9</f>
        <v>55460730.599748336</v>
      </c>
      <c r="AD10" s="174">
        <f>AD5+AD9</f>
        <v>88835843.535038218</v>
      </c>
    </row>
    <row r="11" spans="1:31" x14ac:dyDescent="0.2">
      <c r="A11" s="173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</row>
    <row r="12" spans="1:31" x14ac:dyDescent="0.2">
      <c r="A12" s="39" t="s">
        <v>52</v>
      </c>
      <c r="B12" s="39">
        <f>-'Valores de Inicio'!B43-Inversiones!B32</f>
        <v>-3909.7222222222226</v>
      </c>
      <c r="C12" s="39">
        <f>-'Valores de Inicio'!C43-Inversiones!C32</f>
        <v>-3909.7222222222226</v>
      </c>
      <c r="D12" s="39">
        <f>-'Valores de Inicio'!D43-Inversiones!D32</f>
        <v>-3909.7222222222226</v>
      </c>
      <c r="E12" s="39">
        <f>-'Valores de Inicio'!E43-Inversiones!E32</f>
        <v>-3909.7222222222226</v>
      </c>
      <c r="F12" s="39">
        <f>-'Valores de Inicio'!F43-Inversiones!F32</f>
        <v>-3909.7222222222226</v>
      </c>
      <c r="G12" s="39">
        <f>-'Valores de Inicio'!G43-Inversiones!G32</f>
        <v>-3909.7222222222226</v>
      </c>
      <c r="H12" s="39">
        <f>-'Valores de Inicio'!H43-Inversiones!H32</f>
        <v>-3909.7222222222226</v>
      </c>
      <c r="I12" s="39">
        <f>-'Valores de Inicio'!I43-Inversiones!I32</f>
        <v>-3909.7222222222226</v>
      </c>
      <c r="J12" s="39">
        <f>-'Valores de Inicio'!J43-Inversiones!J32</f>
        <v>-3909.7222222222226</v>
      </c>
      <c r="K12" s="39">
        <f>-'Valores de Inicio'!K43-Inversiones!K32</f>
        <v>-3909.7222222222226</v>
      </c>
      <c r="L12" s="39">
        <f>-'Valores de Inicio'!L43-Inversiones!L32</f>
        <v>-3909.7222222222226</v>
      </c>
      <c r="M12" s="39">
        <f>-'Valores de Inicio'!M43-Inversiones!M32</f>
        <v>-3909.7222222222226</v>
      </c>
      <c r="N12" s="39">
        <f t="shared" ref="N12:N17" si="8">SUM(B12:M12)</f>
        <v>-46916.666666666657</v>
      </c>
      <c r="O12" s="39">
        <f>-'Valores de Inicio'!O43-Inversiones!O32</f>
        <v>-1826.3888888888889</v>
      </c>
      <c r="P12" s="39">
        <f>-'Valores de Inicio'!P43-Inversiones!P32</f>
        <v>-1826.3888888888889</v>
      </c>
      <c r="Q12" s="39">
        <f>-'Valores de Inicio'!Q43-Inversiones!Q32</f>
        <v>-1826.3888888888889</v>
      </c>
      <c r="R12" s="39">
        <f>-'Valores de Inicio'!R43-Inversiones!R32</f>
        <v>-1826.3888888888889</v>
      </c>
      <c r="S12" s="39">
        <f>-'Valores de Inicio'!S43-Inversiones!S32</f>
        <v>-1826.3888888888889</v>
      </c>
      <c r="T12" s="39">
        <f>-'Valores de Inicio'!T43-Inversiones!T32</f>
        <v>-1826.3888888888889</v>
      </c>
      <c r="U12" s="39">
        <f>-'Valores de Inicio'!U43-Inversiones!U32</f>
        <v>-1826.3888888888889</v>
      </c>
      <c r="V12" s="39">
        <f>-'Valores de Inicio'!V43-Inversiones!V32</f>
        <v>-1826.3888888888889</v>
      </c>
      <c r="W12" s="39">
        <f>-'Valores de Inicio'!W43-Inversiones!W32</f>
        <v>-1826.3888888888889</v>
      </c>
      <c r="X12" s="39">
        <f>-'Valores de Inicio'!X43-Inversiones!X32</f>
        <v>-1826.3888888888889</v>
      </c>
      <c r="Y12" s="39">
        <f>-'Valores de Inicio'!Y43-Inversiones!Y32</f>
        <v>-1826.3888888888889</v>
      </c>
      <c r="Z12" s="39">
        <f>-'Valores de Inicio'!Z43-Inversiones!Z32</f>
        <v>-1826.3888888888887</v>
      </c>
      <c r="AA12" s="39">
        <f t="shared" ref="AA12:AA17" si="9">SUM(O12:Z12)</f>
        <v>-21916.666666666672</v>
      </c>
      <c r="AB12" s="39">
        <f>-'Valores de Inicio'!AB43-Inversiones!AB32</f>
        <v>-19416.666666666668</v>
      </c>
      <c r="AC12" s="39">
        <f>-'Valores de Inicio'!AC43-Inversiones!AC32</f>
        <v>-19416.666666666668</v>
      </c>
      <c r="AD12" s="39">
        <f>-'Valores de Inicio'!AD43-Inversiones!AD32</f>
        <v>-18166.666666666668</v>
      </c>
    </row>
    <row r="13" spans="1:31" x14ac:dyDescent="0.2">
      <c r="A13" s="39" t="s">
        <v>138</v>
      </c>
      <c r="B13" s="39">
        <f>-Financiamiento!B14-Financiamiento!B22-'Valores de Inicio'!B56-'Valores de Inicio'!B63</f>
        <v>0</v>
      </c>
      <c r="C13" s="39">
        <f>-Financiamiento!C14-Financiamiento!C22-'Valores de Inicio'!C56-'Valores de Inicio'!C63</f>
        <v>0</v>
      </c>
      <c r="D13" s="39">
        <f>-Financiamiento!D14-Financiamiento!D22-'Valores de Inicio'!D56-'Valores de Inicio'!D63</f>
        <v>0</v>
      </c>
      <c r="E13" s="39">
        <f>-Financiamiento!E14-Financiamiento!E22-'Valores de Inicio'!E56-'Valores de Inicio'!E63</f>
        <v>0</v>
      </c>
      <c r="F13" s="39">
        <f>-Financiamiento!F14-Financiamiento!F22-'Valores de Inicio'!F56-'Valores de Inicio'!F63</f>
        <v>0</v>
      </c>
      <c r="G13" s="39">
        <f>-Financiamiento!G14-Financiamiento!G22-'Valores de Inicio'!G56-'Valores de Inicio'!G63</f>
        <v>0</v>
      </c>
      <c r="H13" s="39">
        <f>-Financiamiento!H14-Financiamiento!H22-'Valores de Inicio'!H56-'Valores de Inicio'!H63</f>
        <v>0</v>
      </c>
      <c r="I13" s="39">
        <f>-Financiamiento!I14-Financiamiento!I22-'Valores de Inicio'!I56-'Valores de Inicio'!I63</f>
        <v>0</v>
      </c>
      <c r="J13" s="39">
        <f>-Financiamiento!J14-Financiamiento!J22-'Valores de Inicio'!J56-'Valores de Inicio'!J63</f>
        <v>0</v>
      </c>
      <c r="K13" s="39">
        <f>-Financiamiento!K14-Financiamiento!K22-'Valores de Inicio'!K56-'Valores de Inicio'!K63</f>
        <v>0</v>
      </c>
      <c r="L13" s="39">
        <f>-Financiamiento!L14-Financiamiento!L22-'Valores de Inicio'!L56-'Valores de Inicio'!L63</f>
        <v>0</v>
      </c>
      <c r="M13" s="39">
        <f>-Financiamiento!M14-Financiamiento!M22-'Valores de Inicio'!M56-'Valores de Inicio'!M63</f>
        <v>0</v>
      </c>
      <c r="N13" s="39">
        <f t="shared" si="8"/>
        <v>0</v>
      </c>
      <c r="O13" s="39">
        <f>-Financiamiento!O14-Financiamiento!O22-'Valores de Inicio'!O56-'Valores de Inicio'!O63</f>
        <v>0</v>
      </c>
      <c r="P13" s="39">
        <f>-Financiamiento!P14-Financiamiento!P22-'Valores de Inicio'!P56-'Valores de Inicio'!P63</f>
        <v>0</v>
      </c>
      <c r="Q13" s="39">
        <f>-Financiamiento!Q14-Financiamiento!Q22-'Valores de Inicio'!Q56-'Valores de Inicio'!Q63</f>
        <v>0</v>
      </c>
      <c r="R13" s="39">
        <f>-Financiamiento!R14-Financiamiento!R22-'Valores de Inicio'!R56-'Valores de Inicio'!R63</f>
        <v>0</v>
      </c>
      <c r="S13" s="39">
        <f>-Financiamiento!S14-Financiamiento!S22-'Valores de Inicio'!S56-'Valores de Inicio'!S63</f>
        <v>0</v>
      </c>
      <c r="T13" s="39">
        <f>-Financiamiento!T14-Financiamiento!T22-'Valores de Inicio'!T56-'Valores de Inicio'!T63</f>
        <v>0</v>
      </c>
      <c r="U13" s="39">
        <f>-Financiamiento!U14-Financiamiento!U22-'Valores de Inicio'!U56-'Valores de Inicio'!U63</f>
        <v>0</v>
      </c>
      <c r="V13" s="39">
        <f>-Financiamiento!V14-Financiamiento!V22-'Valores de Inicio'!V56-'Valores de Inicio'!V63</f>
        <v>0</v>
      </c>
      <c r="W13" s="39">
        <f>-Financiamiento!W14-Financiamiento!W22-'Valores de Inicio'!W56-'Valores de Inicio'!W63</f>
        <v>0</v>
      </c>
      <c r="X13" s="39">
        <f>-Financiamiento!X14-Financiamiento!X22-'Valores de Inicio'!X56-'Valores de Inicio'!X63</f>
        <v>0</v>
      </c>
      <c r="Y13" s="39">
        <f>-Financiamiento!Y14-Financiamiento!Y22-'Valores de Inicio'!Y56-'Valores de Inicio'!Y63</f>
        <v>0</v>
      </c>
      <c r="Z13" s="39">
        <f>-Financiamiento!Z14-Financiamiento!Z22-'Valores de Inicio'!Z56-'Valores de Inicio'!Z63</f>
        <v>0</v>
      </c>
      <c r="AA13" s="39">
        <f t="shared" si="9"/>
        <v>0</v>
      </c>
      <c r="AB13" s="39">
        <f>-Financiamiento!AB14-Financiamiento!AB22-'Valores de Inicio'!AB56-'Valores de Inicio'!AB63</f>
        <v>0</v>
      </c>
      <c r="AC13" s="39">
        <f>-Financiamiento!AC14-Financiamiento!AC22-'Valores de Inicio'!AC56-'Valores de Inicio'!AC63</f>
        <v>0</v>
      </c>
      <c r="AD13" s="39">
        <f>-Financiamiento!AD14-Financiamiento!AD22-'Valores de Inicio'!AD56-'Valores de Inicio'!AD63</f>
        <v>0</v>
      </c>
    </row>
    <row r="14" spans="1:31" x14ac:dyDescent="0.2">
      <c r="A14" s="39" t="s">
        <v>121</v>
      </c>
      <c r="B14" s="39">
        <f>Extraordinarios!B3</f>
        <v>0</v>
      </c>
      <c r="C14" s="39">
        <f>Extraordinarios!C3</f>
        <v>0</v>
      </c>
      <c r="D14" s="39">
        <f>Extraordinarios!D3</f>
        <v>0</v>
      </c>
      <c r="E14" s="39">
        <f>Extraordinarios!E3</f>
        <v>0</v>
      </c>
      <c r="F14" s="39">
        <f>Extraordinarios!F3</f>
        <v>0</v>
      </c>
      <c r="G14" s="39">
        <f>Extraordinarios!G3</f>
        <v>0</v>
      </c>
      <c r="H14" s="39">
        <f>Extraordinarios!H3</f>
        <v>0</v>
      </c>
      <c r="I14" s="39">
        <f>Extraordinarios!I3</f>
        <v>0</v>
      </c>
      <c r="J14" s="39">
        <f>Extraordinarios!J3</f>
        <v>0</v>
      </c>
      <c r="K14" s="39">
        <f>Extraordinarios!K3</f>
        <v>0</v>
      </c>
      <c r="L14" s="39">
        <f>Extraordinarios!L3</f>
        <v>0</v>
      </c>
      <c r="M14" s="39">
        <f>Extraordinarios!M3</f>
        <v>0</v>
      </c>
      <c r="N14" s="39">
        <f t="shared" si="8"/>
        <v>0</v>
      </c>
      <c r="O14" s="39">
        <f>Extraordinarios!O3</f>
        <v>0</v>
      </c>
      <c r="P14" s="39">
        <f>Extraordinarios!P3</f>
        <v>0</v>
      </c>
      <c r="Q14" s="39">
        <f>Extraordinarios!Q3</f>
        <v>0</v>
      </c>
      <c r="R14" s="39">
        <f>Extraordinarios!R3</f>
        <v>0</v>
      </c>
      <c r="S14" s="39">
        <f>Extraordinarios!S3</f>
        <v>0</v>
      </c>
      <c r="T14" s="39">
        <f>Extraordinarios!T3</f>
        <v>0</v>
      </c>
      <c r="U14" s="39">
        <f>Extraordinarios!U3</f>
        <v>0</v>
      </c>
      <c r="V14" s="39">
        <f>Extraordinarios!V3</f>
        <v>0</v>
      </c>
      <c r="W14" s="39">
        <f>Extraordinarios!W3</f>
        <v>0</v>
      </c>
      <c r="X14" s="39">
        <f>Extraordinarios!X3</f>
        <v>0</v>
      </c>
      <c r="Y14" s="39">
        <f>Extraordinarios!Y3</f>
        <v>0</v>
      </c>
      <c r="Z14" s="39">
        <f>Extraordinarios!Z3</f>
        <v>0</v>
      </c>
      <c r="AA14" s="39">
        <f t="shared" si="9"/>
        <v>0</v>
      </c>
      <c r="AB14" s="39">
        <f>Extraordinarios!AB3</f>
        <v>0</v>
      </c>
      <c r="AC14" s="39">
        <f>Extraordinarios!AC3</f>
        <v>0</v>
      </c>
      <c r="AD14" s="39">
        <f>Extraordinarios!AD3</f>
        <v>0</v>
      </c>
    </row>
    <row r="15" spans="1:31" x14ac:dyDescent="0.2">
      <c r="A15" s="39" t="s">
        <v>65</v>
      </c>
      <c r="B15" s="54">
        <f>Financiamiento!B26</f>
        <v>0</v>
      </c>
      <c r="C15" s="54">
        <f>Financiamiento!C26</f>
        <v>0</v>
      </c>
      <c r="D15" s="54">
        <f>Financiamiento!D26</f>
        <v>0</v>
      </c>
      <c r="E15" s="54">
        <f>Financiamiento!E26</f>
        <v>0</v>
      </c>
      <c r="F15" s="54">
        <f>Financiamiento!F26</f>
        <v>0</v>
      </c>
      <c r="G15" s="54">
        <f>Financiamiento!G26</f>
        <v>0</v>
      </c>
      <c r="H15" s="54">
        <f>Financiamiento!H26</f>
        <v>0</v>
      </c>
      <c r="I15" s="54">
        <f>Financiamiento!I26</f>
        <v>0</v>
      </c>
      <c r="J15" s="54">
        <f>Financiamiento!J26</f>
        <v>0</v>
      </c>
      <c r="K15" s="54">
        <f>Financiamiento!K26</f>
        <v>0</v>
      </c>
      <c r="L15" s="54">
        <f>Financiamiento!L26</f>
        <v>0</v>
      </c>
      <c r="M15" s="54">
        <f>Financiamiento!M26</f>
        <v>0</v>
      </c>
      <c r="N15" s="54">
        <f t="shared" si="8"/>
        <v>0</v>
      </c>
      <c r="O15" s="54">
        <f>Financiamiento!O26</f>
        <v>0</v>
      </c>
      <c r="P15" s="54">
        <f>Financiamiento!P26</f>
        <v>0</v>
      </c>
      <c r="Q15" s="54">
        <f>Financiamiento!Q26</f>
        <v>0</v>
      </c>
      <c r="R15" s="54">
        <f>Financiamiento!R26</f>
        <v>0</v>
      </c>
      <c r="S15" s="54">
        <f>Financiamiento!S26</f>
        <v>0</v>
      </c>
      <c r="T15" s="54">
        <f>Financiamiento!T26</f>
        <v>0</v>
      </c>
      <c r="U15" s="54">
        <f>Financiamiento!U26</f>
        <v>0</v>
      </c>
      <c r="V15" s="54">
        <f>Financiamiento!V26</f>
        <v>0</v>
      </c>
      <c r="W15" s="54">
        <f>Financiamiento!W26</f>
        <v>0</v>
      </c>
      <c r="X15" s="54">
        <f>Financiamiento!X26</f>
        <v>0</v>
      </c>
      <c r="Y15" s="54">
        <f>Financiamiento!Y26</f>
        <v>0</v>
      </c>
      <c r="Z15" s="54">
        <f>Financiamiento!Z26</f>
        <v>0</v>
      </c>
      <c r="AA15" s="54">
        <f t="shared" si="9"/>
        <v>0</v>
      </c>
      <c r="AB15" s="54">
        <f>Financiamiento!AB26</f>
        <v>0</v>
      </c>
      <c r="AC15" s="54">
        <f>Financiamiento!AC26</f>
        <v>0</v>
      </c>
      <c r="AD15" s="54">
        <f>Financiamiento!AD26</f>
        <v>0</v>
      </c>
    </row>
    <row r="16" spans="1:31" x14ac:dyDescent="0.2">
      <c r="A16" s="39" t="s">
        <v>61</v>
      </c>
      <c r="B16" s="39">
        <f>-Impuestos!B20</f>
        <v>-170990.76444444444</v>
      </c>
      <c r="C16" s="39">
        <f>-Impuestos!C20</f>
        <v>-170990.76444444444</v>
      </c>
      <c r="D16" s="39">
        <f>-Impuestos!D20</f>
        <v>-170990.76444444444</v>
      </c>
      <c r="E16" s="39">
        <f>-Impuestos!E20</f>
        <v>-170990.76444444444</v>
      </c>
      <c r="F16" s="39">
        <f>-Impuestos!F20</f>
        <v>-170990.76444444444</v>
      </c>
      <c r="G16" s="39">
        <f>-Impuestos!G20</f>
        <v>-170990.76444444444</v>
      </c>
      <c r="H16" s="39">
        <f>-Impuestos!H20</f>
        <v>-170990.76444444444</v>
      </c>
      <c r="I16" s="39">
        <f>-Impuestos!I20</f>
        <v>-170990.76444444444</v>
      </c>
      <c r="J16" s="39">
        <f>-Impuestos!J20</f>
        <v>-170990.76444444444</v>
      </c>
      <c r="K16" s="39">
        <f>-Impuestos!K20</f>
        <v>-177071.07324444439</v>
      </c>
      <c r="L16" s="39">
        <f>-Impuestos!L20</f>
        <v>-177071.07324444439</v>
      </c>
      <c r="M16" s="39">
        <f>-Impuestos!M20</f>
        <v>-177071.07324444439</v>
      </c>
      <c r="N16" s="39">
        <f t="shared" si="8"/>
        <v>-2070130.0997333329</v>
      </c>
      <c r="O16" s="39">
        <f>-Impuestos!O20</f>
        <v>-56860.9371888889</v>
      </c>
      <c r="P16" s="39">
        <f>-Impuestos!P20</f>
        <v>-56860.9371888889</v>
      </c>
      <c r="Q16" s="39">
        <f>-Impuestos!Q20</f>
        <v>-56860.9371888889</v>
      </c>
      <c r="R16" s="39">
        <f>-Impuestos!R20</f>
        <v>-56860.9371888889</v>
      </c>
      <c r="S16" s="39">
        <f>-Impuestos!S20</f>
        <v>-56860.9371888889</v>
      </c>
      <c r="T16" s="39">
        <f>-Impuestos!T20</f>
        <v>-56860.9371888889</v>
      </c>
      <c r="U16" s="39">
        <f>-Impuestos!U20</f>
        <v>-56860.9371888889</v>
      </c>
      <c r="V16" s="39">
        <f>-Impuestos!V20</f>
        <v>-56860.9371888889</v>
      </c>
      <c r="W16" s="39">
        <f>-Impuestos!W20</f>
        <v>-56860.9371888889</v>
      </c>
      <c r="X16" s="39">
        <f>-Impuestos!X20</f>
        <v>-58315.087795888991</v>
      </c>
      <c r="Y16" s="39">
        <f>-Impuestos!Y20</f>
        <v>-58315.142195888984</v>
      </c>
      <c r="Z16" s="39">
        <f>-Impuestos!Z20</f>
        <v>-58315.142195888984</v>
      </c>
      <c r="AA16" s="39">
        <f t="shared" si="9"/>
        <v>-686693.80688766716</v>
      </c>
      <c r="AB16" s="39">
        <f>-Impuestos!AB20</f>
        <v>-6273023.4904781636</v>
      </c>
      <c r="AC16" s="39">
        <f>-Impuestos!AC20</f>
        <v>-10533849.647285517</v>
      </c>
      <c r="AD16" s="39">
        <f>-Impuestos!AD20</f>
        <v>-17763535.373674311</v>
      </c>
    </row>
    <row r="17" spans="1:32" ht="15" x14ac:dyDescent="0.25">
      <c r="A17" s="174" t="s">
        <v>142</v>
      </c>
      <c r="B17" s="174">
        <f t="shared" ref="B17:M17" si="10">B10+B12+B13+B14+B15+B16</f>
        <v>897701.51333333331</v>
      </c>
      <c r="C17" s="174">
        <f t="shared" si="10"/>
        <v>897701.51333333331</v>
      </c>
      <c r="D17" s="174">
        <f t="shared" si="10"/>
        <v>897701.51333333331</v>
      </c>
      <c r="E17" s="174">
        <f t="shared" si="10"/>
        <v>897701.51333333331</v>
      </c>
      <c r="F17" s="174">
        <f t="shared" si="10"/>
        <v>897701.51333333331</v>
      </c>
      <c r="G17" s="174">
        <f t="shared" si="10"/>
        <v>897701.51333333331</v>
      </c>
      <c r="H17" s="174">
        <f t="shared" si="10"/>
        <v>897701.51333333331</v>
      </c>
      <c r="I17" s="174">
        <f t="shared" si="10"/>
        <v>897701.51333333331</v>
      </c>
      <c r="J17" s="174">
        <f t="shared" si="10"/>
        <v>897701.51333333331</v>
      </c>
      <c r="K17" s="174">
        <f t="shared" si="10"/>
        <v>929623.13453333313</v>
      </c>
      <c r="L17" s="174">
        <f t="shared" si="10"/>
        <v>929623.13453333313</v>
      </c>
      <c r="M17" s="174">
        <f t="shared" si="10"/>
        <v>929623.13453333313</v>
      </c>
      <c r="N17" s="174">
        <f t="shared" si="8"/>
        <v>10868183.023599999</v>
      </c>
      <c r="O17" s="174">
        <f t="shared" ref="O17:Z17" si="11">O10+O12+O13+O14+O15+O16</f>
        <v>277615.16392222227</v>
      </c>
      <c r="P17" s="174">
        <f t="shared" si="11"/>
        <v>277615.16392222227</v>
      </c>
      <c r="Q17" s="174">
        <f t="shared" si="11"/>
        <v>277615.16392222227</v>
      </c>
      <c r="R17" s="174">
        <f t="shared" si="11"/>
        <v>277615.16392222227</v>
      </c>
      <c r="S17" s="174">
        <f t="shared" si="11"/>
        <v>277615.16392222227</v>
      </c>
      <c r="T17" s="174">
        <f t="shared" si="11"/>
        <v>277615.16392222227</v>
      </c>
      <c r="U17" s="174">
        <f t="shared" si="11"/>
        <v>277615.16392222227</v>
      </c>
      <c r="V17" s="174">
        <f t="shared" si="11"/>
        <v>277615.16392222227</v>
      </c>
      <c r="W17" s="174">
        <f t="shared" si="11"/>
        <v>277615.16392222227</v>
      </c>
      <c r="X17" s="174">
        <f t="shared" si="11"/>
        <v>284714.84041522269</v>
      </c>
      <c r="Y17" s="174">
        <f t="shared" si="11"/>
        <v>284715.10601522267</v>
      </c>
      <c r="Z17" s="174">
        <f t="shared" si="11"/>
        <v>284715.10601522267</v>
      </c>
      <c r="AA17" s="174">
        <f t="shared" si="9"/>
        <v>3352681.5277456683</v>
      </c>
      <c r="AB17" s="174">
        <f>AB10+AB12+AB13+AB14+AB15+AB16</f>
        <v>28577107.012178302</v>
      </c>
      <c r="AC17" s="174">
        <f>AC10+AC12+AC13+AC14+AC15+AC16</f>
        <v>44907464.285796151</v>
      </c>
      <c r="AD17" s="174">
        <f>AD10+AD12+AD13+AD14+AD15+AD16</f>
        <v>71054141.494697243</v>
      </c>
    </row>
    <row r="19" spans="1:32" s="96" customFormat="1" ht="18" hidden="1" customHeight="1" x14ac:dyDescent="0.2">
      <c r="A19" s="96" t="s">
        <v>56</v>
      </c>
      <c r="B19" s="96">
        <v>1</v>
      </c>
      <c r="C19" s="96">
        <f t="shared" ref="C19:M19" si="12">IF(B19=0,0,IF(B17&gt;=0,0,1))</f>
        <v>0</v>
      </c>
      <c r="D19" s="96">
        <f t="shared" si="12"/>
        <v>0</v>
      </c>
      <c r="E19" s="96">
        <f t="shared" si="12"/>
        <v>0</v>
      </c>
      <c r="F19" s="96">
        <f t="shared" si="12"/>
        <v>0</v>
      </c>
      <c r="G19" s="96">
        <f t="shared" si="12"/>
        <v>0</v>
      </c>
      <c r="H19" s="96">
        <f t="shared" si="12"/>
        <v>0</v>
      </c>
      <c r="I19" s="96">
        <f t="shared" si="12"/>
        <v>0</v>
      </c>
      <c r="J19" s="96">
        <f t="shared" si="12"/>
        <v>0</v>
      </c>
      <c r="K19" s="96">
        <f t="shared" si="12"/>
        <v>0</v>
      </c>
      <c r="L19" s="96">
        <f t="shared" si="12"/>
        <v>0</v>
      </c>
      <c r="M19" s="96">
        <f t="shared" si="12"/>
        <v>0</v>
      </c>
      <c r="O19" s="96">
        <f t="shared" ref="O19:Z19" si="13">IF(N19=0,0,IF(N17&gt;=0,0,1))</f>
        <v>0</v>
      </c>
      <c r="P19" s="96">
        <f t="shared" si="13"/>
        <v>0</v>
      </c>
      <c r="Q19" s="96">
        <f t="shared" si="13"/>
        <v>0</v>
      </c>
      <c r="R19" s="96">
        <f t="shared" si="13"/>
        <v>0</v>
      </c>
      <c r="S19" s="96">
        <f t="shared" si="13"/>
        <v>0</v>
      </c>
      <c r="T19" s="96">
        <f t="shared" si="13"/>
        <v>0</v>
      </c>
      <c r="U19" s="96">
        <f t="shared" si="13"/>
        <v>0</v>
      </c>
      <c r="V19" s="96">
        <f t="shared" si="13"/>
        <v>0</v>
      </c>
      <c r="W19" s="96">
        <f t="shared" si="13"/>
        <v>0</v>
      </c>
      <c r="X19" s="96">
        <f t="shared" si="13"/>
        <v>0</v>
      </c>
      <c r="Y19" s="96">
        <f t="shared" si="13"/>
        <v>0</v>
      </c>
      <c r="Z19" s="96">
        <f t="shared" si="13"/>
        <v>0</v>
      </c>
      <c r="AB19" s="96">
        <f>IF(AA19=0,0,IF(AA17&gt;=0,0,1))</f>
        <v>0</v>
      </c>
      <c r="AC19" s="96">
        <f>IF(AB19=0,0,IF(AB17&gt;=0,0,1))</f>
        <v>0</v>
      </c>
      <c r="AD19" s="96">
        <f>IF(AC19=0,0,IF(AC17&gt;=0,0,1))</f>
        <v>0</v>
      </c>
      <c r="AF19" s="96">
        <f>SUM(B19:AD19)</f>
        <v>1</v>
      </c>
    </row>
  </sheetData>
  <pageMargins left="0.7" right="0.7" top="0.75" bottom="0.75" header="0.3" footer="0.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7"/>
  <sheetViews>
    <sheetView showGridLines="0" workbookViewId="0">
      <pane xSplit="1" ySplit="1" topLeftCell="P12" activePane="bottomRight" state="frozen"/>
      <selection pane="topRight" activeCell="B1" sqref="B1"/>
      <selection pane="bottomLeft" activeCell="A2" sqref="A2"/>
      <selection pane="bottomRight" activeCell="V36" sqref="V36"/>
    </sheetView>
  </sheetViews>
  <sheetFormatPr baseColWidth="10" defaultColWidth="9.140625" defaultRowHeight="12.75" outlineLevelCol="1" x14ac:dyDescent="0.2"/>
  <cols>
    <col min="1" max="1" width="42.85546875" style="149" customWidth="1"/>
    <col min="2" max="13" width="13.28515625" style="102" customWidth="1" outlineLevel="1"/>
    <col min="14" max="14" width="13.28515625" style="102" customWidth="1"/>
    <col min="15" max="26" width="13.28515625" style="102" customWidth="1" outlineLevel="1"/>
    <col min="27" max="30" width="13.28515625" style="102" customWidth="1"/>
  </cols>
  <sheetData>
    <row r="1" spans="1:31" ht="15.75" customHeight="1" x14ac:dyDescent="0.25">
      <c r="A1" s="213" t="str">
        <f>"BALANCE (" &amp; Introducción!E17 &amp; ")"</f>
        <v>BALANCE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</row>
    <row r="2" spans="1:31" x14ac:dyDescent="0.2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10"/>
    </row>
    <row r="3" spans="1:31" x14ac:dyDescent="0.2">
      <c r="A3" s="39" t="s">
        <v>154</v>
      </c>
      <c r="B3" s="39">
        <f>'Flujo de Caja'!B36</f>
        <v>3183958.5805234634</v>
      </c>
      <c r="C3" s="39">
        <f>'Flujo de Caja'!C36</f>
        <v>3963971.1610469269</v>
      </c>
      <c r="D3" s="39">
        <f>'Flujo de Caja'!D36</f>
        <v>4743983.7415703908</v>
      </c>
      <c r="E3" s="39">
        <f>'Flujo de Caja'!E36</f>
        <v>5523996.3220938547</v>
      </c>
      <c r="F3" s="39">
        <f>'Flujo de Caja'!F36</f>
        <v>6304008.9026173186</v>
      </c>
      <c r="G3" s="39">
        <f>'Flujo de Caja'!G36</f>
        <v>7084021.4831407825</v>
      </c>
      <c r="H3" s="39">
        <f>'Flujo de Caja'!H36</f>
        <v>7864034.0636642464</v>
      </c>
      <c r="I3" s="39">
        <f>'Flujo de Caja'!I36</f>
        <v>8644046.6441877093</v>
      </c>
      <c r="J3" s="39">
        <f>'Flujo de Caja'!J36</f>
        <v>9424059.2247111723</v>
      </c>
      <c r="K3" s="39">
        <f>'Flujo de Caja'!K36</f>
        <v>10230065.746434635</v>
      </c>
      <c r="L3" s="39">
        <f>'Flujo de Caja'!L36</f>
        <v>11041999.948158097</v>
      </c>
      <c r="M3" s="39">
        <f>'Flujo de Caja'!M36</f>
        <v>11853934.149881558</v>
      </c>
      <c r="N3" s="39">
        <f>M3</f>
        <v>11853934.149881558</v>
      </c>
      <c r="O3" s="39">
        <f>'Flujo de Caja'!O36</f>
        <v>10541050.647660581</v>
      </c>
      <c r="P3" s="39">
        <f>'Flujo de Caja'!P36</f>
        <v>10698893.545439599</v>
      </c>
      <c r="Q3" s="39">
        <f>'Flujo de Caja'!Q36</f>
        <v>10856736.443218617</v>
      </c>
      <c r="R3" s="39">
        <f>'Flujo de Caja'!R36</f>
        <v>11014579.340997634</v>
      </c>
      <c r="S3" s="39">
        <f>'Flujo de Caja'!S36</f>
        <v>11172422.238776652</v>
      </c>
      <c r="T3" s="39">
        <f>'Flujo de Caja'!T36</f>
        <v>11404778.021587763</v>
      </c>
      <c r="U3" s="39">
        <f>'Flujo de Caja'!U36</f>
        <v>11637133.804398874</v>
      </c>
      <c r="V3" s="39">
        <f>'Flujo de Caja'!V36</f>
        <v>11869489.587209985</v>
      </c>
      <c r="W3" s="39">
        <f>'Flujo de Caja'!W36</f>
        <v>12101845.370021095</v>
      </c>
      <c r="X3" s="39">
        <f>'Flujo de Caja'!X36</f>
        <v>12276306.986125207</v>
      </c>
      <c r="Y3" s="39">
        <f>'Flujo de Caja'!Y36</f>
        <v>12515762.711029319</v>
      </c>
      <c r="Z3" s="39">
        <f>'Flujo de Caja'!Z36</f>
        <v>12755218.435933432</v>
      </c>
      <c r="AA3" s="39">
        <f>Z3</f>
        <v>12755218.435933432</v>
      </c>
      <c r="AB3" s="39">
        <f>'Flujo de Caja'!AB36</f>
        <v>41964589.82245072</v>
      </c>
      <c r="AC3" s="39">
        <f>'Flujo de Caja'!AC36</f>
        <v>86521626.867969111</v>
      </c>
      <c r="AD3" s="39">
        <f>'Flujo de Caja'!AD36</f>
        <v>157054058.00074863</v>
      </c>
    </row>
    <row r="4" spans="1:31" x14ac:dyDescent="0.2">
      <c r="A4" s="39" t="s">
        <v>112</v>
      </c>
      <c r="B4" s="39">
        <f>-'Flujo de Caja'!B13+'Valores de Inicio'!B7</f>
        <v>0</v>
      </c>
      <c r="C4" s="39">
        <f>-'Flujo de Caja'!C13+B4</f>
        <v>0</v>
      </c>
      <c r="D4" s="39">
        <f>-'Flujo de Caja'!D13+C4</f>
        <v>0</v>
      </c>
      <c r="E4" s="39">
        <f>-'Flujo de Caja'!E13+D4</f>
        <v>0</v>
      </c>
      <c r="F4" s="39">
        <f>-'Flujo de Caja'!F13+E4</f>
        <v>0</v>
      </c>
      <c r="G4" s="39">
        <f>-'Flujo de Caja'!G13+F4</f>
        <v>0</v>
      </c>
      <c r="H4" s="39">
        <f>-'Flujo de Caja'!H13+G4</f>
        <v>0</v>
      </c>
      <c r="I4" s="39">
        <f>-'Flujo de Caja'!I13+H4</f>
        <v>0</v>
      </c>
      <c r="J4" s="39">
        <f>-'Flujo de Caja'!J13+I4</f>
        <v>0</v>
      </c>
      <c r="K4" s="39">
        <f>-'Flujo de Caja'!K13+J4</f>
        <v>0</v>
      </c>
      <c r="L4" s="39">
        <f>-'Flujo de Caja'!L13+K4</f>
        <v>0</v>
      </c>
      <c r="M4" s="39">
        <f>-'Flujo de Caja'!M13+L4</f>
        <v>0</v>
      </c>
      <c r="N4" s="39">
        <f>M4</f>
        <v>0</v>
      </c>
      <c r="O4" s="39">
        <f>-'Flujo de Caja'!O13+N4</f>
        <v>0</v>
      </c>
      <c r="P4" s="39">
        <f>-'Flujo de Caja'!P13+O4</f>
        <v>0</v>
      </c>
      <c r="Q4" s="39">
        <f>-'Flujo de Caja'!Q13+P4</f>
        <v>0</v>
      </c>
      <c r="R4" s="39">
        <f>-'Flujo de Caja'!R13+Q4</f>
        <v>0</v>
      </c>
      <c r="S4" s="39">
        <f>-'Flujo de Caja'!S13+R4</f>
        <v>0</v>
      </c>
      <c r="T4" s="39">
        <f>-'Flujo de Caja'!T13+S4</f>
        <v>0</v>
      </c>
      <c r="U4" s="39">
        <f>-'Flujo de Caja'!U13+T4</f>
        <v>0</v>
      </c>
      <c r="V4" s="39">
        <f>-'Flujo de Caja'!V13+U4</f>
        <v>0</v>
      </c>
      <c r="W4" s="39">
        <f>-'Flujo de Caja'!W13+V4</f>
        <v>0</v>
      </c>
      <c r="X4" s="39">
        <f>-'Flujo de Caja'!X13+W4</f>
        <v>0</v>
      </c>
      <c r="Y4" s="39">
        <f>-'Flujo de Caja'!Y13+X4</f>
        <v>0</v>
      </c>
      <c r="Z4" s="39">
        <f>-'Flujo de Caja'!Z13+Y4</f>
        <v>0</v>
      </c>
      <c r="AA4" s="39">
        <f>Z4</f>
        <v>0</v>
      </c>
      <c r="AB4" s="39">
        <f>-'Flujo de Caja'!AB13+AA4</f>
        <v>0</v>
      </c>
      <c r="AC4" s="39">
        <f>-'Flujo de Caja'!AC13+AB4</f>
        <v>0</v>
      </c>
      <c r="AD4" s="39">
        <f>-'Flujo de Caja'!AD13+AC4</f>
        <v>0</v>
      </c>
    </row>
    <row r="5" spans="1:31" x14ac:dyDescent="0.2">
      <c r="A5" s="39" t="s">
        <v>115</v>
      </c>
      <c r="B5" s="39">
        <f>-'Flujo de Caja'!B15+'Valores de Inicio'!B8+'Valores de Inicio'!B9</f>
        <v>84000</v>
      </c>
      <c r="C5" s="39">
        <f>-'Flujo de Caja'!C15+B5</f>
        <v>84000</v>
      </c>
      <c r="D5" s="39">
        <f>-'Flujo de Caja'!D15+C5</f>
        <v>84000</v>
      </c>
      <c r="E5" s="39">
        <f>-'Flujo de Caja'!E15+D5</f>
        <v>84000</v>
      </c>
      <c r="F5" s="39">
        <f>-'Flujo de Caja'!F15+E5</f>
        <v>84000</v>
      </c>
      <c r="G5" s="39">
        <f>-'Flujo de Caja'!G15+F5</f>
        <v>84000</v>
      </c>
      <c r="H5" s="39">
        <f>-'Flujo de Caja'!H15+G5</f>
        <v>84000</v>
      </c>
      <c r="I5" s="39">
        <f>-'Flujo de Caja'!I15+H5</f>
        <v>84000</v>
      </c>
      <c r="J5" s="39">
        <f>-'Flujo de Caja'!J15+I5</f>
        <v>84000</v>
      </c>
      <c r="K5" s="39">
        <f>-'Flujo de Caja'!K15+J5</f>
        <v>84000</v>
      </c>
      <c r="L5" s="39">
        <f>-'Flujo de Caja'!L15+K5</f>
        <v>84000</v>
      </c>
      <c r="M5" s="39">
        <f>-'Flujo de Caja'!M15+L5</f>
        <v>84000</v>
      </c>
      <c r="N5" s="39">
        <f>M5</f>
        <v>84000</v>
      </c>
      <c r="O5" s="39">
        <f>-'Flujo de Caja'!O15+N5</f>
        <v>84000</v>
      </c>
      <c r="P5" s="39">
        <f>-'Flujo de Caja'!P15+O5</f>
        <v>84000</v>
      </c>
      <c r="Q5" s="39">
        <f>-'Flujo de Caja'!Q15+P5</f>
        <v>84000</v>
      </c>
      <c r="R5" s="39">
        <f>-'Flujo de Caja'!R15+Q5</f>
        <v>84000</v>
      </c>
      <c r="S5" s="39">
        <f>-'Flujo de Caja'!S15+R5</f>
        <v>84000</v>
      </c>
      <c r="T5" s="39">
        <f>-'Flujo de Caja'!T15+S5</f>
        <v>84000</v>
      </c>
      <c r="U5" s="39">
        <f>-'Flujo de Caja'!U15+T5</f>
        <v>84000</v>
      </c>
      <c r="V5" s="39">
        <f>-'Flujo de Caja'!V15+U5</f>
        <v>84000</v>
      </c>
      <c r="W5" s="39">
        <f>-'Flujo de Caja'!W15+V5</f>
        <v>84000</v>
      </c>
      <c r="X5" s="39">
        <f>-'Flujo de Caja'!X15+W5</f>
        <v>84000</v>
      </c>
      <c r="Y5" s="39">
        <f>-'Flujo de Caja'!Y15+X5</f>
        <v>84000</v>
      </c>
      <c r="Z5" s="39">
        <f>-'Flujo de Caja'!Z15+Y5</f>
        <v>84000</v>
      </c>
      <c r="AA5" s="39">
        <f>Z5</f>
        <v>84000</v>
      </c>
      <c r="AB5" s="39">
        <f>-'Flujo de Caja'!AB15+AA5</f>
        <v>84000</v>
      </c>
      <c r="AC5" s="39">
        <f>-'Flujo de Caja'!AC15+AB5</f>
        <v>84000</v>
      </c>
      <c r="AD5" s="39">
        <f>-'Flujo de Caja'!AD15+AC5</f>
        <v>84000</v>
      </c>
    </row>
    <row r="6" spans="1:31" x14ac:dyDescent="0.2">
      <c r="A6" s="39" t="s">
        <v>127</v>
      </c>
      <c r="B6" s="39">
        <f>-'Flujo de Caja'!B16+'Valores de Inicio'!B10</f>
        <v>148192.00000000003</v>
      </c>
      <c r="C6" s="39">
        <f>-'Flujo de Caja'!C16+B6</f>
        <v>148192.00000000003</v>
      </c>
      <c r="D6" s="39">
        <f>-'Flujo de Caja'!D16+C6</f>
        <v>148192.00000000003</v>
      </c>
      <c r="E6" s="39">
        <f>-'Flujo de Caja'!E16+D6</f>
        <v>148192.00000000003</v>
      </c>
      <c r="F6" s="39">
        <f>-'Flujo de Caja'!F16+E6</f>
        <v>148192.00000000003</v>
      </c>
      <c r="G6" s="39">
        <f>-'Flujo de Caja'!G16+F6</f>
        <v>148192.00000000003</v>
      </c>
      <c r="H6" s="39">
        <f>-'Flujo de Caja'!H16+G6</f>
        <v>148192.00000000003</v>
      </c>
      <c r="I6" s="39">
        <f>-'Flujo de Caja'!I16+H6</f>
        <v>148192.00000000003</v>
      </c>
      <c r="J6" s="39">
        <f>-'Flujo de Caja'!J16+I6</f>
        <v>148192.00000000003</v>
      </c>
      <c r="K6" s="39">
        <f>-'Flujo de Caja'!K16+J6</f>
        <v>154119.67999999999</v>
      </c>
      <c r="L6" s="39">
        <f>-'Flujo de Caja'!L16+K6</f>
        <v>154119.67999999999</v>
      </c>
      <c r="M6" s="39">
        <f>-'Flujo de Caja'!M16+L6</f>
        <v>154119.67999999999</v>
      </c>
      <c r="N6" s="39">
        <f>M6</f>
        <v>154119.67999999999</v>
      </c>
      <c r="O6" s="39">
        <f>-'Flujo de Caja'!O16+N6</f>
        <v>1624846.0799999994</v>
      </c>
      <c r="P6" s="39">
        <f>-'Flujo de Caja'!P16+O6</f>
        <v>1624846.0799999994</v>
      </c>
      <c r="Q6" s="39">
        <f>-'Flujo de Caja'!Q16+P6</f>
        <v>1624846.0799999994</v>
      </c>
      <c r="R6" s="39">
        <f>-'Flujo de Caja'!R16+Q6</f>
        <v>1624846.0799999994</v>
      </c>
      <c r="S6" s="39">
        <f>-'Flujo de Caja'!S16+R6</f>
        <v>1624846.0799999994</v>
      </c>
      <c r="T6" s="39">
        <f>-'Flujo de Caja'!T16+S6</f>
        <v>1624846.0799999994</v>
      </c>
      <c r="U6" s="39">
        <f>-'Flujo de Caja'!U16+T6</f>
        <v>1624846.0799999994</v>
      </c>
      <c r="V6" s="39">
        <f>-'Flujo de Caja'!V16+U6</f>
        <v>1624846.0799999994</v>
      </c>
      <c r="W6" s="39">
        <f>-'Flujo de Caja'!W16+V6</f>
        <v>1624846.0799999994</v>
      </c>
      <c r="X6" s="39">
        <f>-'Flujo de Caja'!X16+W6</f>
        <v>1689839.9232000003</v>
      </c>
      <c r="Y6" s="39">
        <f>-'Flujo de Caja'!Y16+X6</f>
        <v>1689839.9232000003</v>
      </c>
      <c r="Z6" s="39">
        <f>-'Flujo de Caja'!Z16+Y6</f>
        <v>1689839.9232000003</v>
      </c>
      <c r="AA6" s="39">
        <f>Z6</f>
        <v>1689839.9232000003</v>
      </c>
      <c r="AB6" s="39">
        <f>-'Flujo de Caja'!AB16+AA6</f>
        <v>594222.21552768257</v>
      </c>
      <c r="AC6" s="39">
        <f>-'Flujo de Caja'!AC16+AB6</f>
        <v>964066.12247211253</v>
      </c>
      <c r="AD6" s="39">
        <f>-'Flujo de Caja'!AD16+AC6</f>
        <v>1503943.151056496</v>
      </c>
    </row>
    <row r="7" spans="1:31" x14ac:dyDescent="0.2">
      <c r="A7" s="86" t="s">
        <v>95</v>
      </c>
      <c r="B7" s="86">
        <f t="shared" ref="B7:AD7" si="2">SUM(B3:B6)</f>
        <v>3416150.5805234634</v>
      </c>
      <c r="C7" s="86">
        <f t="shared" si="2"/>
        <v>4196163.1610469269</v>
      </c>
      <c r="D7" s="86">
        <f t="shared" si="2"/>
        <v>4976175.7415703908</v>
      </c>
      <c r="E7" s="86">
        <f t="shared" si="2"/>
        <v>5756188.3220938547</v>
      </c>
      <c r="F7" s="86">
        <f t="shared" si="2"/>
        <v>6536200.9026173186</v>
      </c>
      <c r="G7" s="86">
        <f t="shared" si="2"/>
        <v>7316213.4831407825</v>
      </c>
      <c r="H7" s="86">
        <f t="shared" si="2"/>
        <v>8096226.0636642464</v>
      </c>
      <c r="I7" s="86">
        <f t="shared" si="2"/>
        <v>8876238.6441877093</v>
      </c>
      <c r="J7" s="86">
        <f t="shared" si="2"/>
        <v>9656251.2247111723</v>
      </c>
      <c r="K7" s="86">
        <f t="shared" si="2"/>
        <v>10468185.426434634</v>
      </c>
      <c r="L7" s="86">
        <f t="shared" si="2"/>
        <v>11280119.628158096</v>
      </c>
      <c r="M7" s="86">
        <f t="shared" si="2"/>
        <v>12092053.829881558</v>
      </c>
      <c r="N7" s="86">
        <f t="shared" si="2"/>
        <v>12092053.829881558</v>
      </c>
      <c r="O7" s="86">
        <f t="shared" si="2"/>
        <v>12249896.727660581</v>
      </c>
      <c r="P7" s="86">
        <f t="shared" si="2"/>
        <v>12407739.625439599</v>
      </c>
      <c r="Q7" s="86">
        <f t="shared" si="2"/>
        <v>12565582.523218617</v>
      </c>
      <c r="R7" s="86">
        <f t="shared" si="2"/>
        <v>12723425.420997635</v>
      </c>
      <c r="S7" s="86">
        <f t="shared" si="2"/>
        <v>12881268.318776652</v>
      </c>
      <c r="T7" s="86">
        <f t="shared" si="2"/>
        <v>13113624.101587763</v>
      </c>
      <c r="U7" s="86">
        <f t="shared" si="2"/>
        <v>13345979.884398874</v>
      </c>
      <c r="V7" s="86">
        <f t="shared" si="2"/>
        <v>13578335.667209985</v>
      </c>
      <c r="W7" s="86">
        <f t="shared" si="2"/>
        <v>13810691.450021096</v>
      </c>
      <c r="X7" s="86">
        <f t="shared" si="2"/>
        <v>14050146.909325207</v>
      </c>
      <c r="Y7" s="86">
        <f t="shared" si="2"/>
        <v>14289602.634229319</v>
      </c>
      <c r="Z7" s="86">
        <f t="shared" si="2"/>
        <v>14529058.359133432</v>
      </c>
      <c r="AA7" s="86">
        <f t="shared" si="2"/>
        <v>14529058.359133432</v>
      </c>
      <c r="AB7" s="86">
        <f t="shared" si="2"/>
        <v>42642812.037978403</v>
      </c>
      <c r="AC7" s="86">
        <f t="shared" si="2"/>
        <v>87569692.990441218</v>
      </c>
      <c r="AD7" s="86">
        <f t="shared" si="2"/>
        <v>158642001.15180513</v>
      </c>
    </row>
    <row r="8" spans="1:3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1" x14ac:dyDescent="0.2">
      <c r="A9" s="39" t="s">
        <v>76</v>
      </c>
      <c r="B9" s="39">
        <f>-'Flujo de Caja'!B19+'Valores de Inicio'!B13</f>
        <v>993448</v>
      </c>
      <c r="C9" s="39">
        <f>-'Flujo de Caja'!C19+B9</f>
        <v>993448</v>
      </c>
      <c r="D9" s="39">
        <f>-'Flujo de Caja'!D19+C9</f>
        <v>993448</v>
      </c>
      <c r="E9" s="39">
        <f>-'Flujo de Caja'!E19+D9</f>
        <v>993448</v>
      </c>
      <c r="F9" s="39">
        <f>-'Flujo de Caja'!F19+E9</f>
        <v>993448</v>
      </c>
      <c r="G9" s="39">
        <f>-'Flujo de Caja'!G19+F9</f>
        <v>993448</v>
      </c>
      <c r="H9" s="39">
        <f>-'Flujo de Caja'!H19+G9</f>
        <v>993448</v>
      </c>
      <c r="I9" s="39">
        <f>-'Flujo de Caja'!I19+H9</f>
        <v>993448</v>
      </c>
      <c r="J9" s="39">
        <f>-'Flujo de Caja'!J19+I9</f>
        <v>993448</v>
      </c>
      <c r="K9" s="39">
        <f>-'Flujo de Caja'!K19+J9</f>
        <v>993448</v>
      </c>
      <c r="L9" s="39">
        <f>-'Flujo de Caja'!L19+K9</f>
        <v>993448</v>
      </c>
      <c r="M9" s="39">
        <f>-'Flujo de Caja'!M19+L9</f>
        <v>993448</v>
      </c>
      <c r="N9" s="39">
        <f>M9</f>
        <v>993448</v>
      </c>
      <c r="O9" s="39">
        <f>-'Flujo de Caja'!O19+N9</f>
        <v>993448</v>
      </c>
      <c r="P9" s="39">
        <f>-'Flujo de Caja'!P19+O9</f>
        <v>993448</v>
      </c>
      <c r="Q9" s="39">
        <f>-'Flujo de Caja'!Q19+P9</f>
        <v>993448</v>
      </c>
      <c r="R9" s="39">
        <f>-'Flujo de Caja'!R19+Q9</f>
        <v>993448</v>
      </c>
      <c r="S9" s="39">
        <f>-'Flujo de Caja'!S19+R9</f>
        <v>993448</v>
      </c>
      <c r="T9" s="39">
        <f>-'Flujo de Caja'!T19+S9</f>
        <v>993448</v>
      </c>
      <c r="U9" s="39">
        <f>-'Flujo de Caja'!U19+T9</f>
        <v>993448</v>
      </c>
      <c r="V9" s="39">
        <f>-'Flujo de Caja'!V19+U9</f>
        <v>993448</v>
      </c>
      <c r="W9" s="39">
        <f>-'Flujo de Caja'!W19+V9</f>
        <v>993448</v>
      </c>
      <c r="X9" s="39">
        <f>-'Flujo de Caja'!X19+W9</f>
        <v>993448</v>
      </c>
      <c r="Y9" s="39">
        <f>-'Flujo de Caja'!Y19+X9</f>
        <v>993448</v>
      </c>
      <c r="Z9" s="39">
        <f>-'Flujo de Caja'!Z19+Y9</f>
        <v>993448</v>
      </c>
      <c r="AA9" s="39">
        <f>Z9</f>
        <v>993448</v>
      </c>
      <c r="AB9" s="39">
        <f>-'Flujo de Caja'!AB19+AA9</f>
        <v>993448</v>
      </c>
      <c r="AC9" s="39">
        <f>-'Flujo de Caja'!AC19+AB9</f>
        <v>993448</v>
      </c>
      <c r="AD9" s="39">
        <f>-'Flujo de Caja'!AD19+AC9</f>
        <v>993448</v>
      </c>
    </row>
    <row r="10" spans="1:31" x14ac:dyDescent="0.2">
      <c r="A10" s="39" t="s">
        <v>128</v>
      </c>
      <c r="B10" s="39">
        <f>-'Valores de Inicio'!B14-'Valores de Inicio'!B43-Inversiones!B32</f>
        <v>-3909.7222222222226</v>
      </c>
      <c r="C10" s="39">
        <f>-'Valores de Inicio'!C43-Inversiones!C32+B10</f>
        <v>-7819.4444444444453</v>
      </c>
      <c r="D10" s="39">
        <f>-'Valores de Inicio'!D43-Inversiones!D32+C10</f>
        <v>-11729.166666666668</v>
      </c>
      <c r="E10" s="39">
        <f>-'Valores de Inicio'!E43-Inversiones!E32+D10</f>
        <v>-15638.888888888891</v>
      </c>
      <c r="F10" s="39">
        <f>-'Valores de Inicio'!F43-Inversiones!F32+E10</f>
        <v>-19548.611111111113</v>
      </c>
      <c r="G10" s="39">
        <f>-'Valores de Inicio'!G43-Inversiones!G32+F10</f>
        <v>-23458.333333333336</v>
      </c>
      <c r="H10" s="39">
        <f>-'Valores de Inicio'!H43-Inversiones!H32+G10</f>
        <v>-27368.055555555558</v>
      </c>
      <c r="I10" s="39">
        <f>-'Valores de Inicio'!I43-Inversiones!I32+H10</f>
        <v>-31277.777777777781</v>
      </c>
      <c r="J10" s="39">
        <f>-'Valores de Inicio'!J43-Inversiones!J32+I10</f>
        <v>-35187.5</v>
      </c>
      <c r="K10" s="39">
        <f>-'Valores de Inicio'!K43-Inversiones!K32+J10</f>
        <v>-39097.222222222219</v>
      </c>
      <c r="L10" s="39">
        <f>-'Valores de Inicio'!L43-Inversiones!L32+K10</f>
        <v>-43006.944444444438</v>
      </c>
      <c r="M10" s="39">
        <f>-'Valores de Inicio'!M43-Inversiones!M32+L10</f>
        <v>-46916.666666666657</v>
      </c>
      <c r="N10" s="39">
        <f>M10</f>
        <v>-46916.666666666657</v>
      </c>
      <c r="O10" s="39">
        <f>-'Valores de Inicio'!O43-Inversiones!O32+N10</f>
        <v>-48743.055555555547</v>
      </c>
      <c r="P10" s="39">
        <f>-'Valores de Inicio'!P43-Inversiones!P32+O10</f>
        <v>-50569.444444444438</v>
      </c>
      <c r="Q10" s="39">
        <f>-'Valores de Inicio'!Q43-Inversiones!Q32+P10</f>
        <v>-52395.833333333328</v>
      </c>
      <c r="R10" s="39">
        <f>-'Valores de Inicio'!R43-Inversiones!R32+Q10</f>
        <v>-54222.222222222219</v>
      </c>
      <c r="S10" s="39">
        <f>-'Valores de Inicio'!S43-Inversiones!S32+R10</f>
        <v>-56048.611111111109</v>
      </c>
      <c r="T10" s="39">
        <f>-'Valores de Inicio'!T43-Inversiones!T32+S10</f>
        <v>-57875</v>
      </c>
      <c r="U10" s="39">
        <f>-'Valores de Inicio'!U43-Inversiones!U32+T10</f>
        <v>-59701.388888888891</v>
      </c>
      <c r="V10" s="39">
        <f>-'Valores de Inicio'!V43-Inversiones!V32+U10</f>
        <v>-61527.777777777781</v>
      </c>
      <c r="W10" s="39">
        <f>-'Valores de Inicio'!W43-Inversiones!W32+V10</f>
        <v>-63354.166666666672</v>
      </c>
      <c r="X10" s="39">
        <f>-'Valores de Inicio'!X43-Inversiones!X32+W10</f>
        <v>-65180.555555555562</v>
      </c>
      <c r="Y10" s="39">
        <f>-'Valores de Inicio'!Y43-Inversiones!Y32+X10</f>
        <v>-67006.944444444453</v>
      </c>
      <c r="Z10" s="39">
        <f>-'Valores de Inicio'!Z43-Inversiones!Z32+Y10</f>
        <v>-68833.333333333343</v>
      </c>
      <c r="AA10" s="39">
        <f>Z10</f>
        <v>-68833.333333333343</v>
      </c>
      <c r="AB10" s="39">
        <f>-'Valores de Inicio'!AB43-Inversiones!AB32+AA10</f>
        <v>-88250.000000000015</v>
      </c>
      <c r="AC10" s="39">
        <f>-'Valores de Inicio'!AC43-Inversiones!AC32+AB10</f>
        <v>-107666.66666666669</v>
      </c>
      <c r="AD10" s="39">
        <f>-'Valores de Inicio'!AD43-Inversiones!AD32+AC10</f>
        <v>-125833.33333333336</v>
      </c>
    </row>
    <row r="11" spans="1:31" x14ac:dyDescent="0.2">
      <c r="A11" s="86" t="s">
        <v>111</v>
      </c>
      <c r="B11" s="86">
        <f t="shared" ref="B11:AD11" si="3">SUM(B9:B10)</f>
        <v>989538.27777777775</v>
      </c>
      <c r="C11" s="86">
        <f t="shared" si="3"/>
        <v>985628.5555555555</v>
      </c>
      <c r="D11" s="86">
        <f t="shared" si="3"/>
        <v>981718.83333333337</v>
      </c>
      <c r="E11" s="86">
        <f t="shared" si="3"/>
        <v>977809.11111111112</v>
      </c>
      <c r="F11" s="86">
        <f t="shared" si="3"/>
        <v>973899.38888888888</v>
      </c>
      <c r="G11" s="86">
        <f t="shared" si="3"/>
        <v>969989.66666666663</v>
      </c>
      <c r="H11" s="86">
        <f t="shared" si="3"/>
        <v>966079.9444444445</v>
      </c>
      <c r="I11" s="86">
        <f t="shared" si="3"/>
        <v>962170.22222222225</v>
      </c>
      <c r="J11" s="86">
        <f t="shared" si="3"/>
        <v>958260.5</v>
      </c>
      <c r="K11" s="86">
        <f t="shared" si="3"/>
        <v>954350.77777777775</v>
      </c>
      <c r="L11" s="86">
        <f t="shared" si="3"/>
        <v>950441.0555555555</v>
      </c>
      <c r="M11" s="86">
        <f t="shared" si="3"/>
        <v>946531.33333333337</v>
      </c>
      <c r="N11" s="86">
        <f t="shared" si="3"/>
        <v>946531.33333333337</v>
      </c>
      <c r="O11" s="86">
        <f t="shared" si="3"/>
        <v>944704.9444444445</v>
      </c>
      <c r="P11" s="86">
        <f t="shared" si="3"/>
        <v>942878.5555555555</v>
      </c>
      <c r="Q11" s="86">
        <f t="shared" si="3"/>
        <v>941052.16666666663</v>
      </c>
      <c r="R11" s="86">
        <f t="shared" si="3"/>
        <v>939225.77777777775</v>
      </c>
      <c r="S11" s="86">
        <f t="shared" si="3"/>
        <v>937399.38888888888</v>
      </c>
      <c r="T11" s="86">
        <f t="shared" si="3"/>
        <v>935573</v>
      </c>
      <c r="U11" s="86">
        <f t="shared" si="3"/>
        <v>933746.61111111112</v>
      </c>
      <c r="V11" s="86">
        <f t="shared" si="3"/>
        <v>931920.22222222225</v>
      </c>
      <c r="W11" s="86">
        <f t="shared" si="3"/>
        <v>930093.83333333337</v>
      </c>
      <c r="X11" s="86">
        <f t="shared" si="3"/>
        <v>928267.4444444445</v>
      </c>
      <c r="Y11" s="86">
        <f t="shared" si="3"/>
        <v>926441.0555555555</v>
      </c>
      <c r="Z11" s="86">
        <f t="shared" si="3"/>
        <v>924614.66666666663</v>
      </c>
      <c r="AA11" s="86">
        <f t="shared" si="3"/>
        <v>924614.66666666663</v>
      </c>
      <c r="AB11" s="86">
        <f t="shared" si="3"/>
        <v>905198</v>
      </c>
      <c r="AC11" s="86">
        <f t="shared" si="3"/>
        <v>885781.33333333326</v>
      </c>
      <c r="AD11" s="86">
        <f t="shared" si="3"/>
        <v>867614.66666666663</v>
      </c>
    </row>
    <row r="12" spans="1:31" ht="15" x14ac:dyDescent="0.25">
      <c r="A12" s="174" t="s">
        <v>75</v>
      </c>
      <c r="B12" s="174">
        <f t="shared" ref="B12:AD12" si="4">B7+B11</f>
        <v>4405688.858301241</v>
      </c>
      <c r="C12" s="174">
        <f t="shared" si="4"/>
        <v>5181791.7166024819</v>
      </c>
      <c r="D12" s="174">
        <f t="shared" si="4"/>
        <v>5957894.5749037238</v>
      </c>
      <c r="E12" s="174">
        <f t="shared" si="4"/>
        <v>6733997.4332049657</v>
      </c>
      <c r="F12" s="174">
        <f t="shared" si="4"/>
        <v>7510100.2915062075</v>
      </c>
      <c r="G12" s="174">
        <f t="shared" si="4"/>
        <v>8286203.1498074494</v>
      </c>
      <c r="H12" s="174">
        <f t="shared" si="4"/>
        <v>9062306.0081086904</v>
      </c>
      <c r="I12" s="174">
        <f t="shared" si="4"/>
        <v>9838408.8664099313</v>
      </c>
      <c r="J12" s="174">
        <f t="shared" si="4"/>
        <v>10614511.724711172</v>
      </c>
      <c r="K12" s="174">
        <f t="shared" si="4"/>
        <v>11422536.204212412</v>
      </c>
      <c r="L12" s="174">
        <f t="shared" si="4"/>
        <v>12230560.683713652</v>
      </c>
      <c r="M12" s="174">
        <f t="shared" si="4"/>
        <v>13038585.163214892</v>
      </c>
      <c r="N12" s="174">
        <f t="shared" si="4"/>
        <v>13038585.163214892</v>
      </c>
      <c r="O12" s="174">
        <f t="shared" si="4"/>
        <v>13194601.672105026</v>
      </c>
      <c r="P12" s="174">
        <f t="shared" si="4"/>
        <v>13350618.180995155</v>
      </c>
      <c r="Q12" s="174">
        <f t="shared" si="4"/>
        <v>13506634.689885283</v>
      </c>
      <c r="R12" s="174">
        <f t="shared" si="4"/>
        <v>13662651.198775413</v>
      </c>
      <c r="S12" s="174">
        <f t="shared" si="4"/>
        <v>13818667.70766554</v>
      </c>
      <c r="T12" s="174">
        <f t="shared" si="4"/>
        <v>14049197.101587763</v>
      </c>
      <c r="U12" s="174">
        <f t="shared" si="4"/>
        <v>14279726.495509986</v>
      </c>
      <c r="V12" s="174">
        <f t="shared" si="4"/>
        <v>14510255.889432207</v>
      </c>
      <c r="W12" s="174">
        <f t="shared" si="4"/>
        <v>14740785.28335443</v>
      </c>
      <c r="X12" s="174">
        <f t="shared" si="4"/>
        <v>14978414.353769651</v>
      </c>
      <c r="Y12" s="174">
        <f t="shared" si="4"/>
        <v>15216043.689784875</v>
      </c>
      <c r="Z12" s="174">
        <f t="shared" si="4"/>
        <v>15453673.025800098</v>
      </c>
      <c r="AA12" s="174">
        <f t="shared" si="4"/>
        <v>15453673.025800098</v>
      </c>
      <c r="AB12" s="174">
        <f t="shared" si="4"/>
        <v>43548010.037978403</v>
      </c>
      <c r="AC12" s="174">
        <f t="shared" si="4"/>
        <v>88455474.323774546</v>
      </c>
      <c r="AD12" s="174">
        <f t="shared" si="4"/>
        <v>159509615.81847179</v>
      </c>
    </row>
    <row r="13" spans="1:31" x14ac:dyDescent="0.2">
      <c r="A13" s="165"/>
    </row>
    <row r="14" spans="1:31" x14ac:dyDescent="0.2">
      <c r="A14" s="165"/>
    </row>
    <row r="15" spans="1:31" x14ac:dyDescent="0.2">
      <c r="A15" s="39" t="s">
        <v>131</v>
      </c>
      <c r="B15" s="39">
        <f>'Flujo de Caja'!B14+'Valores de Inicio'!B18</f>
        <v>0</v>
      </c>
      <c r="C15" s="39">
        <f>'Flujo de Caja'!C14+B15</f>
        <v>0</v>
      </c>
      <c r="D15" s="39">
        <f>'Flujo de Caja'!D14+C15</f>
        <v>0</v>
      </c>
      <c r="E15" s="39">
        <f>'Flujo de Caja'!E14+D15</f>
        <v>0</v>
      </c>
      <c r="F15" s="39">
        <f>'Flujo de Caja'!F14+E15</f>
        <v>0</v>
      </c>
      <c r="G15" s="39">
        <f>'Flujo de Caja'!G14+F15</f>
        <v>0</v>
      </c>
      <c r="H15" s="39">
        <f>'Flujo de Caja'!H14+G15</f>
        <v>0</v>
      </c>
      <c r="I15" s="39">
        <f>'Flujo de Caja'!I14+H15</f>
        <v>0</v>
      </c>
      <c r="J15" s="39">
        <f>'Flujo de Caja'!J14+I15</f>
        <v>0</v>
      </c>
      <c r="K15" s="39">
        <f>'Flujo de Caja'!K14+J15</f>
        <v>0</v>
      </c>
      <c r="L15" s="39">
        <f>'Flujo de Caja'!L14+K15</f>
        <v>0</v>
      </c>
      <c r="M15" s="39">
        <f>'Flujo de Caja'!M14+L15</f>
        <v>0</v>
      </c>
      <c r="N15" s="39">
        <f>M15</f>
        <v>0</v>
      </c>
      <c r="O15" s="39">
        <f>'Flujo de Caja'!O14+N15</f>
        <v>0</v>
      </c>
      <c r="P15" s="39">
        <f>'Flujo de Caja'!P14+O15</f>
        <v>0</v>
      </c>
      <c r="Q15" s="39">
        <f>'Flujo de Caja'!Q14+P15</f>
        <v>0</v>
      </c>
      <c r="R15" s="39">
        <f>'Flujo de Caja'!R14+Q15</f>
        <v>0</v>
      </c>
      <c r="S15" s="39">
        <f>'Flujo de Caja'!S14+R15</f>
        <v>0</v>
      </c>
      <c r="T15" s="39">
        <f>'Flujo de Caja'!T14+S15</f>
        <v>0</v>
      </c>
      <c r="U15" s="39">
        <f>'Flujo de Caja'!U14+T15</f>
        <v>0</v>
      </c>
      <c r="V15" s="39">
        <f>'Flujo de Caja'!V14+U15</f>
        <v>0</v>
      </c>
      <c r="W15" s="39">
        <f>'Flujo de Caja'!W14+V15</f>
        <v>0</v>
      </c>
      <c r="X15" s="39">
        <f>'Flujo de Caja'!X14+W15</f>
        <v>0</v>
      </c>
      <c r="Y15" s="39">
        <f>'Flujo de Caja'!Y14+X15</f>
        <v>0</v>
      </c>
      <c r="Z15" s="39">
        <f>'Flujo de Caja'!Z14+Y15</f>
        <v>0</v>
      </c>
      <c r="AA15" s="39">
        <f>Z15</f>
        <v>0</v>
      </c>
      <c r="AB15" s="39">
        <f>'Flujo de Caja'!AB14+AA15</f>
        <v>0</v>
      </c>
      <c r="AC15" s="39">
        <f>'Flujo de Caja'!AC14+AB15</f>
        <v>0</v>
      </c>
      <c r="AD15" s="39">
        <f>'Flujo de Caja'!AD14+AC15</f>
        <v>0</v>
      </c>
    </row>
    <row r="16" spans="1:31" x14ac:dyDescent="0.2">
      <c r="A16" s="39" t="s">
        <v>36</v>
      </c>
      <c r="B16" s="39">
        <f>Financiamiento!B10-Financiamiento!B11+'Valores de Inicio'!B19-'Valores de Inicio'!B55</f>
        <v>0</v>
      </c>
      <c r="C16" s="39">
        <f>Financiamiento!C10-Financiamiento!C11-'Valores de Inicio'!C55+B16</f>
        <v>0</v>
      </c>
      <c r="D16" s="39">
        <f>Financiamiento!D10-Financiamiento!D11-'Valores de Inicio'!D55+C16</f>
        <v>0</v>
      </c>
      <c r="E16" s="39">
        <f>Financiamiento!E10-Financiamiento!E11-'Valores de Inicio'!E55+D16</f>
        <v>0</v>
      </c>
      <c r="F16" s="39">
        <f>Financiamiento!F10-Financiamiento!F11-'Valores de Inicio'!F55+E16</f>
        <v>0</v>
      </c>
      <c r="G16" s="39">
        <f>Financiamiento!G10-Financiamiento!G11-'Valores de Inicio'!G55+F16</f>
        <v>0</v>
      </c>
      <c r="H16" s="39">
        <f>Financiamiento!H10-Financiamiento!H11-'Valores de Inicio'!H55+G16</f>
        <v>0</v>
      </c>
      <c r="I16" s="39">
        <f>Financiamiento!I10-Financiamiento!I11-'Valores de Inicio'!I55+H16</f>
        <v>0</v>
      </c>
      <c r="J16" s="39">
        <f>Financiamiento!J10-Financiamiento!J11-'Valores de Inicio'!J55+I16</f>
        <v>0</v>
      </c>
      <c r="K16" s="39">
        <f>Financiamiento!K10-Financiamiento!K11-'Valores de Inicio'!K55+J16</f>
        <v>0</v>
      </c>
      <c r="L16" s="39">
        <f>Financiamiento!L10-Financiamiento!L11-'Valores de Inicio'!L55+K16</f>
        <v>0</v>
      </c>
      <c r="M16" s="39">
        <f>Financiamiento!M10-Financiamiento!M11-'Valores de Inicio'!M55+L16</f>
        <v>0</v>
      </c>
      <c r="N16" s="39">
        <f>M16</f>
        <v>0</v>
      </c>
      <c r="O16" s="39">
        <f>Financiamiento!O10-Financiamiento!O11-'Valores de Inicio'!O55+N16</f>
        <v>0</v>
      </c>
      <c r="P16" s="39">
        <f>Financiamiento!P10-Financiamiento!P11-'Valores de Inicio'!P55+O16</f>
        <v>0</v>
      </c>
      <c r="Q16" s="39">
        <f>Financiamiento!Q10-Financiamiento!Q11-'Valores de Inicio'!Q55+P16</f>
        <v>0</v>
      </c>
      <c r="R16" s="39">
        <f>Financiamiento!R10-Financiamiento!R11-'Valores de Inicio'!R55+Q16</f>
        <v>0</v>
      </c>
      <c r="S16" s="39">
        <f>Financiamiento!S10-Financiamiento!S11-'Valores de Inicio'!S55+R16</f>
        <v>0</v>
      </c>
      <c r="T16" s="39">
        <f>Financiamiento!T10-Financiamiento!T11-'Valores de Inicio'!T55+S16</f>
        <v>0</v>
      </c>
      <c r="U16" s="39">
        <f>Financiamiento!U10-Financiamiento!U11-'Valores de Inicio'!U55+T16</f>
        <v>0</v>
      </c>
      <c r="V16" s="39">
        <f>Financiamiento!V10-Financiamiento!V11-'Valores de Inicio'!V55+U16</f>
        <v>0</v>
      </c>
      <c r="W16" s="39">
        <f>Financiamiento!W10-Financiamiento!W11-'Valores de Inicio'!W55+V16</f>
        <v>0</v>
      </c>
      <c r="X16" s="39">
        <f>Financiamiento!X10-Financiamiento!X11-'Valores de Inicio'!X55+W16</f>
        <v>0</v>
      </c>
      <c r="Y16" s="39">
        <f>Financiamiento!Y10-Financiamiento!Y11-'Valores de Inicio'!Y55+X16</f>
        <v>0</v>
      </c>
      <c r="Z16" s="39">
        <f>Financiamiento!Z10-Financiamiento!Z11-'Valores de Inicio'!Z55+Y16</f>
        <v>0</v>
      </c>
      <c r="AA16" s="39">
        <f>Z16</f>
        <v>0</v>
      </c>
      <c r="AB16" s="39">
        <f>Financiamiento!AB10-Financiamiento!AB11-'Valores de Inicio'!AB55+AA16</f>
        <v>0</v>
      </c>
      <c r="AC16" s="39">
        <f>Financiamiento!AC10-Financiamiento!AC11-'Valores de Inicio'!AC55+AB16</f>
        <v>0</v>
      </c>
      <c r="AD16" s="39">
        <f>Financiamiento!AD10-Financiamiento!AD11-'Valores de Inicio'!AD55+AC16</f>
        <v>0</v>
      </c>
    </row>
    <row r="17" spans="1:30" x14ac:dyDescent="0.2">
      <c r="A17" s="86" t="s">
        <v>216</v>
      </c>
      <c r="B17" s="86">
        <f t="shared" ref="B17:AD17" si="5">SUM(B15:B16)</f>
        <v>0</v>
      </c>
      <c r="C17" s="86">
        <f t="shared" si="5"/>
        <v>0</v>
      </c>
      <c r="D17" s="86">
        <f t="shared" si="5"/>
        <v>0</v>
      </c>
      <c r="E17" s="86">
        <f t="shared" si="5"/>
        <v>0</v>
      </c>
      <c r="F17" s="86">
        <f t="shared" si="5"/>
        <v>0</v>
      </c>
      <c r="G17" s="86">
        <f t="shared" si="5"/>
        <v>0</v>
      </c>
      <c r="H17" s="86">
        <f t="shared" si="5"/>
        <v>0</v>
      </c>
      <c r="I17" s="86">
        <f t="shared" si="5"/>
        <v>0</v>
      </c>
      <c r="J17" s="86">
        <f t="shared" si="5"/>
        <v>0</v>
      </c>
      <c r="K17" s="86">
        <f t="shared" si="5"/>
        <v>0</v>
      </c>
      <c r="L17" s="86">
        <f t="shared" si="5"/>
        <v>0</v>
      </c>
      <c r="M17" s="86">
        <f t="shared" si="5"/>
        <v>0</v>
      </c>
      <c r="N17" s="86">
        <f t="shared" si="5"/>
        <v>0</v>
      </c>
      <c r="O17" s="86">
        <f t="shared" si="5"/>
        <v>0</v>
      </c>
      <c r="P17" s="86">
        <f t="shared" si="5"/>
        <v>0</v>
      </c>
      <c r="Q17" s="86">
        <f t="shared" si="5"/>
        <v>0</v>
      </c>
      <c r="R17" s="86">
        <f t="shared" si="5"/>
        <v>0</v>
      </c>
      <c r="S17" s="86">
        <f t="shared" si="5"/>
        <v>0</v>
      </c>
      <c r="T17" s="86">
        <f t="shared" si="5"/>
        <v>0</v>
      </c>
      <c r="U17" s="86">
        <f t="shared" si="5"/>
        <v>0</v>
      </c>
      <c r="V17" s="86">
        <f t="shared" si="5"/>
        <v>0</v>
      </c>
      <c r="W17" s="86">
        <f t="shared" si="5"/>
        <v>0</v>
      </c>
      <c r="X17" s="86">
        <f t="shared" si="5"/>
        <v>0</v>
      </c>
      <c r="Y17" s="86">
        <f t="shared" si="5"/>
        <v>0</v>
      </c>
      <c r="Z17" s="86">
        <f t="shared" si="5"/>
        <v>0</v>
      </c>
      <c r="AA17" s="86">
        <f t="shared" si="5"/>
        <v>0</v>
      </c>
      <c r="AB17" s="86">
        <f t="shared" si="5"/>
        <v>0</v>
      </c>
      <c r="AC17" s="86">
        <f t="shared" si="5"/>
        <v>0</v>
      </c>
      <c r="AD17" s="86">
        <f t="shared" si="5"/>
        <v>0</v>
      </c>
    </row>
    <row r="18" spans="1:30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</row>
    <row r="19" spans="1:30" x14ac:dyDescent="0.2">
      <c r="A19" s="39" t="s">
        <v>23</v>
      </c>
      <c r="B19" s="54">
        <f>Financiamiento!B18-Financiamiento!B19+'Valores de Inicio'!B22-'Valores de Inicio'!B62</f>
        <v>3279539.3449679078</v>
      </c>
      <c r="C19" s="54">
        <f>Financiamiento!C18-Financiamiento!C19-'Valores de Inicio'!B62+B19</f>
        <v>3157940.6899358155</v>
      </c>
      <c r="D19" s="54">
        <f>Financiamiento!D18-Financiamiento!D19-'Valores de Inicio'!C62+C19</f>
        <v>3036342.0349037233</v>
      </c>
      <c r="E19" s="54">
        <f>Financiamiento!E18-Financiamiento!E19-'Valores de Inicio'!D62+D19</f>
        <v>2914743.379871631</v>
      </c>
      <c r="F19" s="54">
        <f>Financiamiento!F18-Financiamiento!F19-'Valores de Inicio'!E62+E19</f>
        <v>2793144.7248395388</v>
      </c>
      <c r="G19" s="54">
        <f>Financiamiento!G18-Financiamiento!G19-'Valores de Inicio'!F62+F19</f>
        <v>2671546.0698074466</v>
      </c>
      <c r="H19" s="54">
        <f>Financiamiento!H18-Financiamiento!H19-'Valores de Inicio'!G62+G19</f>
        <v>2549947.4147753543</v>
      </c>
      <c r="I19" s="54">
        <f>Financiamiento!I18-Financiamiento!I19-'Valores de Inicio'!H62+H19</f>
        <v>2428348.7597432621</v>
      </c>
      <c r="J19" s="54">
        <f>Financiamiento!J18-Financiamiento!J19-'Valores de Inicio'!I62+I19</f>
        <v>2306750.1047111698</v>
      </c>
      <c r="K19" s="54">
        <f>Financiamiento!K18-Financiamiento!K19-'Valores de Inicio'!J62+J19</f>
        <v>2185151.4496790776</v>
      </c>
      <c r="L19" s="54">
        <f>Financiamiento!L18-Financiamiento!L19-'Valores de Inicio'!K62+K19</f>
        <v>2063552.7946469854</v>
      </c>
      <c r="M19" s="54">
        <f>Financiamiento!M18-Financiamiento!M19-'Valores de Inicio'!L62+L19</f>
        <v>1941954.1396148931</v>
      </c>
      <c r="N19" s="54">
        <f>M19</f>
        <v>1941954.1396148931</v>
      </c>
      <c r="O19" s="54">
        <f>Financiamiento!O18-Financiamiento!O19-'Valores de Inicio'!O62+N19</f>
        <v>1820355.4845828009</v>
      </c>
      <c r="P19" s="54">
        <f>Financiamiento!P18-Financiamiento!P19-'Valores de Inicio'!P62+O19</f>
        <v>1698756.8295507086</v>
      </c>
      <c r="Q19" s="54">
        <f>Financiamiento!Q18-Financiamiento!Q19-'Valores de Inicio'!Q62+P19</f>
        <v>1577158.1745186164</v>
      </c>
      <c r="R19" s="54">
        <f>Financiamiento!R18-Financiamiento!R19-'Valores de Inicio'!R62+Q19</f>
        <v>1455559.5194865242</v>
      </c>
      <c r="S19" s="54">
        <f>Financiamiento!S18-Financiamiento!S19-'Valores de Inicio'!S62+R19</f>
        <v>1333960.8644544319</v>
      </c>
      <c r="T19" s="54">
        <f>Financiamiento!T18-Financiamiento!T19-'Valores de Inicio'!T62+S19</f>
        <v>1286875.0944544319</v>
      </c>
      <c r="U19" s="54">
        <f>Financiamiento!U18-Financiamiento!U19-'Valores de Inicio'!U62+T19</f>
        <v>1239789.3244544319</v>
      </c>
      <c r="V19" s="54">
        <f>Financiamiento!V18-Financiamiento!V19-'Valores de Inicio'!V62+U19</f>
        <v>1192703.5544544319</v>
      </c>
      <c r="W19" s="54">
        <f>Financiamiento!W18-Financiamiento!W19-'Valores de Inicio'!W62+V19</f>
        <v>1145617.7844544319</v>
      </c>
      <c r="X19" s="54">
        <f>Financiamiento!X18-Financiamiento!X19-'Valores de Inicio'!X62+W19</f>
        <v>1098532.0144544318</v>
      </c>
      <c r="Y19" s="54">
        <f>Financiamiento!Y18-Financiamiento!Y19-'Valores de Inicio'!Y62+X19</f>
        <v>1051446.2444544318</v>
      </c>
      <c r="Z19" s="54">
        <f>Financiamiento!Z18-Financiamiento!Z19-'Valores de Inicio'!Z62+Y19</f>
        <v>1004360.4744544318</v>
      </c>
      <c r="AA19" s="54">
        <f>Z19</f>
        <v>1004360.4744544318</v>
      </c>
      <c r="AB19" s="54">
        <f>Financiamiento!AB18-Financiamiento!AB19-'Valores de Inicio'!AB62+AA19</f>
        <v>521590.47445443179</v>
      </c>
      <c r="AC19" s="54">
        <f>Financiamiento!AC18-Financiamiento!AC19-'Valores de Inicio'!AC62+AB19</f>
        <v>521590.47445443179</v>
      </c>
      <c r="AD19" s="54">
        <f>Financiamiento!AD18-Financiamiento!AD19-'Valores de Inicio'!AD62+AC19</f>
        <v>521590.47445443179</v>
      </c>
    </row>
    <row r="20" spans="1:30" x14ac:dyDescent="0.2">
      <c r="A20" s="86" t="s">
        <v>218</v>
      </c>
      <c r="B20" s="86">
        <f t="shared" ref="B20:AD20" si="6">B19</f>
        <v>3279539.3449679078</v>
      </c>
      <c r="C20" s="86">
        <f t="shared" si="6"/>
        <v>3157940.6899358155</v>
      </c>
      <c r="D20" s="86">
        <f t="shared" si="6"/>
        <v>3036342.0349037233</v>
      </c>
      <c r="E20" s="86">
        <f t="shared" si="6"/>
        <v>2914743.379871631</v>
      </c>
      <c r="F20" s="86">
        <f t="shared" si="6"/>
        <v>2793144.7248395388</v>
      </c>
      <c r="G20" s="86">
        <f t="shared" si="6"/>
        <v>2671546.0698074466</v>
      </c>
      <c r="H20" s="86">
        <f t="shared" si="6"/>
        <v>2549947.4147753543</v>
      </c>
      <c r="I20" s="86">
        <f t="shared" si="6"/>
        <v>2428348.7597432621</v>
      </c>
      <c r="J20" s="86">
        <f t="shared" si="6"/>
        <v>2306750.1047111698</v>
      </c>
      <c r="K20" s="86">
        <f t="shared" si="6"/>
        <v>2185151.4496790776</v>
      </c>
      <c r="L20" s="86">
        <f t="shared" si="6"/>
        <v>2063552.7946469854</v>
      </c>
      <c r="M20" s="86">
        <f t="shared" si="6"/>
        <v>1941954.1396148931</v>
      </c>
      <c r="N20" s="86">
        <f t="shared" si="6"/>
        <v>1941954.1396148931</v>
      </c>
      <c r="O20" s="86">
        <f t="shared" si="6"/>
        <v>1820355.4845828009</v>
      </c>
      <c r="P20" s="86">
        <f t="shared" si="6"/>
        <v>1698756.8295507086</v>
      </c>
      <c r="Q20" s="86">
        <f t="shared" si="6"/>
        <v>1577158.1745186164</v>
      </c>
      <c r="R20" s="86">
        <f t="shared" si="6"/>
        <v>1455559.5194865242</v>
      </c>
      <c r="S20" s="86">
        <f t="shared" si="6"/>
        <v>1333960.8644544319</v>
      </c>
      <c r="T20" s="86">
        <f t="shared" si="6"/>
        <v>1286875.0944544319</v>
      </c>
      <c r="U20" s="86">
        <f t="shared" si="6"/>
        <v>1239789.3244544319</v>
      </c>
      <c r="V20" s="86">
        <f t="shared" si="6"/>
        <v>1192703.5544544319</v>
      </c>
      <c r="W20" s="86">
        <f t="shared" si="6"/>
        <v>1145617.7844544319</v>
      </c>
      <c r="X20" s="86">
        <f t="shared" si="6"/>
        <v>1098532.0144544318</v>
      </c>
      <c r="Y20" s="86">
        <f t="shared" si="6"/>
        <v>1051446.2444544318</v>
      </c>
      <c r="Z20" s="86">
        <f t="shared" si="6"/>
        <v>1004360.4744544318</v>
      </c>
      <c r="AA20" s="86">
        <f t="shared" si="6"/>
        <v>1004360.4744544318</v>
      </c>
      <c r="AB20" s="86">
        <f t="shared" si="6"/>
        <v>521590.47445443179</v>
      </c>
      <c r="AC20" s="86">
        <f t="shared" si="6"/>
        <v>521590.47445443179</v>
      </c>
      <c r="AD20" s="86">
        <f t="shared" si="6"/>
        <v>521590.47445443179</v>
      </c>
    </row>
    <row r="21" spans="1:30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</row>
    <row r="22" spans="1:30" x14ac:dyDescent="0.2">
      <c r="A22" s="39" t="s">
        <v>207</v>
      </c>
      <c r="B22" s="39">
        <f>'Flujo de Caja'!B23+'Flujo de Caja'!B24+'Valores de Inicio'!B25+'Valores de Inicio'!B26</f>
        <v>0</v>
      </c>
      <c r="C22" s="39">
        <f>'Flujo de Caja'!C23+'Flujo de Caja'!C24+B22</f>
        <v>0</v>
      </c>
      <c r="D22" s="39">
        <f>'Flujo de Caja'!D23+'Flujo de Caja'!D24+C22</f>
        <v>0</v>
      </c>
      <c r="E22" s="39">
        <f>'Flujo de Caja'!E23+'Flujo de Caja'!E24+D22</f>
        <v>0</v>
      </c>
      <c r="F22" s="39">
        <f>'Flujo de Caja'!F23+'Flujo de Caja'!F24+E22</f>
        <v>0</v>
      </c>
      <c r="G22" s="39">
        <f>'Flujo de Caja'!G23+'Flujo de Caja'!G24+F22</f>
        <v>0</v>
      </c>
      <c r="H22" s="39">
        <f>'Flujo de Caja'!H23+'Flujo de Caja'!H24+G22</f>
        <v>0</v>
      </c>
      <c r="I22" s="39">
        <f>'Flujo de Caja'!I23+'Flujo de Caja'!I24+H22</f>
        <v>0</v>
      </c>
      <c r="J22" s="39">
        <f>'Flujo de Caja'!J23+'Flujo de Caja'!J24+I22</f>
        <v>0</v>
      </c>
      <c r="K22" s="39">
        <f>'Flujo de Caja'!K23+'Flujo de Caja'!K24+J22</f>
        <v>0</v>
      </c>
      <c r="L22" s="39">
        <f>'Flujo de Caja'!L23+'Flujo de Caja'!L24+K22</f>
        <v>0</v>
      </c>
      <c r="M22" s="39">
        <f>'Flujo de Caja'!M23+'Flujo de Caja'!M24+L22</f>
        <v>0</v>
      </c>
      <c r="N22" s="39">
        <f>M22</f>
        <v>0</v>
      </c>
      <c r="O22" s="39">
        <f>'Flujo de Caja'!O23+'Flujo de Caja'!O24+N22</f>
        <v>0</v>
      </c>
      <c r="P22" s="39">
        <f>'Flujo de Caja'!P23+'Flujo de Caja'!P24+O22</f>
        <v>0</v>
      </c>
      <c r="Q22" s="39">
        <f>'Flujo de Caja'!Q23+'Flujo de Caja'!Q24+P22</f>
        <v>0</v>
      </c>
      <c r="R22" s="39">
        <f>'Flujo de Caja'!R23+'Flujo de Caja'!R24+Q22</f>
        <v>0</v>
      </c>
      <c r="S22" s="39">
        <f>'Flujo de Caja'!S23+'Flujo de Caja'!S24+R22</f>
        <v>0</v>
      </c>
      <c r="T22" s="39">
        <f>'Flujo de Caja'!T23+'Flujo de Caja'!T24+S22</f>
        <v>0</v>
      </c>
      <c r="U22" s="39">
        <f>'Flujo de Caja'!U23+'Flujo de Caja'!U24+T22</f>
        <v>0</v>
      </c>
      <c r="V22" s="39">
        <f>'Flujo de Caja'!V23+'Flujo de Caja'!V24+U22</f>
        <v>0</v>
      </c>
      <c r="W22" s="39">
        <f>'Flujo de Caja'!W23+'Flujo de Caja'!W24+V22</f>
        <v>0</v>
      </c>
      <c r="X22" s="39">
        <f>'Flujo de Caja'!X23+'Flujo de Caja'!X24+W22</f>
        <v>0</v>
      </c>
      <c r="Y22" s="39">
        <f>'Flujo de Caja'!Y23+'Flujo de Caja'!Y24+X22</f>
        <v>0</v>
      </c>
      <c r="Z22" s="39">
        <f>'Flujo de Caja'!Z23+'Flujo de Caja'!Z24+Y22</f>
        <v>0</v>
      </c>
      <c r="AA22" s="39">
        <f>Z22</f>
        <v>0</v>
      </c>
      <c r="AB22" s="39">
        <f>'Flujo de Caja'!AB23+'Flujo de Caja'!AB24+AA22</f>
        <v>0</v>
      </c>
      <c r="AC22" s="39">
        <f>'Flujo de Caja'!AC23+'Flujo de Caja'!AC24+AB22</f>
        <v>0</v>
      </c>
      <c r="AD22" s="39">
        <f>'Flujo de Caja'!AD23+'Flujo de Caja'!AD24+AC22</f>
        <v>0</v>
      </c>
    </row>
    <row r="23" spans="1:30" x14ac:dyDescent="0.2">
      <c r="A23" s="39" t="s">
        <v>214</v>
      </c>
      <c r="B23" s="39">
        <f>'Estado Resultados'!B17+'Valores de Inicio'!B27</f>
        <v>1126149.5133333332</v>
      </c>
      <c r="C23" s="39">
        <f>'Estado Resultados'!C17+B23</f>
        <v>2023851.0266666664</v>
      </c>
      <c r="D23" s="39">
        <f>'Estado Resultados'!D17+C23</f>
        <v>2921552.5399999996</v>
      </c>
      <c r="E23" s="39">
        <f>'Estado Resultados'!E17+D23</f>
        <v>3819254.0533333328</v>
      </c>
      <c r="F23" s="39">
        <f>'Estado Resultados'!F17+E23</f>
        <v>4716955.5666666664</v>
      </c>
      <c r="G23" s="39">
        <f>'Estado Resultados'!G17+F23</f>
        <v>5614657.0800000001</v>
      </c>
      <c r="H23" s="39">
        <f>'Estado Resultados'!H17+G23</f>
        <v>6512358.5933333337</v>
      </c>
      <c r="I23" s="39">
        <f>'Estado Resultados'!I17+H23</f>
        <v>7410060.1066666674</v>
      </c>
      <c r="J23" s="39">
        <f>'Estado Resultados'!J17+I23</f>
        <v>8307761.620000001</v>
      </c>
      <c r="K23" s="39">
        <f>'Estado Resultados'!K17+J23</f>
        <v>9237384.7545333337</v>
      </c>
      <c r="L23" s="39">
        <f>'Estado Resultados'!L17+K23</f>
        <v>10167007.889066666</v>
      </c>
      <c r="M23" s="39">
        <f>'Estado Resultados'!M17+L23</f>
        <v>11096631.023599999</v>
      </c>
      <c r="N23" s="39">
        <f>M23</f>
        <v>11096631.023599999</v>
      </c>
      <c r="O23" s="39">
        <f>'Estado Resultados'!O17+N23</f>
        <v>11374246.187522221</v>
      </c>
      <c r="P23" s="39">
        <f>'Estado Resultados'!P17+O23</f>
        <v>11651861.351444444</v>
      </c>
      <c r="Q23" s="39">
        <f>'Estado Resultados'!Q17+P23</f>
        <v>11929476.515366666</v>
      </c>
      <c r="R23" s="39">
        <f>'Estado Resultados'!R17+Q23</f>
        <v>12207091.679288888</v>
      </c>
      <c r="S23" s="39">
        <f>'Estado Resultados'!S17+R23</f>
        <v>12484706.843211111</v>
      </c>
      <c r="T23" s="39">
        <f>'Estado Resultados'!T17+S23</f>
        <v>12762322.007133333</v>
      </c>
      <c r="U23" s="39">
        <f>'Estado Resultados'!U17+T23</f>
        <v>13039937.171055555</v>
      </c>
      <c r="V23" s="39">
        <f>'Estado Resultados'!V17+U23</f>
        <v>13317552.334977778</v>
      </c>
      <c r="W23" s="39">
        <f>'Estado Resultados'!W17+V23</f>
        <v>13595167.4989</v>
      </c>
      <c r="X23" s="39">
        <f>'Estado Resultados'!X17+W23</f>
        <v>13879882.339315223</v>
      </c>
      <c r="Y23" s="39">
        <f>'Estado Resultados'!Y17+X23</f>
        <v>14164597.445330445</v>
      </c>
      <c r="Z23" s="39">
        <f>'Estado Resultados'!Z17+Y23</f>
        <v>14449312.551345667</v>
      </c>
      <c r="AA23" s="39">
        <f>Z23</f>
        <v>14449312.551345667</v>
      </c>
      <c r="AB23" s="39">
        <f>'Estado Resultados'!AB17+AA23</f>
        <v>43026419.563523971</v>
      </c>
      <c r="AC23" s="39">
        <f>'Estado Resultados'!AC17+AB23</f>
        <v>87933883.849320114</v>
      </c>
      <c r="AD23" s="39">
        <f>'Estado Resultados'!AD17+AC23</f>
        <v>158988025.34401736</v>
      </c>
    </row>
    <row r="24" spans="1:30" x14ac:dyDescent="0.2">
      <c r="A24" s="86" t="s">
        <v>117</v>
      </c>
      <c r="B24" s="86">
        <f t="shared" ref="B24:AD24" si="7">SUM(B22:B23)</f>
        <v>1126149.5133333332</v>
      </c>
      <c r="C24" s="86">
        <f t="shared" si="7"/>
        <v>2023851.0266666664</v>
      </c>
      <c r="D24" s="86">
        <f t="shared" si="7"/>
        <v>2921552.5399999996</v>
      </c>
      <c r="E24" s="86">
        <f t="shared" si="7"/>
        <v>3819254.0533333328</v>
      </c>
      <c r="F24" s="86">
        <f t="shared" si="7"/>
        <v>4716955.5666666664</v>
      </c>
      <c r="G24" s="86">
        <f t="shared" si="7"/>
        <v>5614657.0800000001</v>
      </c>
      <c r="H24" s="86">
        <f t="shared" si="7"/>
        <v>6512358.5933333337</v>
      </c>
      <c r="I24" s="86">
        <f t="shared" si="7"/>
        <v>7410060.1066666674</v>
      </c>
      <c r="J24" s="86">
        <f t="shared" si="7"/>
        <v>8307761.620000001</v>
      </c>
      <c r="K24" s="86">
        <f t="shared" si="7"/>
        <v>9237384.7545333337</v>
      </c>
      <c r="L24" s="86">
        <f t="shared" si="7"/>
        <v>10167007.889066666</v>
      </c>
      <c r="M24" s="86">
        <f t="shared" si="7"/>
        <v>11096631.023599999</v>
      </c>
      <c r="N24" s="86">
        <f t="shared" si="7"/>
        <v>11096631.023599999</v>
      </c>
      <c r="O24" s="86">
        <f t="shared" si="7"/>
        <v>11374246.187522221</v>
      </c>
      <c r="P24" s="86">
        <f t="shared" si="7"/>
        <v>11651861.351444444</v>
      </c>
      <c r="Q24" s="86">
        <f t="shared" si="7"/>
        <v>11929476.515366666</v>
      </c>
      <c r="R24" s="86">
        <f t="shared" si="7"/>
        <v>12207091.679288888</v>
      </c>
      <c r="S24" s="86">
        <f t="shared" si="7"/>
        <v>12484706.843211111</v>
      </c>
      <c r="T24" s="86">
        <f t="shared" si="7"/>
        <v>12762322.007133333</v>
      </c>
      <c r="U24" s="86">
        <f t="shared" si="7"/>
        <v>13039937.171055555</v>
      </c>
      <c r="V24" s="86">
        <f t="shared" si="7"/>
        <v>13317552.334977778</v>
      </c>
      <c r="W24" s="86">
        <f t="shared" si="7"/>
        <v>13595167.4989</v>
      </c>
      <c r="X24" s="86">
        <f t="shared" si="7"/>
        <v>13879882.339315223</v>
      </c>
      <c r="Y24" s="86">
        <f t="shared" si="7"/>
        <v>14164597.445330445</v>
      </c>
      <c r="Z24" s="86">
        <f t="shared" si="7"/>
        <v>14449312.551345667</v>
      </c>
      <c r="AA24" s="86">
        <f t="shared" si="7"/>
        <v>14449312.551345667</v>
      </c>
      <c r="AB24" s="86">
        <f t="shared" si="7"/>
        <v>43026419.563523971</v>
      </c>
      <c r="AC24" s="86">
        <f t="shared" si="7"/>
        <v>87933883.849320114</v>
      </c>
      <c r="AD24" s="86">
        <f t="shared" si="7"/>
        <v>158988025.34401736</v>
      </c>
    </row>
    <row r="25" spans="1:30" ht="15" x14ac:dyDescent="0.25">
      <c r="A25" s="174" t="s">
        <v>186</v>
      </c>
      <c r="B25" s="174">
        <f t="shared" ref="B25:AD25" si="8">B17+B20+B24</f>
        <v>4405688.858301241</v>
      </c>
      <c r="C25" s="174">
        <f t="shared" si="8"/>
        <v>5181791.7166024819</v>
      </c>
      <c r="D25" s="174">
        <f t="shared" si="8"/>
        <v>5957894.5749037229</v>
      </c>
      <c r="E25" s="174">
        <f t="shared" si="8"/>
        <v>6733997.4332049638</v>
      </c>
      <c r="F25" s="174">
        <f t="shared" si="8"/>
        <v>7510100.2915062048</v>
      </c>
      <c r="G25" s="174">
        <f t="shared" si="8"/>
        <v>8286203.1498074466</v>
      </c>
      <c r="H25" s="174">
        <f t="shared" si="8"/>
        <v>9062306.0081086885</v>
      </c>
      <c r="I25" s="174">
        <f t="shared" si="8"/>
        <v>9838408.8664099295</v>
      </c>
      <c r="J25" s="174">
        <f t="shared" si="8"/>
        <v>10614511.72471117</v>
      </c>
      <c r="K25" s="174">
        <f t="shared" si="8"/>
        <v>11422536.204212412</v>
      </c>
      <c r="L25" s="174">
        <f t="shared" si="8"/>
        <v>12230560.683713652</v>
      </c>
      <c r="M25" s="174">
        <f t="shared" si="8"/>
        <v>13038585.163214892</v>
      </c>
      <c r="N25" s="174">
        <f t="shared" si="8"/>
        <v>13038585.163214892</v>
      </c>
      <c r="O25" s="174">
        <f t="shared" si="8"/>
        <v>13194601.672105022</v>
      </c>
      <c r="P25" s="174">
        <f t="shared" si="8"/>
        <v>13350618.180995151</v>
      </c>
      <c r="Q25" s="174">
        <f t="shared" si="8"/>
        <v>13506634.689885283</v>
      </c>
      <c r="R25" s="174">
        <f t="shared" si="8"/>
        <v>13662651.198775413</v>
      </c>
      <c r="S25" s="174">
        <f t="shared" si="8"/>
        <v>13818667.707665542</v>
      </c>
      <c r="T25" s="174">
        <f t="shared" si="8"/>
        <v>14049197.101587765</v>
      </c>
      <c r="U25" s="174">
        <f t="shared" si="8"/>
        <v>14279726.495509988</v>
      </c>
      <c r="V25" s="174">
        <f t="shared" si="8"/>
        <v>14510255.88943221</v>
      </c>
      <c r="W25" s="174">
        <f t="shared" si="8"/>
        <v>14740785.283354431</v>
      </c>
      <c r="X25" s="174">
        <f t="shared" si="8"/>
        <v>14978414.353769654</v>
      </c>
      <c r="Y25" s="174">
        <f t="shared" si="8"/>
        <v>15216043.689784877</v>
      </c>
      <c r="Z25" s="174">
        <f t="shared" si="8"/>
        <v>15453673.025800098</v>
      </c>
      <c r="AA25" s="174">
        <f t="shared" si="8"/>
        <v>15453673.025800098</v>
      </c>
      <c r="AB25" s="174">
        <f t="shared" si="8"/>
        <v>43548010.037978403</v>
      </c>
      <c r="AC25" s="174">
        <f t="shared" si="8"/>
        <v>88455474.323774546</v>
      </c>
      <c r="AD25" s="174">
        <f t="shared" si="8"/>
        <v>159509615.81847179</v>
      </c>
    </row>
    <row r="27" spans="1:30" s="124" customFormat="1" ht="11.25" hidden="1" x14ac:dyDescent="0.2">
      <c r="A27" s="172" t="s">
        <v>234</v>
      </c>
      <c r="B27" s="124" t="str">
        <f t="shared" ref="B27:AD27" si="9">IF(ROUND(B12-B25,0)=0,"-",B12-B25)</f>
        <v>-</v>
      </c>
      <c r="C27" s="124" t="str">
        <f t="shared" si="9"/>
        <v>-</v>
      </c>
      <c r="D27" s="124" t="str">
        <f t="shared" si="9"/>
        <v>-</v>
      </c>
      <c r="E27" s="124" t="str">
        <f t="shared" si="9"/>
        <v>-</v>
      </c>
      <c r="F27" s="124" t="str">
        <f t="shared" si="9"/>
        <v>-</v>
      </c>
      <c r="G27" s="124" t="str">
        <f t="shared" si="9"/>
        <v>-</v>
      </c>
      <c r="H27" s="124" t="str">
        <f t="shared" si="9"/>
        <v>-</v>
      </c>
      <c r="I27" s="124" t="str">
        <f t="shared" si="9"/>
        <v>-</v>
      </c>
      <c r="J27" s="124" t="str">
        <f t="shared" si="9"/>
        <v>-</v>
      </c>
      <c r="K27" s="124" t="str">
        <f t="shared" si="9"/>
        <v>-</v>
      </c>
      <c r="L27" s="124" t="str">
        <f t="shared" si="9"/>
        <v>-</v>
      </c>
      <c r="M27" s="124" t="str">
        <f t="shared" si="9"/>
        <v>-</v>
      </c>
      <c r="N27" s="124" t="str">
        <f t="shared" si="9"/>
        <v>-</v>
      </c>
      <c r="O27" s="124" t="str">
        <f t="shared" si="9"/>
        <v>-</v>
      </c>
      <c r="P27" s="124" t="str">
        <f t="shared" si="9"/>
        <v>-</v>
      </c>
      <c r="Q27" s="124" t="str">
        <f t="shared" si="9"/>
        <v>-</v>
      </c>
      <c r="R27" s="124" t="str">
        <f t="shared" si="9"/>
        <v>-</v>
      </c>
      <c r="S27" s="124" t="str">
        <f t="shared" si="9"/>
        <v>-</v>
      </c>
      <c r="T27" s="124" t="str">
        <f t="shared" si="9"/>
        <v>-</v>
      </c>
      <c r="U27" s="124" t="str">
        <f t="shared" si="9"/>
        <v>-</v>
      </c>
      <c r="V27" s="124" t="str">
        <f t="shared" si="9"/>
        <v>-</v>
      </c>
      <c r="W27" s="124" t="str">
        <f t="shared" si="9"/>
        <v>-</v>
      </c>
      <c r="X27" s="124" t="str">
        <f t="shared" si="9"/>
        <v>-</v>
      </c>
      <c r="Y27" s="124" t="str">
        <f t="shared" si="9"/>
        <v>-</v>
      </c>
      <c r="Z27" s="124" t="str">
        <f t="shared" si="9"/>
        <v>-</v>
      </c>
      <c r="AA27" s="124" t="str">
        <f t="shared" si="9"/>
        <v>-</v>
      </c>
      <c r="AB27" s="124" t="str">
        <f t="shared" si="9"/>
        <v>-</v>
      </c>
      <c r="AC27" s="124" t="str">
        <f t="shared" si="9"/>
        <v>-</v>
      </c>
      <c r="AD27" s="124" t="str">
        <f t="shared" si="9"/>
        <v>-</v>
      </c>
    </row>
  </sheetData>
  <sheetProtection sheet="1" objects="1" scenarios="1"/>
  <pageMargins left="0.7" right="0.7" top="0.75" bottom="0.75" header="0.3" footer="0.3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35"/>
  <sheetViews>
    <sheetView showGridLines="0" zoomScale="115" zoomScaleNormal="115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11.7109375" defaultRowHeight="12.75" outlineLevelCol="1" x14ac:dyDescent="0.2"/>
  <cols>
    <col min="1" max="1" width="42.85546875" style="12" customWidth="1"/>
    <col min="2" max="13" width="13.28515625" customWidth="1" outlineLevel="1"/>
    <col min="14" max="14" width="13.28515625" customWidth="1"/>
    <col min="15" max="26" width="13.28515625" customWidth="1" outlineLevel="1"/>
    <col min="27" max="30" width="13.28515625" customWidth="1"/>
    <col min="31" max="31" width="13.7109375" customWidth="1"/>
  </cols>
  <sheetData>
    <row r="1" spans="1:31" ht="15.75" customHeight="1" x14ac:dyDescent="0.25">
      <c r="A1" s="213" t="str">
        <f>"FLUJO DE CAJA ACUMULADO (" &amp; Introducción!E17 &amp; ")"</f>
        <v>FLUJO DE CAJA ACUMULADO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</row>
    <row r="2" spans="1:31" x14ac:dyDescent="0.2">
      <c r="A2" s="41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31" s="180" customFormat="1" ht="16.5" x14ac:dyDescent="0.25">
      <c r="A3" s="17" t="s">
        <v>22</v>
      </c>
      <c r="B3" s="17">
        <f>'Flujo de Caja'!$B$3</f>
        <v>10000</v>
      </c>
      <c r="C3" s="17">
        <f>'Flujo de Caja'!$B$3</f>
        <v>10000</v>
      </c>
      <c r="D3" s="17">
        <f>'Flujo de Caja'!$B$3</f>
        <v>10000</v>
      </c>
      <c r="E3" s="17">
        <f>'Flujo de Caja'!$B$3</f>
        <v>10000</v>
      </c>
      <c r="F3" s="17">
        <f>'Flujo de Caja'!$B$3</f>
        <v>10000</v>
      </c>
      <c r="G3" s="17">
        <f>'Flujo de Caja'!$B$3</f>
        <v>10000</v>
      </c>
      <c r="H3" s="17">
        <f>'Flujo de Caja'!$B$3</f>
        <v>10000</v>
      </c>
      <c r="I3" s="17">
        <f>'Flujo de Caja'!$B$3</f>
        <v>10000</v>
      </c>
      <c r="J3" s="17">
        <f>'Flujo de Caja'!$B$3</f>
        <v>10000</v>
      </c>
      <c r="K3" s="17">
        <f>'Flujo de Caja'!$B$3</f>
        <v>10000</v>
      </c>
      <c r="L3" s="17">
        <f>'Flujo de Caja'!$B$3</f>
        <v>10000</v>
      </c>
      <c r="M3" s="17">
        <f>'Flujo de Caja'!$B$3</f>
        <v>10000</v>
      </c>
      <c r="N3" s="17">
        <f>'Flujo de Caja'!$B$3</f>
        <v>10000</v>
      </c>
      <c r="O3" s="17">
        <f>'Flujo de Caja'!$B$3</f>
        <v>10000</v>
      </c>
      <c r="P3" s="17">
        <f>'Flujo de Caja'!$B$3</f>
        <v>10000</v>
      </c>
      <c r="Q3" s="17">
        <f>'Flujo de Caja'!$B$3</f>
        <v>10000</v>
      </c>
      <c r="R3" s="17">
        <f>'Flujo de Caja'!$B$3</f>
        <v>10000</v>
      </c>
      <c r="S3" s="17">
        <f>'Flujo de Caja'!$B$3</f>
        <v>10000</v>
      </c>
      <c r="T3" s="17">
        <f>'Flujo de Caja'!$B$3</f>
        <v>10000</v>
      </c>
      <c r="U3" s="17">
        <f>'Flujo de Caja'!$B$3</f>
        <v>10000</v>
      </c>
      <c r="V3" s="17">
        <f>'Flujo de Caja'!$B$3</f>
        <v>10000</v>
      </c>
      <c r="W3" s="17">
        <f>'Flujo de Caja'!$B$3</f>
        <v>10000</v>
      </c>
      <c r="X3" s="17">
        <f>'Flujo de Caja'!$B$3</f>
        <v>10000</v>
      </c>
      <c r="Y3" s="17">
        <f>'Flujo de Caja'!$B$3</f>
        <v>10000</v>
      </c>
      <c r="Z3" s="17">
        <f>'Flujo de Caja'!$B$3</f>
        <v>10000</v>
      </c>
      <c r="AA3" s="17">
        <f>'Flujo de Caja'!$B$3</f>
        <v>10000</v>
      </c>
      <c r="AB3" s="17">
        <f>'Flujo de Caja'!$B$3</f>
        <v>10000</v>
      </c>
      <c r="AC3" s="17">
        <f>'Flujo de Caja'!$B$3</f>
        <v>10000</v>
      </c>
      <c r="AD3" s="17">
        <f>'Flujo de Caja'!$B$3</f>
        <v>10000</v>
      </c>
    </row>
    <row r="4" spans="1:31" x14ac:dyDescent="0.2">
      <c r="A4" s="41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</row>
    <row r="5" spans="1:31" x14ac:dyDescent="0.2">
      <c r="A5" s="212" t="s">
        <v>51</v>
      </c>
      <c r="B5" s="54">
        <f>'Flujo de Caja'!B5</f>
        <v>1689600</v>
      </c>
      <c r="C5" s="54">
        <f>'Flujo de Caja'!C5+B5</f>
        <v>3379200</v>
      </c>
      <c r="D5" s="54">
        <f>'Flujo de Caja'!D5+C5</f>
        <v>5068800</v>
      </c>
      <c r="E5" s="54">
        <f>'Flujo de Caja'!E5+D5</f>
        <v>6758400</v>
      </c>
      <c r="F5" s="54">
        <f>'Flujo de Caja'!F5+E5</f>
        <v>8448000</v>
      </c>
      <c r="G5" s="54">
        <f>'Flujo de Caja'!G5+F5</f>
        <v>10137600</v>
      </c>
      <c r="H5" s="54">
        <f>'Flujo de Caja'!H5+G5</f>
        <v>11827200</v>
      </c>
      <c r="I5" s="54">
        <f>'Flujo de Caja'!I5+H5</f>
        <v>13516800</v>
      </c>
      <c r="J5" s="54">
        <f>'Flujo de Caja'!J5+I5</f>
        <v>15206400</v>
      </c>
      <c r="K5" s="54">
        <f>'Flujo de Caja'!K5+J5</f>
        <v>16963584</v>
      </c>
      <c r="L5" s="54">
        <f>'Flujo de Caja'!L5+K5</f>
        <v>18720768</v>
      </c>
      <c r="M5" s="54">
        <f>'Flujo de Caja'!M5+L5</f>
        <v>20477952</v>
      </c>
      <c r="N5" s="54">
        <f t="shared" ref="N5:N10" si="2">M5</f>
        <v>20477952</v>
      </c>
      <c r="O5" s="54">
        <f>'Flujo de Caja'!O5+N5</f>
        <v>23113728</v>
      </c>
      <c r="P5" s="54">
        <f>'Flujo de Caja'!P5+O5</f>
        <v>25749504</v>
      </c>
      <c r="Q5" s="54">
        <f>'Flujo de Caja'!Q5+P5</f>
        <v>28385280</v>
      </c>
      <c r="R5" s="54">
        <f>'Flujo de Caja'!R5+Q5</f>
        <v>31021056</v>
      </c>
      <c r="S5" s="54">
        <f>'Flujo de Caja'!S5+R5</f>
        <v>33656832</v>
      </c>
      <c r="T5" s="54">
        <f>'Flujo de Caja'!T5+S5</f>
        <v>36292608</v>
      </c>
      <c r="U5" s="54">
        <f>'Flujo de Caja'!U5+T5</f>
        <v>38928384</v>
      </c>
      <c r="V5" s="54">
        <f>'Flujo de Caja'!V5+U5</f>
        <v>41564160</v>
      </c>
      <c r="W5" s="54">
        <f>'Flujo de Caja'!W5+V5</f>
        <v>44199936</v>
      </c>
      <c r="X5" s="54">
        <f>'Flujo de Caja'!X5+W5</f>
        <v>46941143.039999999</v>
      </c>
      <c r="Y5" s="54">
        <f>'Flujo de Caja'!Y5+X5</f>
        <v>49682350.079999998</v>
      </c>
      <c r="Z5" s="54">
        <f>'Flujo de Caja'!Z5+Y5</f>
        <v>52423557.119999997</v>
      </c>
      <c r="AA5" s="54">
        <f t="shared" ref="AA5:AA10" si="3">Z5</f>
        <v>52423557.119999997</v>
      </c>
      <c r="AB5" s="54">
        <f>'Flujo de Caja'!AB5+AA5</f>
        <v>104252106.86668801</v>
      </c>
      <c r="AC5" s="54">
        <f>'Flujo de Caja'!AC5+AB5</f>
        <v>185104644.47152132</v>
      </c>
      <c r="AD5" s="54">
        <f>'Flujo de Caja'!AD5+AC5</f>
        <v>311234603.13506126</v>
      </c>
    </row>
    <row r="6" spans="1:31" x14ac:dyDescent="0.2">
      <c r="A6" s="212" t="s">
        <v>195</v>
      </c>
      <c r="B6" s="54">
        <f>'Flujo de Caja'!B6</f>
        <v>-447744</v>
      </c>
      <c r="C6" s="54">
        <f>'Flujo de Caja'!C6+B6</f>
        <v>-895488</v>
      </c>
      <c r="D6" s="54">
        <f>'Flujo de Caja'!D6+C6</f>
        <v>-1343232</v>
      </c>
      <c r="E6" s="54">
        <f>'Flujo de Caja'!E6+D6</f>
        <v>-1790976</v>
      </c>
      <c r="F6" s="54">
        <f>'Flujo de Caja'!F6+E6</f>
        <v>-2238720</v>
      </c>
      <c r="G6" s="54">
        <f>'Flujo de Caja'!G6+F6</f>
        <v>-2686464</v>
      </c>
      <c r="H6" s="54">
        <f>'Flujo de Caja'!H6+G6</f>
        <v>-3134208</v>
      </c>
      <c r="I6" s="54">
        <f>'Flujo de Caja'!I6+H6</f>
        <v>-3581952</v>
      </c>
      <c r="J6" s="54">
        <f>'Flujo de Caja'!J6+I6</f>
        <v>-4029696</v>
      </c>
      <c r="K6" s="54">
        <f>'Flujo de Caja'!K6+J6</f>
        <v>-4495349.7599999998</v>
      </c>
      <c r="L6" s="54">
        <f>'Flujo de Caja'!L6+K6</f>
        <v>-4961003.5199999996</v>
      </c>
      <c r="M6" s="54">
        <f>'Flujo de Caja'!M6+L6</f>
        <v>-5426657.2799999993</v>
      </c>
      <c r="N6" s="54">
        <f t="shared" si="2"/>
        <v>-5426657.2799999993</v>
      </c>
      <c r="O6" s="54">
        <f>'Flujo de Caja'!O6+N6</f>
        <v>-7518804.4799999995</v>
      </c>
      <c r="P6" s="54">
        <f>'Flujo de Caja'!P6+O6</f>
        <v>-9610951.6799999997</v>
      </c>
      <c r="Q6" s="54">
        <f>'Flujo de Caja'!Q6+P6</f>
        <v>-11703098.879999999</v>
      </c>
      <c r="R6" s="54">
        <f>'Flujo de Caja'!R6+Q6</f>
        <v>-13795246.079999998</v>
      </c>
      <c r="S6" s="54">
        <f>'Flujo de Caja'!S6+R6</f>
        <v>-15887393.279999997</v>
      </c>
      <c r="T6" s="54">
        <f>'Flujo de Caja'!T6+S6</f>
        <v>-17979540.479999997</v>
      </c>
      <c r="U6" s="54">
        <f>'Flujo de Caja'!U6+T6</f>
        <v>-20071687.679999996</v>
      </c>
      <c r="V6" s="54">
        <f>'Flujo de Caja'!V6+U6</f>
        <v>-22163834.879999995</v>
      </c>
      <c r="W6" s="54">
        <f>'Flujo de Caja'!W6+V6</f>
        <v>-24255982.079999994</v>
      </c>
      <c r="X6" s="54">
        <f>'Flujo de Caja'!X6+W6</f>
        <v>-26431815.167999994</v>
      </c>
      <c r="Y6" s="54">
        <f>'Flujo de Caja'!Y6+X6</f>
        <v>-28607648.255999994</v>
      </c>
      <c r="Z6" s="54">
        <f>'Flujo de Caja'!Z6+Y6</f>
        <v>-30783481.343999993</v>
      </c>
      <c r="AA6" s="54">
        <f t="shared" si="3"/>
        <v>-30783481.343999993</v>
      </c>
      <c r="AB6" s="54">
        <f>'Flujo de Caja'!AB6+AA6</f>
        <v>-44109028.783226877</v>
      </c>
      <c r="AC6" s="54">
        <f>'Flujo de Caja'!AC6+AB6</f>
        <v>-64896882.788420811</v>
      </c>
      <c r="AD6" s="54">
        <f>'Flujo de Caja'!AD6+AC6</f>
        <v>-96224431.592374265</v>
      </c>
    </row>
    <row r="7" spans="1:31" x14ac:dyDescent="0.2">
      <c r="A7" s="212" t="s">
        <v>164</v>
      </c>
      <c r="B7" s="54">
        <f>'Flujo de Caja'!B7</f>
        <v>-63765</v>
      </c>
      <c r="C7" s="54">
        <f>'Flujo de Caja'!C7+B7</f>
        <v>-127530</v>
      </c>
      <c r="D7" s="54">
        <f>'Flujo de Caja'!D7+C7</f>
        <v>-191295</v>
      </c>
      <c r="E7" s="54">
        <f>'Flujo de Caja'!E7+D7</f>
        <v>-255060</v>
      </c>
      <c r="F7" s="54">
        <f>'Flujo de Caja'!F7+E7</f>
        <v>-318825</v>
      </c>
      <c r="G7" s="54">
        <f>'Flujo de Caja'!G7+F7</f>
        <v>-382590</v>
      </c>
      <c r="H7" s="54">
        <f>'Flujo de Caja'!H7+G7</f>
        <v>-446355</v>
      </c>
      <c r="I7" s="54">
        <f>'Flujo de Caja'!I7+H7</f>
        <v>-510120</v>
      </c>
      <c r="J7" s="54">
        <f>'Flujo de Caja'!J7+I7</f>
        <v>-573885</v>
      </c>
      <c r="K7" s="54">
        <f>'Flujo de Caja'!K7+J7</f>
        <v>-647214.75</v>
      </c>
      <c r="L7" s="54">
        <f>'Flujo de Caja'!L7+K7</f>
        <v>-720544.5</v>
      </c>
      <c r="M7" s="54">
        <f>'Flujo de Caja'!M7+L7</f>
        <v>-793874.25</v>
      </c>
      <c r="N7" s="54">
        <f t="shared" si="2"/>
        <v>-793874.25</v>
      </c>
      <c r="O7" s="54">
        <f>'Flujo de Caja'!O7+N7</f>
        <v>-867204</v>
      </c>
      <c r="P7" s="54">
        <f>'Flujo de Caja'!P7+O7</f>
        <v>-940533.75</v>
      </c>
      <c r="Q7" s="54">
        <f>'Flujo de Caja'!Q7+P7</f>
        <v>-1013863.5</v>
      </c>
      <c r="R7" s="54">
        <f>'Flujo de Caja'!R7+Q7</f>
        <v>-1087193.25</v>
      </c>
      <c r="S7" s="54">
        <f>'Flujo de Caja'!S7+R7</f>
        <v>-1160523</v>
      </c>
      <c r="T7" s="54">
        <f>'Flujo de Caja'!T7+S7</f>
        <v>-1233852.75</v>
      </c>
      <c r="U7" s="54">
        <f>'Flujo de Caja'!U7+T7</f>
        <v>-1307182.5</v>
      </c>
      <c r="V7" s="54">
        <f>'Flujo de Caja'!V7+U7</f>
        <v>-1380512.25</v>
      </c>
      <c r="W7" s="54">
        <f>'Flujo de Caja'!W7+V7</f>
        <v>-1453842</v>
      </c>
      <c r="X7" s="54">
        <f>'Flujo de Caja'!X7+W7</f>
        <v>-1538171.2124999999</v>
      </c>
      <c r="Y7" s="54">
        <f>'Flujo de Caja'!Y7+X7</f>
        <v>-1622500.4249999998</v>
      </c>
      <c r="Z7" s="54">
        <f>'Flujo de Caja'!Z7+Y7</f>
        <v>-1706829.6374999997</v>
      </c>
      <c r="AA7" s="54">
        <f t="shared" si="3"/>
        <v>-1706829.6374999997</v>
      </c>
      <c r="AB7" s="54">
        <f>'Flujo de Caja'!AB7+AA7</f>
        <v>-3246681.0577499997</v>
      </c>
      <c r="AC7" s="54">
        <f>'Flujo de Caja'!AC7+AB7</f>
        <v>-5017510.1910375003</v>
      </c>
      <c r="AD7" s="54">
        <f>'Flujo de Caja'!AD7+AC7</f>
        <v>-7053963.694318125</v>
      </c>
    </row>
    <row r="8" spans="1:31" x14ac:dyDescent="0.2">
      <c r="A8" s="212" t="s">
        <v>173</v>
      </c>
      <c r="B8" s="54">
        <f>'Flujo de Caja'!B8</f>
        <v>-105489</v>
      </c>
      <c r="C8" s="54">
        <f>'Flujo de Caja'!C8+B8</f>
        <v>-210978</v>
      </c>
      <c r="D8" s="54">
        <f>'Flujo de Caja'!D8+C8</f>
        <v>-316467</v>
      </c>
      <c r="E8" s="54">
        <f>'Flujo de Caja'!E8+D8</f>
        <v>-421956</v>
      </c>
      <c r="F8" s="54">
        <f>'Flujo de Caja'!F8+E8</f>
        <v>-527445</v>
      </c>
      <c r="G8" s="54">
        <f>'Flujo de Caja'!G8+F8</f>
        <v>-632934</v>
      </c>
      <c r="H8" s="54">
        <f>'Flujo de Caja'!H8+G8</f>
        <v>-738423</v>
      </c>
      <c r="I8" s="54">
        <f>'Flujo de Caja'!I8+H8</f>
        <v>-843912</v>
      </c>
      <c r="J8" s="54">
        <f>'Flujo de Caja'!J8+I8</f>
        <v>-949401</v>
      </c>
      <c r="K8" s="54">
        <f>'Flujo de Caja'!K8+J8</f>
        <v>-1056997.56</v>
      </c>
      <c r="L8" s="54">
        <f>'Flujo de Caja'!L8+K8</f>
        <v>-1164594.1200000001</v>
      </c>
      <c r="M8" s="54">
        <f>'Flujo de Caja'!M8+L8</f>
        <v>-1272190.6800000002</v>
      </c>
      <c r="N8" s="54">
        <f t="shared" si="2"/>
        <v>-1272190.6800000002</v>
      </c>
      <c r="O8" s="54">
        <f>'Flujo de Caja'!O8+N8</f>
        <v>-1406187.2400000002</v>
      </c>
      <c r="P8" s="54">
        <f>'Flujo de Caja'!P8+O8</f>
        <v>-1540183.8000000003</v>
      </c>
      <c r="Q8" s="54">
        <f>'Flujo de Caja'!Q8+P8</f>
        <v>-1674180.3600000003</v>
      </c>
      <c r="R8" s="54">
        <f>'Flujo de Caja'!R8+Q8</f>
        <v>-1808176.9200000004</v>
      </c>
      <c r="S8" s="54">
        <f>'Flujo de Caja'!S8+R8</f>
        <v>-1942173.4800000004</v>
      </c>
      <c r="T8" s="54">
        <f>'Flujo de Caja'!T8+S8</f>
        <v>-2076170.0400000005</v>
      </c>
      <c r="U8" s="54">
        <f>'Flujo de Caja'!U8+T8</f>
        <v>-2210166.6000000006</v>
      </c>
      <c r="V8" s="54">
        <f>'Flujo de Caja'!V8+U8</f>
        <v>-2344163.1600000006</v>
      </c>
      <c r="W8" s="54">
        <f>'Flujo de Caja'!W8+V8</f>
        <v>-2478159.7200000007</v>
      </c>
      <c r="X8" s="54">
        <f>'Flujo de Caja'!X8+W8</f>
        <v>-2614348.1424000007</v>
      </c>
      <c r="Y8" s="54">
        <f>'Flujo de Caja'!Y8+X8</f>
        <v>-2750536.2448000005</v>
      </c>
      <c r="Z8" s="54">
        <f>'Flujo de Caja'!Z8+Y8</f>
        <v>-2886724.3472000007</v>
      </c>
      <c r="AA8" s="54">
        <f t="shared" si="3"/>
        <v>-2886724.3472000007</v>
      </c>
      <c r="AB8" s="54">
        <f>'Flujo de Caja'!AB8+AA8</f>
        <v>-4980328.0650880011</v>
      </c>
      <c r="AC8" s="54">
        <f>'Flujo de Caja'!AC8+AB8</f>
        <v>-7813451.9316915218</v>
      </c>
      <c r="AD8" s="54">
        <f>'Flujo de Caja'!AD8+AC8</f>
        <v>-11743564.752959182</v>
      </c>
    </row>
    <row r="9" spans="1:31" x14ac:dyDescent="0.2">
      <c r="A9" s="212" t="s">
        <v>61</v>
      </c>
      <c r="B9" s="54">
        <f>'Flujo de Caja'!B9</f>
        <v>-170990.76444444444</v>
      </c>
      <c r="C9" s="54">
        <f>'Flujo de Caja'!C9+B9</f>
        <v>-341981.52888888889</v>
      </c>
      <c r="D9" s="54">
        <f>'Flujo de Caja'!D9+C9</f>
        <v>-512972.29333333333</v>
      </c>
      <c r="E9" s="54">
        <f>'Flujo de Caja'!E9+D9</f>
        <v>-683963.05777777778</v>
      </c>
      <c r="F9" s="54">
        <f>'Flujo de Caja'!F9+E9</f>
        <v>-854953.82222222222</v>
      </c>
      <c r="G9" s="54">
        <f>'Flujo de Caja'!G9+F9</f>
        <v>-1025944.5866666667</v>
      </c>
      <c r="H9" s="54">
        <f>'Flujo de Caja'!H9+G9</f>
        <v>-1196935.3511111112</v>
      </c>
      <c r="I9" s="54">
        <f>'Flujo de Caja'!I9+H9</f>
        <v>-1367926.1155555556</v>
      </c>
      <c r="J9" s="54">
        <f>'Flujo de Caja'!J9+I9</f>
        <v>-1538916.88</v>
      </c>
      <c r="K9" s="54">
        <f>'Flujo de Caja'!K9+J9</f>
        <v>-1715987.9532444442</v>
      </c>
      <c r="L9" s="54">
        <f>'Flujo de Caja'!L9+K9</f>
        <v>-1893059.0264888885</v>
      </c>
      <c r="M9" s="54">
        <f>'Flujo de Caja'!M9+L9</f>
        <v>-2070130.0997333329</v>
      </c>
      <c r="N9" s="54">
        <f t="shared" si="2"/>
        <v>-2070130.0997333329</v>
      </c>
      <c r="O9" s="54">
        <f>'Flujo de Caja'!O9+N9</f>
        <v>-2126991.036922222</v>
      </c>
      <c r="P9" s="54">
        <f>'Flujo de Caja'!P9+O9</f>
        <v>-2183851.9741111109</v>
      </c>
      <c r="Q9" s="54">
        <f>'Flujo de Caja'!Q9+P9</f>
        <v>-2240712.9112999998</v>
      </c>
      <c r="R9" s="54">
        <f>'Flujo de Caja'!R9+Q9</f>
        <v>-2297573.8484888887</v>
      </c>
      <c r="S9" s="54">
        <f>'Flujo de Caja'!S9+R9</f>
        <v>-2354434.7856777776</v>
      </c>
      <c r="T9" s="54">
        <f>'Flujo de Caja'!T9+S9</f>
        <v>-2411295.7228666665</v>
      </c>
      <c r="U9" s="54">
        <f>'Flujo de Caja'!U9+T9</f>
        <v>-2468156.6600555554</v>
      </c>
      <c r="V9" s="54">
        <f>'Flujo de Caja'!V9+U9</f>
        <v>-2525017.5972444443</v>
      </c>
      <c r="W9" s="54">
        <f>'Flujo de Caja'!W9+V9</f>
        <v>-2581878.5344333332</v>
      </c>
      <c r="X9" s="54">
        <f>'Flujo de Caja'!X9+W9</f>
        <v>-2640193.6222292222</v>
      </c>
      <c r="Y9" s="54">
        <f>'Flujo de Caja'!Y9+X9</f>
        <v>-2698508.764425111</v>
      </c>
      <c r="Z9" s="54">
        <f>'Flujo de Caja'!Z9+Y9</f>
        <v>-2756823.9066209998</v>
      </c>
      <c r="AA9" s="54">
        <f t="shared" si="3"/>
        <v>-2756823.9066209998</v>
      </c>
      <c r="AB9" s="54">
        <f>'Flujo de Caja'!AB9+AA9</f>
        <v>-9029847.3970991634</v>
      </c>
      <c r="AC9" s="54">
        <f>'Flujo de Caja'!AC9+AB9</f>
        <v>-19563697.044384681</v>
      </c>
      <c r="AD9" s="54">
        <f>'Flujo de Caja'!AD9+AC9</f>
        <v>-37327232.418058991</v>
      </c>
    </row>
    <row r="10" spans="1:31" x14ac:dyDescent="0.2">
      <c r="A10" s="212" t="s">
        <v>121</v>
      </c>
      <c r="B10" s="54">
        <f>'Flujo de Caja'!B10</f>
        <v>0</v>
      </c>
      <c r="C10" s="54">
        <f>'Flujo de Caja'!C10+B10</f>
        <v>0</v>
      </c>
      <c r="D10" s="54">
        <f>'Flujo de Caja'!D10+C10</f>
        <v>0</v>
      </c>
      <c r="E10" s="54">
        <f>'Flujo de Caja'!E10+D10</f>
        <v>0</v>
      </c>
      <c r="F10" s="54">
        <f>'Flujo de Caja'!F10+E10</f>
        <v>0</v>
      </c>
      <c r="G10" s="54">
        <f>'Flujo de Caja'!G10+F10</f>
        <v>0</v>
      </c>
      <c r="H10" s="54">
        <f>'Flujo de Caja'!H10+G10</f>
        <v>0</v>
      </c>
      <c r="I10" s="54">
        <f>'Flujo de Caja'!I10+H10</f>
        <v>0</v>
      </c>
      <c r="J10" s="54">
        <f>'Flujo de Caja'!J10+I10</f>
        <v>0</v>
      </c>
      <c r="K10" s="54">
        <f>'Flujo de Caja'!K10+J10</f>
        <v>0</v>
      </c>
      <c r="L10" s="54">
        <f>'Flujo de Caja'!L10+K10</f>
        <v>0</v>
      </c>
      <c r="M10" s="54">
        <f>'Flujo de Caja'!M10+L10</f>
        <v>0</v>
      </c>
      <c r="N10" s="54">
        <f t="shared" si="2"/>
        <v>0</v>
      </c>
      <c r="O10" s="54">
        <f>'Flujo de Caja'!O10+N10</f>
        <v>0</v>
      </c>
      <c r="P10" s="54">
        <f>'Flujo de Caja'!P10+O10</f>
        <v>0</v>
      </c>
      <c r="Q10" s="54">
        <f>'Flujo de Caja'!Q10+P10</f>
        <v>0</v>
      </c>
      <c r="R10" s="54">
        <f>'Flujo de Caja'!R10+Q10</f>
        <v>0</v>
      </c>
      <c r="S10" s="54">
        <f>'Flujo de Caja'!S10+R10</f>
        <v>0</v>
      </c>
      <c r="T10" s="54">
        <f>'Flujo de Caja'!T10+S10</f>
        <v>0</v>
      </c>
      <c r="U10" s="54">
        <f>'Flujo de Caja'!U10+T10</f>
        <v>0</v>
      </c>
      <c r="V10" s="54">
        <f>'Flujo de Caja'!V10+U10</f>
        <v>0</v>
      </c>
      <c r="W10" s="54">
        <f>'Flujo de Caja'!W10+V10</f>
        <v>0</v>
      </c>
      <c r="X10" s="54">
        <f>'Flujo de Caja'!X10+W10</f>
        <v>0</v>
      </c>
      <c r="Y10" s="54">
        <f>'Flujo de Caja'!Y10+X10</f>
        <v>0</v>
      </c>
      <c r="Z10" s="54">
        <f>'Flujo de Caja'!Z10+Y10</f>
        <v>0</v>
      </c>
      <c r="AA10" s="54">
        <f t="shared" si="3"/>
        <v>0</v>
      </c>
      <c r="AB10" s="54">
        <f>'Flujo de Caja'!AB10+AA10</f>
        <v>0</v>
      </c>
      <c r="AC10" s="54">
        <f>'Flujo de Caja'!AC10+AB10</f>
        <v>0</v>
      </c>
      <c r="AD10" s="54">
        <f>'Flujo de Caja'!AD10+AC10</f>
        <v>0</v>
      </c>
    </row>
    <row r="11" spans="1:31" s="91" customFormat="1" ht="12" x14ac:dyDescent="0.2">
      <c r="A11" s="170" t="s">
        <v>134</v>
      </c>
      <c r="B11" s="115">
        <f t="shared" ref="B11:AD11" si="4">SUM(B5:B10)</f>
        <v>901611.23555555556</v>
      </c>
      <c r="C11" s="115">
        <f t="shared" si="4"/>
        <v>1803222.4711111111</v>
      </c>
      <c r="D11" s="115">
        <f t="shared" si="4"/>
        <v>2704833.7066666665</v>
      </c>
      <c r="E11" s="115">
        <f t="shared" si="4"/>
        <v>3606444.9422222222</v>
      </c>
      <c r="F11" s="115">
        <f t="shared" si="4"/>
        <v>4508056.1777777774</v>
      </c>
      <c r="G11" s="115">
        <f t="shared" si="4"/>
        <v>5409667.4133333331</v>
      </c>
      <c r="H11" s="115">
        <f t="shared" si="4"/>
        <v>6311278.6488888888</v>
      </c>
      <c r="I11" s="115">
        <f t="shared" si="4"/>
        <v>7212889.8844444444</v>
      </c>
      <c r="J11" s="115">
        <f t="shared" si="4"/>
        <v>8114501.1200000001</v>
      </c>
      <c r="K11" s="115">
        <f t="shared" si="4"/>
        <v>9048033.9767555557</v>
      </c>
      <c r="L11" s="115">
        <f t="shared" si="4"/>
        <v>9981566.8335111104</v>
      </c>
      <c r="M11" s="115">
        <f t="shared" si="4"/>
        <v>10915099.690266669</v>
      </c>
      <c r="N11" s="115">
        <f t="shared" si="4"/>
        <v>10915099.690266669</v>
      </c>
      <c r="O11" s="115">
        <f t="shared" si="4"/>
        <v>11194541.243077777</v>
      </c>
      <c r="P11" s="115">
        <f t="shared" si="4"/>
        <v>11473982.79588889</v>
      </c>
      <c r="Q11" s="115">
        <f t="shared" si="4"/>
        <v>11753424.348700002</v>
      </c>
      <c r="R11" s="115">
        <f t="shared" si="4"/>
        <v>12032865.901511114</v>
      </c>
      <c r="S11" s="115">
        <f t="shared" si="4"/>
        <v>12312307.454322224</v>
      </c>
      <c r="T11" s="115">
        <f t="shared" si="4"/>
        <v>12591749.007133335</v>
      </c>
      <c r="U11" s="115">
        <f t="shared" si="4"/>
        <v>12871190.559944447</v>
      </c>
      <c r="V11" s="115">
        <f t="shared" si="4"/>
        <v>13150632.112755559</v>
      </c>
      <c r="W11" s="115">
        <f t="shared" si="4"/>
        <v>13430073.665566672</v>
      </c>
      <c r="X11" s="115">
        <f t="shared" si="4"/>
        <v>13716614.894870784</v>
      </c>
      <c r="Y11" s="115">
        <f t="shared" si="4"/>
        <v>14003156.389774892</v>
      </c>
      <c r="Z11" s="115">
        <f t="shared" si="4"/>
        <v>14289697.884679006</v>
      </c>
      <c r="AA11" s="115">
        <f t="shared" si="4"/>
        <v>14289697.884679006</v>
      </c>
      <c r="AB11" s="115">
        <f t="shared" si="4"/>
        <v>42886221.563523963</v>
      </c>
      <c r="AC11" s="115">
        <f t="shared" si="4"/>
        <v>87813102.5159868</v>
      </c>
      <c r="AD11" s="115">
        <f t="shared" si="4"/>
        <v>158885410.6773507</v>
      </c>
    </row>
    <row r="12" spans="1:31" x14ac:dyDescent="0.2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</row>
    <row r="13" spans="1:31" x14ac:dyDescent="0.2">
      <c r="A13" s="212" t="s">
        <v>8</v>
      </c>
      <c r="B13" s="54">
        <f>'Flujo de Caja'!B13</f>
        <v>0</v>
      </c>
      <c r="C13" s="54">
        <f>'Flujo de Caja'!C13+B13</f>
        <v>0</v>
      </c>
      <c r="D13" s="54">
        <f>'Flujo de Caja'!D13+C13</f>
        <v>0</v>
      </c>
      <c r="E13" s="54">
        <f>'Flujo de Caja'!E13+D13</f>
        <v>0</v>
      </c>
      <c r="F13" s="54">
        <f>'Flujo de Caja'!F13+E13</f>
        <v>0</v>
      </c>
      <c r="G13" s="54">
        <f>'Flujo de Caja'!G13+F13</f>
        <v>0</v>
      </c>
      <c r="H13" s="54">
        <f>'Flujo de Caja'!H13+G13</f>
        <v>0</v>
      </c>
      <c r="I13" s="54">
        <f>'Flujo de Caja'!I13+H13</f>
        <v>0</v>
      </c>
      <c r="J13" s="54">
        <f>'Flujo de Caja'!J13+I13</f>
        <v>0</v>
      </c>
      <c r="K13" s="54">
        <f>'Flujo de Caja'!K13+J13</f>
        <v>0</v>
      </c>
      <c r="L13" s="54">
        <f>'Flujo de Caja'!L13+K13</f>
        <v>0</v>
      </c>
      <c r="M13" s="54">
        <f>'Flujo de Caja'!M13+L13</f>
        <v>0</v>
      </c>
      <c r="N13" s="54">
        <f>M13</f>
        <v>0</v>
      </c>
      <c r="O13" s="54">
        <f>'Flujo de Caja'!O13+N13</f>
        <v>0</v>
      </c>
      <c r="P13" s="54">
        <f>'Flujo de Caja'!P13+O13</f>
        <v>0</v>
      </c>
      <c r="Q13" s="54">
        <f>'Flujo de Caja'!Q13+P13</f>
        <v>0</v>
      </c>
      <c r="R13" s="54">
        <f>'Flujo de Caja'!R13+Q13</f>
        <v>0</v>
      </c>
      <c r="S13" s="54">
        <f>'Flujo de Caja'!S13+R13</f>
        <v>0</v>
      </c>
      <c r="T13" s="54">
        <f>'Flujo de Caja'!T13+S13</f>
        <v>0</v>
      </c>
      <c r="U13" s="54">
        <f>'Flujo de Caja'!U13+T13</f>
        <v>0</v>
      </c>
      <c r="V13" s="54">
        <f>'Flujo de Caja'!V13+U13</f>
        <v>0</v>
      </c>
      <c r="W13" s="54">
        <f>'Flujo de Caja'!W13+V13</f>
        <v>0</v>
      </c>
      <c r="X13" s="54">
        <f>'Flujo de Caja'!X13+W13</f>
        <v>0</v>
      </c>
      <c r="Y13" s="54">
        <f>'Flujo de Caja'!Y13+X13</f>
        <v>0</v>
      </c>
      <c r="Z13" s="54">
        <f>'Flujo de Caja'!Z13+Y13</f>
        <v>0</v>
      </c>
      <c r="AA13" s="54">
        <f>Z13</f>
        <v>0</v>
      </c>
      <c r="AB13" s="54">
        <f>'Flujo de Caja'!AB13+AA13</f>
        <v>0</v>
      </c>
      <c r="AC13" s="54">
        <f>'Flujo de Caja'!AC13+AB13</f>
        <v>0</v>
      </c>
      <c r="AD13" s="54">
        <f>'Flujo de Caja'!AD13+AC13</f>
        <v>0</v>
      </c>
    </row>
    <row r="14" spans="1:31" x14ac:dyDescent="0.2">
      <c r="A14" s="212" t="s">
        <v>4</v>
      </c>
      <c r="B14" s="54">
        <f>'Flujo de Caja'!B14</f>
        <v>0</v>
      </c>
      <c r="C14" s="54">
        <f>'Flujo de Caja'!C14+B14</f>
        <v>0</v>
      </c>
      <c r="D14" s="54">
        <f>'Flujo de Caja'!D14+C14</f>
        <v>0</v>
      </c>
      <c r="E14" s="54">
        <f>'Flujo de Caja'!E14+D14</f>
        <v>0</v>
      </c>
      <c r="F14" s="54">
        <f>'Flujo de Caja'!F14+E14</f>
        <v>0</v>
      </c>
      <c r="G14" s="54">
        <f>'Flujo de Caja'!G14+F14</f>
        <v>0</v>
      </c>
      <c r="H14" s="54">
        <f>'Flujo de Caja'!H14+G14</f>
        <v>0</v>
      </c>
      <c r="I14" s="54">
        <f>'Flujo de Caja'!I14+H14</f>
        <v>0</v>
      </c>
      <c r="J14" s="54">
        <f>'Flujo de Caja'!J14+I14</f>
        <v>0</v>
      </c>
      <c r="K14" s="54">
        <f>'Flujo de Caja'!K14+J14</f>
        <v>0</v>
      </c>
      <c r="L14" s="54">
        <f>'Flujo de Caja'!L14+K14</f>
        <v>0</v>
      </c>
      <c r="M14" s="54">
        <f>'Flujo de Caja'!M14+L14</f>
        <v>0</v>
      </c>
      <c r="N14" s="54">
        <f>M14</f>
        <v>0</v>
      </c>
      <c r="O14" s="54">
        <f>'Flujo de Caja'!O14+N14</f>
        <v>0</v>
      </c>
      <c r="P14" s="54">
        <f>'Flujo de Caja'!P14+O14</f>
        <v>0</v>
      </c>
      <c r="Q14" s="54">
        <f>'Flujo de Caja'!Q14+P14</f>
        <v>0</v>
      </c>
      <c r="R14" s="54">
        <f>'Flujo de Caja'!R14+Q14</f>
        <v>0</v>
      </c>
      <c r="S14" s="54">
        <f>'Flujo de Caja'!S14+R14</f>
        <v>0</v>
      </c>
      <c r="T14" s="54">
        <f>'Flujo de Caja'!T14+S14</f>
        <v>0</v>
      </c>
      <c r="U14" s="54">
        <f>'Flujo de Caja'!U14+T14</f>
        <v>0</v>
      </c>
      <c r="V14" s="54">
        <f>'Flujo de Caja'!V14+U14</f>
        <v>0</v>
      </c>
      <c r="W14" s="54">
        <f>'Flujo de Caja'!W14+V14</f>
        <v>0</v>
      </c>
      <c r="X14" s="54">
        <f>'Flujo de Caja'!X14+W14</f>
        <v>0</v>
      </c>
      <c r="Y14" s="54">
        <f>'Flujo de Caja'!Y14+X14</f>
        <v>0</v>
      </c>
      <c r="Z14" s="54">
        <f>'Flujo de Caja'!Z14+Y14</f>
        <v>0</v>
      </c>
      <c r="AA14" s="54">
        <f>Z14</f>
        <v>0</v>
      </c>
      <c r="AB14" s="54">
        <f>'Flujo de Caja'!AB14+AA14</f>
        <v>0</v>
      </c>
      <c r="AC14" s="54">
        <f>'Flujo de Caja'!AC14+AB14</f>
        <v>0</v>
      </c>
      <c r="AD14" s="54">
        <f>'Flujo de Caja'!AD14+AC14</f>
        <v>0</v>
      </c>
    </row>
    <row r="15" spans="1:31" x14ac:dyDescent="0.2">
      <c r="A15" s="212" t="s">
        <v>122</v>
      </c>
      <c r="B15" s="54">
        <f>'Flujo de Caja'!B15</f>
        <v>-84000</v>
      </c>
      <c r="C15" s="54">
        <f>'Flujo de Caja'!C15+B15</f>
        <v>-84000</v>
      </c>
      <c r="D15" s="54">
        <f>'Flujo de Caja'!D15+C15</f>
        <v>-84000</v>
      </c>
      <c r="E15" s="54">
        <f>'Flujo de Caja'!E15+D15</f>
        <v>-84000</v>
      </c>
      <c r="F15" s="54">
        <f>'Flujo de Caja'!F15+E15</f>
        <v>-84000</v>
      </c>
      <c r="G15" s="54">
        <f>'Flujo de Caja'!G15+F15</f>
        <v>-84000</v>
      </c>
      <c r="H15" s="54">
        <f>'Flujo de Caja'!H15+G15</f>
        <v>-84000</v>
      </c>
      <c r="I15" s="54">
        <f>'Flujo de Caja'!I15+H15</f>
        <v>-84000</v>
      </c>
      <c r="J15" s="54">
        <f>'Flujo de Caja'!J15+I15</f>
        <v>-84000</v>
      </c>
      <c r="K15" s="54">
        <f>'Flujo de Caja'!K15+J15</f>
        <v>-84000</v>
      </c>
      <c r="L15" s="54">
        <f>'Flujo de Caja'!L15+K15</f>
        <v>-84000</v>
      </c>
      <c r="M15" s="54">
        <f>'Flujo de Caja'!M15+L15</f>
        <v>-84000</v>
      </c>
      <c r="N15" s="54">
        <f>M15</f>
        <v>-84000</v>
      </c>
      <c r="O15" s="54">
        <f>'Flujo de Caja'!O15+N15</f>
        <v>-84000</v>
      </c>
      <c r="P15" s="54">
        <f>'Flujo de Caja'!P15+O15</f>
        <v>-84000</v>
      </c>
      <c r="Q15" s="54">
        <f>'Flujo de Caja'!Q15+P15</f>
        <v>-84000</v>
      </c>
      <c r="R15" s="54">
        <f>'Flujo de Caja'!R15+Q15</f>
        <v>-84000</v>
      </c>
      <c r="S15" s="54">
        <f>'Flujo de Caja'!S15+R15</f>
        <v>-84000</v>
      </c>
      <c r="T15" s="54">
        <f>'Flujo de Caja'!T15+S15</f>
        <v>-84000</v>
      </c>
      <c r="U15" s="54">
        <f>'Flujo de Caja'!U15+T15</f>
        <v>-84000</v>
      </c>
      <c r="V15" s="54">
        <f>'Flujo de Caja'!V15+U15</f>
        <v>-84000</v>
      </c>
      <c r="W15" s="54">
        <f>'Flujo de Caja'!W15+V15</f>
        <v>-84000</v>
      </c>
      <c r="X15" s="54">
        <f>'Flujo de Caja'!X15+W15</f>
        <v>-84000</v>
      </c>
      <c r="Y15" s="54">
        <f>'Flujo de Caja'!Y15+X15</f>
        <v>-84000</v>
      </c>
      <c r="Z15" s="54">
        <f>'Flujo de Caja'!Z15+Y15</f>
        <v>-84000</v>
      </c>
      <c r="AA15" s="54">
        <f>Z15</f>
        <v>-84000</v>
      </c>
      <c r="AB15" s="54">
        <f>'Flujo de Caja'!AB15+AA15</f>
        <v>-84000</v>
      </c>
      <c r="AC15" s="54">
        <f>'Flujo de Caja'!AC15+AB15</f>
        <v>-84000</v>
      </c>
      <c r="AD15" s="54">
        <f>'Flujo de Caja'!AD15+AC15</f>
        <v>-84000</v>
      </c>
    </row>
    <row r="16" spans="1:31" x14ac:dyDescent="0.2">
      <c r="A16" s="212" t="s">
        <v>53</v>
      </c>
      <c r="B16" s="54">
        <f>'Flujo de Caja'!B16</f>
        <v>-148192.00000000003</v>
      </c>
      <c r="C16" s="54">
        <f>'Flujo de Caja'!C16+B16</f>
        <v>-148192.00000000003</v>
      </c>
      <c r="D16" s="54">
        <f>'Flujo de Caja'!D16+C16</f>
        <v>-148192.00000000003</v>
      </c>
      <c r="E16" s="54">
        <f>'Flujo de Caja'!E16+D16</f>
        <v>-148192.00000000003</v>
      </c>
      <c r="F16" s="54">
        <f>'Flujo de Caja'!F16+E16</f>
        <v>-148192.00000000003</v>
      </c>
      <c r="G16" s="54">
        <f>'Flujo de Caja'!G16+F16</f>
        <v>-148192.00000000003</v>
      </c>
      <c r="H16" s="54">
        <f>'Flujo de Caja'!H16+G16</f>
        <v>-148192.00000000003</v>
      </c>
      <c r="I16" s="54">
        <f>'Flujo de Caja'!I16+H16</f>
        <v>-148192.00000000003</v>
      </c>
      <c r="J16" s="54">
        <f>'Flujo de Caja'!J16+I16</f>
        <v>-148192.00000000003</v>
      </c>
      <c r="K16" s="54">
        <f>'Flujo de Caja'!K16+J16</f>
        <v>-154119.67999999999</v>
      </c>
      <c r="L16" s="54">
        <f>'Flujo de Caja'!L16+K16</f>
        <v>-154119.67999999999</v>
      </c>
      <c r="M16" s="54">
        <f>'Flujo de Caja'!M16+L16</f>
        <v>-154119.67999999999</v>
      </c>
      <c r="N16" s="54">
        <f>M16</f>
        <v>-154119.67999999999</v>
      </c>
      <c r="O16" s="54">
        <f>'Flujo de Caja'!O16+N16</f>
        <v>-1624846.0799999994</v>
      </c>
      <c r="P16" s="54">
        <f>'Flujo de Caja'!P16+O16</f>
        <v>-1624846.0799999994</v>
      </c>
      <c r="Q16" s="54">
        <f>'Flujo de Caja'!Q16+P16</f>
        <v>-1624846.0799999994</v>
      </c>
      <c r="R16" s="54">
        <f>'Flujo de Caja'!R16+Q16</f>
        <v>-1624846.0799999994</v>
      </c>
      <c r="S16" s="54">
        <f>'Flujo de Caja'!S16+R16</f>
        <v>-1624846.0799999994</v>
      </c>
      <c r="T16" s="54">
        <f>'Flujo de Caja'!T16+S16</f>
        <v>-1624846.0799999994</v>
      </c>
      <c r="U16" s="54">
        <f>'Flujo de Caja'!U16+T16</f>
        <v>-1624846.0799999994</v>
      </c>
      <c r="V16" s="54">
        <f>'Flujo de Caja'!V16+U16</f>
        <v>-1624846.0799999994</v>
      </c>
      <c r="W16" s="54">
        <f>'Flujo de Caja'!W16+V16</f>
        <v>-1624846.0799999994</v>
      </c>
      <c r="X16" s="54">
        <f>'Flujo de Caja'!X16+W16</f>
        <v>-1689839.9232000003</v>
      </c>
      <c r="Y16" s="54">
        <f>'Flujo de Caja'!Y16+X16</f>
        <v>-1689839.9232000003</v>
      </c>
      <c r="Z16" s="54">
        <f>'Flujo de Caja'!Z16+Y16</f>
        <v>-1689839.9232000003</v>
      </c>
      <c r="AA16" s="54">
        <f>Z16</f>
        <v>-1689839.9232000003</v>
      </c>
      <c r="AB16" s="54">
        <f>'Flujo de Caja'!AB16+AA16</f>
        <v>-594222.21552768257</v>
      </c>
      <c r="AC16" s="54">
        <f>'Flujo de Caja'!AC16+AB16</f>
        <v>-964066.12247211253</v>
      </c>
      <c r="AD16" s="54">
        <f>'Flujo de Caja'!AD16+AC16</f>
        <v>-1503943.151056496</v>
      </c>
    </row>
    <row r="17" spans="1:30" s="91" customFormat="1" ht="12" x14ac:dyDescent="0.2">
      <c r="A17" s="170" t="s">
        <v>135</v>
      </c>
      <c r="B17" s="115">
        <f t="shared" ref="B17:AD17" si="5">SUM(B13:B16)</f>
        <v>-232192.00000000003</v>
      </c>
      <c r="C17" s="115">
        <f t="shared" si="5"/>
        <v>-232192.00000000003</v>
      </c>
      <c r="D17" s="115">
        <f t="shared" si="5"/>
        <v>-232192.00000000003</v>
      </c>
      <c r="E17" s="115">
        <f t="shared" si="5"/>
        <v>-232192.00000000003</v>
      </c>
      <c r="F17" s="115">
        <f t="shared" si="5"/>
        <v>-232192.00000000003</v>
      </c>
      <c r="G17" s="115">
        <f t="shared" si="5"/>
        <v>-232192.00000000003</v>
      </c>
      <c r="H17" s="115">
        <f t="shared" si="5"/>
        <v>-232192.00000000003</v>
      </c>
      <c r="I17" s="115">
        <f t="shared" si="5"/>
        <v>-232192.00000000003</v>
      </c>
      <c r="J17" s="115">
        <f t="shared" si="5"/>
        <v>-232192.00000000003</v>
      </c>
      <c r="K17" s="115">
        <f t="shared" si="5"/>
        <v>-238119.67999999999</v>
      </c>
      <c r="L17" s="115">
        <f t="shared" si="5"/>
        <v>-238119.67999999999</v>
      </c>
      <c r="M17" s="115">
        <f t="shared" si="5"/>
        <v>-238119.67999999999</v>
      </c>
      <c r="N17" s="115">
        <f t="shared" si="5"/>
        <v>-238119.67999999999</v>
      </c>
      <c r="O17" s="115">
        <f t="shared" si="5"/>
        <v>-1708846.0799999994</v>
      </c>
      <c r="P17" s="115">
        <f t="shared" si="5"/>
        <v>-1708846.0799999994</v>
      </c>
      <c r="Q17" s="115">
        <f t="shared" si="5"/>
        <v>-1708846.0799999994</v>
      </c>
      <c r="R17" s="115">
        <f t="shared" si="5"/>
        <v>-1708846.0799999994</v>
      </c>
      <c r="S17" s="115">
        <f t="shared" si="5"/>
        <v>-1708846.0799999994</v>
      </c>
      <c r="T17" s="115">
        <f t="shared" si="5"/>
        <v>-1708846.0799999994</v>
      </c>
      <c r="U17" s="115">
        <f t="shared" si="5"/>
        <v>-1708846.0799999994</v>
      </c>
      <c r="V17" s="115">
        <f t="shared" si="5"/>
        <v>-1708846.0799999994</v>
      </c>
      <c r="W17" s="115">
        <f t="shared" si="5"/>
        <v>-1708846.0799999994</v>
      </c>
      <c r="X17" s="115">
        <f t="shared" si="5"/>
        <v>-1773839.9232000003</v>
      </c>
      <c r="Y17" s="115">
        <f t="shared" si="5"/>
        <v>-1773839.9232000003</v>
      </c>
      <c r="Z17" s="115">
        <f t="shared" si="5"/>
        <v>-1773839.9232000003</v>
      </c>
      <c r="AA17" s="115">
        <f t="shared" si="5"/>
        <v>-1773839.9232000003</v>
      </c>
      <c r="AB17" s="115">
        <f t="shared" si="5"/>
        <v>-678222.21552768257</v>
      </c>
      <c r="AC17" s="115">
        <f t="shared" si="5"/>
        <v>-1048066.1224721125</v>
      </c>
      <c r="AD17" s="115">
        <f t="shared" si="5"/>
        <v>-1587943.151056496</v>
      </c>
    </row>
    <row r="18" spans="1:30" x14ac:dyDescent="0.2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</row>
    <row r="19" spans="1:30" s="91" customFormat="1" ht="12" x14ac:dyDescent="0.2">
      <c r="A19" s="170" t="s">
        <v>86</v>
      </c>
      <c r="B19" s="115">
        <f>'Flujo de Caja'!B19</f>
        <v>-775000</v>
      </c>
      <c r="C19" s="115">
        <f>'Flujo de Caja'!C19+B19</f>
        <v>-775000</v>
      </c>
      <c r="D19" s="115">
        <f>'Flujo de Caja'!D19+C19</f>
        <v>-775000</v>
      </c>
      <c r="E19" s="115">
        <f>'Flujo de Caja'!E19+D19</f>
        <v>-775000</v>
      </c>
      <c r="F19" s="115">
        <f>'Flujo de Caja'!F19+E19</f>
        <v>-775000</v>
      </c>
      <c r="G19" s="115">
        <f>'Flujo de Caja'!G19+F19</f>
        <v>-775000</v>
      </c>
      <c r="H19" s="115">
        <f>'Flujo de Caja'!H19+G19</f>
        <v>-775000</v>
      </c>
      <c r="I19" s="115">
        <f>'Flujo de Caja'!I19+H19</f>
        <v>-775000</v>
      </c>
      <c r="J19" s="115">
        <f>'Flujo de Caja'!J19+I19</f>
        <v>-775000</v>
      </c>
      <c r="K19" s="115">
        <f>'Flujo de Caja'!K19+J19</f>
        <v>-775000</v>
      </c>
      <c r="L19" s="115">
        <f>'Flujo de Caja'!L19+K19</f>
        <v>-775000</v>
      </c>
      <c r="M19" s="115">
        <f>'Flujo de Caja'!M19+L19</f>
        <v>-775000</v>
      </c>
      <c r="N19" s="115">
        <f>M19</f>
        <v>-775000</v>
      </c>
      <c r="O19" s="115">
        <f>'Flujo de Caja'!O19+N19</f>
        <v>-775000</v>
      </c>
      <c r="P19" s="115">
        <f>'Flujo de Caja'!P19+O19</f>
        <v>-775000</v>
      </c>
      <c r="Q19" s="115">
        <f>'Flujo de Caja'!Q19+P19</f>
        <v>-775000</v>
      </c>
      <c r="R19" s="115">
        <f>'Flujo de Caja'!R19+Q19</f>
        <v>-775000</v>
      </c>
      <c r="S19" s="115">
        <f>'Flujo de Caja'!S19+R19</f>
        <v>-775000</v>
      </c>
      <c r="T19" s="115">
        <f>'Flujo de Caja'!T19+S19</f>
        <v>-775000</v>
      </c>
      <c r="U19" s="115">
        <f>'Flujo de Caja'!U19+T19</f>
        <v>-775000</v>
      </c>
      <c r="V19" s="115">
        <f>'Flujo de Caja'!V19+U19</f>
        <v>-775000</v>
      </c>
      <c r="W19" s="115">
        <f>'Flujo de Caja'!W19+V19</f>
        <v>-775000</v>
      </c>
      <c r="X19" s="115">
        <f>'Flujo de Caja'!X19+W19</f>
        <v>-775000</v>
      </c>
      <c r="Y19" s="115">
        <f>'Flujo de Caja'!Y19+X19</f>
        <v>-775000</v>
      </c>
      <c r="Z19" s="115">
        <f>'Flujo de Caja'!Z19+Y19</f>
        <v>-775000</v>
      </c>
      <c r="AA19" s="115">
        <f>Z19</f>
        <v>-775000</v>
      </c>
      <c r="AB19" s="115">
        <f>'Flujo de Caja'!AB19+AA19</f>
        <v>-775000</v>
      </c>
      <c r="AC19" s="115">
        <f>'Flujo de Caja'!AC19+AB19</f>
        <v>-775000</v>
      </c>
      <c r="AD19" s="115">
        <f>'Flujo de Caja'!AD19+AC19</f>
        <v>-775000</v>
      </c>
    </row>
    <row r="20" spans="1:30" x14ac:dyDescent="0.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</row>
    <row r="21" spans="1:30" ht="15" x14ac:dyDescent="0.25">
      <c r="A21" s="174" t="s">
        <v>55</v>
      </c>
      <c r="B21" s="174">
        <f t="shared" ref="B21:AD21" si="6">B11+B17+B19</f>
        <v>-105580.76444444444</v>
      </c>
      <c r="C21" s="174">
        <f t="shared" si="6"/>
        <v>796030.47111111111</v>
      </c>
      <c r="D21" s="174">
        <f t="shared" si="6"/>
        <v>1697641.7066666665</v>
      </c>
      <c r="E21" s="174">
        <f t="shared" si="6"/>
        <v>2599252.9422222222</v>
      </c>
      <c r="F21" s="174">
        <f t="shared" si="6"/>
        <v>3500864.1777777774</v>
      </c>
      <c r="G21" s="174">
        <f t="shared" si="6"/>
        <v>4402475.4133333331</v>
      </c>
      <c r="H21" s="174">
        <f t="shared" si="6"/>
        <v>5304086.6488888888</v>
      </c>
      <c r="I21" s="174">
        <f t="shared" si="6"/>
        <v>6205697.8844444444</v>
      </c>
      <c r="J21" s="174">
        <f t="shared" si="6"/>
        <v>7107309.1200000001</v>
      </c>
      <c r="K21" s="174">
        <f t="shared" si="6"/>
        <v>8034914.296755556</v>
      </c>
      <c r="L21" s="174">
        <f t="shared" si="6"/>
        <v>8968447.1535111107</v>
      </c>
      <c r="M21" s="174">
        <f t="shared" si="6"/>
        <v>9901980.0102666691</v>
      </c>
      <c r="N21" s="174">
        <f t="shared" si="6"/>
        <v>9901980.0102666691</v>
      </c>
      <c r="O21" s="174">
        <f t="shared" si="6"/>
        <v>8710695.1630777773</v>
      </c>
      <c r="P21" s="174">
        <f t="shared" si="6"/>
        <v>8990136.7158888895</v>
      </c>
      <c r="Q21" s="174">
        <f t="shared" si="6"/>
        <v>9269578.2687000018</v>
      </c>
      <c r="R21" s="174">
        <f t="shared" si="6"/>
        <v>9549019.821511114</v>
      </c>
      <c r="S21" s="174">
        <f t="shared" si="6"/>
        <v>9828461.3743222244</v>
      </c>
      <c r="T21" s="174">
        <f t="shared" si="6"/>
        <v>10107902.927133335</v>
      </c>
      <c r="U21" s="174">
        <f t="shared" si="6"/>
        <v>10387344.479944447</v>
      </c>
      <c r="V21" s="174">
        <f t="shared" si="6"/>
        <v>10666786.032755559</v>
      </c>
      <c r="W21" s="174">
        <f t="shared" si="6"/>
        <v>10946227.585566672</v>
      </c>
      <c r="X21" s="174">
        <f t="shared" si="6"/>
        <v>11167774.971670784</v>
      </c>
      <c r="Y21" s="174">
        <f t="shared" si="6"/>
        <v>11454316.466574892</v>
      </c>
      <c r="Z21" s="174">
        <f t="shared" si="6"/>
        <v>11740857.961479006</v>
      </c>
      <c r="AA21" s="174">
        <f t="shared" si="6"/>
        <v>11740857.961479006</v>
      </c>
      <c r="AB21" s="174">
        <f t="shared" si="6"/>
        <v>41432999.34799628</v>
      </c>
      <c r="AC21" s="174">
        <f t="shared" si="6"/>
        <v>85990036.393514693</v>
      </c>
      <c r="AD21" s="174">
        <f t="shared" si="6"/>
        <v>156522467.5262942</v>
      </c>
    </row>
    <row r="22" spans="1:30" x14ac:dyDescent="0.2">
      <c r="A22" s="173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</row>
    <row r="23" spans="1:30" x14ac:dyDescent="0.2">
      <c r="A23" s="212" t="s">
        <v>210</v>
      </c>
      <c r="B23" s="54">
        <f>'Flujo de Caja'!B23</f>
        <v>0</v>
      </c>
      <c r="C23" s="54">
        <f>'Flujo de Caja'!C23+B23</f>
        <v>0</v>
      </c>
      <c r="D23" s="54">
        <f>'Flujo de Caja'!D23+C23</f>
        <v>0</v>
      </c>
      <c r="E23" s="54">
        <f>'Flujo de Caja'!E23+D23</f>
        <v>0</v>
      </c>
      <c r="F23" s="54">
        <f>'Flujo de Caja'!F23+E23</f>
        <v>0</v>
      </c>
      <c r="G23" s="54">
        <f>'Flujo de Caja'!G23+F23</f>
        <v>0</v>
      </c>
      <c r="H23" s="54">
        <f>'Flujo de Caja'!H23+G23</f>
        <v>0</v>
      </c>
      <c r="I23" s="54">
        <f>'Flujo de Caja'!I23+H23</f>
        <v>0</v>
      </c>
      <c r="J23" s="54">
        <f>'Flujo de Caja'!J23+I23</f>
        <v>0</v>
      </c>
      <c r="K23" s="54">
        <f>'Flujo de Caja'!K23+J23</f>
        <v>0</v>
      </c>
      <c r="L23" s="54">
        <f>'Flujo de Caja'!L23+K23</f>
        <v>0</v>
      </c>
      <c r="M23" s="54">
        <f>'Flujo de Caja'!M23+L23</f>
        <v>0</v>
      </c>
      <c r="N23" s="54">
        <f>M23</f>
        <v>0</v>
      </c>
      <c r="O23" s="54">
        <f>'Flujo de Caja'!O23+N23</f>
        <v>0</v>
      </c>
      <c r="P23" s="54">
        <f>'Flujo de Caja'!P23+O23</f>
        <v>0</v>
      </c>
      <c r="Q23" s="54">
        <f>'Flujo de Caja'!Q23+P23</f>
        <v>0</v>
      </c>
      <c r="R23" s="54">
        <f>'Flujo de Caja'!R23+Q23</f>
        <v>0</v>
      </c>
      <c r="S23" s="54">
        <f>'Flujo de Caja'!S23+R23</f>
        <v>0</v>
      </c>
      <c r="T23" s="54">
        <f>'Flujo de Caja'!T23+S23</f>
        <v>0</v>
      </c>
      <c r="U23" s="54">
        <f>'Flujo de Caja'!U23+T23</f>
        <v>0</v>
      </c>
      <c r="V23" s="54">
        <f>'Flujo de Caja'!V23+U23</f>
        <v>0</v>
      </c>
      <c r="W23" s="54">
        <f>'Flujo de Caja'!W23+V23</f>
        <v>0</v>
      </c>
      <c r="X23" s="54">
        <f>'Flujo de Caja'!X23+W23</f>
        <v>0</v>
      </c>
      <c r="Y23" s="54">
        <f>'Flujo de Caja'!Y23+X23</f>
        <v>0</v>
      </c>
      <c r="Z23" s="54">
        <f>'Flujo de Caja'!Z23+Y23</f>
        <v>0</v>
      </c>
      <c r="AA23" s="54">
        <f>Z23</f>
        <v>0</v>
      </c>
      <c r="AB23" s="54">
        <f>'Flujo de Caja'!AB23+AA23</f>
        <v>0</v>
      </c>
      <c r="AC23" s="54">
        <f>'Flujo de Caja'!AC23+AB23</f>
        <v>0</v>
      </c>
      <c r="AD23" s="54">
        <f>'Flujo de Caja'!AD23+AC23</f>
        <v>0</v>
      </c>
    </row>
    <row r="24" spans="1:30" x14ac:dyDescent="0.2">
      <c r="A24" s="212" t="s">
        <v>50</v>
      </c>
      <c r="B24" s="54">
        <f>'Flujo de Caja'!B24</f>
        <v>0</v>
      </c>
      <c r="C24" s="54">
        <f>'Flujo de Caja'!C24+B24</f>
        <v>0</v>
      </c>
      <c r="D24" s="54">
        <f>'Flujo de Caja'!D24+C24</f>
        <v>0</v>
      </c>
      <c r="E24" s="54">
        <f>'Flujo de Caja'!E24+D24</f>
        <v>0</v>
      </c>
      <c r="F24" s="54">
        <f>'Flujo de Caja'!F24+E24</f>
        <v>0</v>
      </c>
      <c r="G24" s="54">
        <f>'Flujo de Caja'!G24+F24</f>
        <v>0</v>
      </c>
      <c r="H24" s="54">
        <f>'Flujo de Caja'!H24+G24</f>
        <v>0</v>
      </c>
      <c r="I24" s="54">
        <f>'Flujo de Caja'!I24+H24</f>
        <v>0</v>
      </c>
      <c r="J24" s="54">
        <f>'Flujo de Caja'!J24+I24</f>
        <v>0</v>
      </c>
      <c r="K24" s="54">
        <f>'Flujo de Caja'!K24+J24</f>
        <v>0</v>
      </c>
      <c r="L24" s="54">
        <f>'Flujo de Caja'!L24+K24</f>
        <v>0</v>
      </c>
      <c r="M24" s="54">
        <f>'Flujo de Caja'!M24+L24</f>
        <v>0</v>
      </c>
      <c r="N24" s="54">
        <f>M24</f>
        <v>0</v>
      </c>
      <c r="O24" s="54">
        <f>'Flujo de Caja'!O24+N24</f>
        <v>0</v>
      </c>
      <c r="P24" s="54">
        <f>'Flujo de Caja'!P24+O24</f>
        <v>0</v>
      </c>
      <c r="Q24" s="54">
        <f>'Flujo de Caja'!Q24+P24</f>
        <v>0</v>
      </c>
      <c r="R24" s="54">
        <f>'Flujo de Caja'!R24+Q24</f>
        <v>0</v>
      </c>
      <c r="S24" s="54">
        <f>'Flujo de Caja'!S24+R24</f>
        <v>0</v>
      </c>
      <c r="T24" s="54">
        <f>'Flujo de Caja'!T24+S24</f>
        <v>0</v>
      </c>
      <c r="U24" s="54">
        <f>'Flujo de Caja'!U24+T24</f>
        <v>0</v>
      </c>
      <c r="V24" s="54">
        <f>'Flujo de Caja'!V24+U24</f>
        <v>0</v>
      </c>
      <c r="W24" s="54">
        <f>'Flujo de Caja'!W24+V24</f>
        <v>0</v>
      </c>
      <c r="X24" s="54">
        <f>'Flujo de Caja'!X24+W24</f>
        <v>0</v>
      </c>
      <c r="Y24" s="54">
        <f>'Flujo de Caja'!Y24+X24</f>
        <v>0</v>
      </c>
      <c r="Z24" s="54">
        <f>'Flujo de Caja'!Z24+Y24</f>
        <v>0</v>
      </c>
      <c r="AA24" s="54">
        <f>Z24</f>
        <v>0</v>
      </c>
      <c r="AB24" s="54">
        <f>'Flujo de Caja'!AB24+AA24</f>
        <v>0</v>
      </c>
      <c r="AC24" s="54">
        <f>'Flujo de Caja'!AC24+AB24</f>
        <v>0</v>
      </c>
      <c r="AD24" s="54">
        <f>'Flujo de Caja'!AD24+AC24</f>
        <v>0</v>
      </c>
    </row>
    <row r="25" spans="1:30" s="91" customFormat="1" ht="12" x14ac:dyDescent="0.2">
      <c r="A25" s="170" t="s">
        <v>110</v>
      </c>
      <c r="B25" s="115">
        <f t="shared" ref="B25:AD25" si="7">B24+B23</f>
        <v>0</v>
      </c>
      <c r="C25" s="115">
        <f t="shared" si="7"/>
        <v>0</v>
      </c>
      <c r="D25" s="115">
        <f t="shared" si="7"/>
        <v>0</v>
      </c>
      <c r="E25" s="115">
        <f t="shared" si="7"/>
        <v>0</v>
      </c>
      <c r="F25" s="115">
        <f t="shared" si="7"/>
        <v>0</v>
      </c>
      <c r="G25" s="115">
        <f t="shared" si="7"/>
        <v>0</v>
      </c>
      <c r="H25" s="115">
        <f t="shared" si="7"/>
        <v>0</v>
      </c>
      <c r="I25" s="115">
        <f t="shared" si="7"/>
        <v>0</v>
      </c>
      <c r="J25" s="115">
        <f t="shared" si="7"/>
        <v>0</v>
      </c>
      <c r="K25" s="115">
        <f t="shared" si="7"/>
        <v>0</v>
      </c>
      <c r="L25" s="115">
        <f t="shared" si="7"/>
        <v>0</v>
      </c>
      <c r="M25" s="115">
        <f t="shared" si="7"/>
        <v>0</v>
      </c>
      <c r="N25" s="115">
        <f t="shared" si="7"/>
        <v>0</v>
      </c>
      <c r="O25" s="115">
        <f t="shared" si="7"/>
        <v>0</v>
      </c>
      <c r="P25" s="115">
        <f t="shared" si="7"/>
        <v>0</v>
      </c>
      <c r="Q25" s="115">
        <f t="shared" si="7"/>
        <v>0</v>
      </c>
      <c r="R25" s="115">
        <f t="shared" si="7"/>
        <v>0</v>
      </c>
      <c r="S25" s="115">
        <f t="shared" si="7"/>
        <v>0</v>
      </c>
      <c r="T25" s="115">
        <f t="shared" si="7"/>
        <v>0</v>
      </c>
      <c r="U25" s="115">
        <f t="shared" si="7"/>
        <v>0</v>
      </c>
      <c r="V25" s="115">
        <f t="shared" si="7"/>
        <v>0</v>
      </c>
      <c r="W25" s="115">
        <f t="shared" si="7"/>
        <v>0</v>
      </c>
      <c r="X25" s="115">
        <f t="shared" si="7"/>
        <v>0</v>
      </c>
      <c r="Y25" s="115">
        <f t="shared" si="7"/>
        <v>0</v>
      </c>
      <c r="Z25" s="115">
        <f t="shared" si="7"/>
        <v>0</v>
      </c>
      <c r="AA25" s="115">
        <f t="shared" si="7"/>
        <v>0</v>
      </c>
      <c r="AB25" s="115">
        <f t="shared" si="7"/>
        <v>0</v>
      </c>
      <c r="AC25" s="115">
        <f t="shared" si="7"/>
        <v>0</v>
      </c>
      <c r="AD25" s="115">
        <f t="shared" si="7"/>
        <v>0</v>
      </c>
    </row>
    <row r="26" spans="1:30" x14ac:dyDescent="0.2">
      <c r="A26" s="173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</row>
    <row r="27" spans="1:30" x14ac:dyDescent="0.2">
      <c r="A27" s="212" t="s">
        <v>185</v>
      </c>
      <c r="B27" s="54">
        <f>'Flujo de Caja'!B27</f>
        <v>0</v>
      </c>
      <c r="C27" s="54">
        <f>'Flujo de Caja'!C27+B27</f>
        <v>0</v>
      </c>
      <c r="D27" s="54">
        <f>'Flujo de Caja'!D27+C27</f>
        <v>0</v>
      </c>
      <c r="E27" s="54">
        <f>'Flujo de Caja'!E27+D27</f>
        <v>0</v>
      </c>
      <c r="F27" s="54">
        <f>'Flujo de Caja'!F27+E27</f>
        <v>0</v>
      </c>
      <c r="G27" s="54">
        <f>'Flujo de Caja'!G27+F27</f>
        <v>0</v>
      </c>
      <c r="H27" s="54">
        <f>'Flujo de Caja'!H27+G27</f>
        <v>0</v>
      </c>
      <c r="I27" s="54">
        <f>'Flujo de Caja'!I27+H27</f>
        <v>0</v>
      </c>
      <c r="J27" s="54">
        <f>'Flujo de Caja'!J27+I27</f>
        <v>0</v>
      </c>
      <c r="K27" s="54">
        <f>'Flujo de Caja'!K27+J27</f>
        <v>0</v>
      </c>
      <c r="L27" s="54">
        <f>'Flujo de Caja'!L27+K27</f>
        <v>0</v>
      </c>
      <c r="M27" s="54">
        <f>'Flujo de Caja'!M27+L27</f>
        <v>0</v>
      </c>
      <c r="N27" s="54">
        <f>M27</f>
        <v>0</v>
      </c>
      <c r="O27" s="54">
        <f>'Flujo de Caja'!O27+N27</f>
        <v>0</v>
      </c>
      <c r="P27" s="54">
        <f>'Flujo de Caja'!P27+O27</f>
        <v>0</v>
      </c>
      <c r="Q27" s="54">
        <f>'Flujo de Caja'!Q27+P27</f>
        <v>0</v>
      </c>
      <c r="R27" s="54">
        <f>'Flujo de Caja'!R27+Q27</f>
        <v>0</v>
      </c>
      <c r="S27" s="54">
        <f>'Flujo de Caja'!S27+R27</f>
        <v>0</v>
      </c>
      <c r="T27" s="54">
        <f>'Flujo de Caja'!T27+S27</f>
        <v>0</v>
      </c>
      <c r="U27" s="54">
        <f>'Flujo de Caja'!U27+T27</f>
        <v>0</v>
      </c>
      <c r="V27" s="54">
        <f>'Flujo de Caja'!V27+U27</f>
        <v>0</v>
      </c>
      <c r="W27" s="54">
        <f>'Flujo de Caja'!W27+V27</f>
        <v>0</v>
      </c>
      <c r="X27" s="54">
        <f>'Flujo de Caja'!X27+W27</f>
        <v>0</v>
      </c>
      <c r="Y27" s="54">
        <f>'Flujo de Caja'!Y27+X27</f>
        <v>0</v>
      </c>
      <c r="Z27" s="54">
        <f>'Flujo de Caja'!Z27+Y27</f>
        <v>0</v>
      </c>
      <c r="AA27" s="54">
        <f>Z27</f>
        <v>0</v>
      </c>
      <c r="AB27" s="54">
        <f>'Flujo de Caja'!AB27+AA27</f>
        <v>0</v>
      </c>
      <c r="AC27" s="54">
        <f>'Flujo de Caja'!AC27+AB27</f>
        <v>0</v>
      </c>
      <c r="AD27" s="54">
        <f>'Flujo de Caja'!AD27+AC27</f>
        <v>0</v>
      </c>
    </row>
    <row r="28" spans="1:30" x14ac:dyDescent="0.2">
      <c r="A28" s="212" t="s">
        <v>0</v>
      </c>
      <c r="B28" s="54">
        <f>'Flujo de Caja'!B28</f>
        <v>3279539.3449679078</v>
      </c>
      <c r="C28" s="54">
        <f>'Flujo de Caja'!C28+B28</f>
        <v>3157940.6899358155</v>
      </c>
      <c r="D28" s="54">
        <f>'Flujo de Caja'!D28+C28</f>
        <v>3036342.0349037233</v>
      </c>
      <c r="E28" s="54">
        <f>'Flujo de Caja'!E28+D28</f>
        <v>2914743.379871631</v>
      </c>
      <c r="F28" s="54">
        <f>'Flujo de Caja'!F28+E28</f>
        <v>2793144.7248395388</v>
      </c>
      <c r="G28" s="54">
        <f>'Flujo de Caja'!G28+F28</f>
        <v>2671546.0698074466</v>
      </c>
      <c r="H28" s="54">
        <f>'Flujo de Caja'!H28+G28</f>
        <v>2549947.4147753543</v>
      </c>
      <c r="I28" s="54">
        <f>'Flujo de Caja'!I28+H28</f>
        <v>2428348.7597432621</v>
      </c>
      <c r="J28" s="54">
        <f>'Flujo de Caja'!J28+I28</f>
        <v>2306750.1047111698</v>
      </c>
      <c r="K28" s="54">
        <f>'Flujo de Caja'!K28+J28</f>
        <v>2185151.4496790776</v>
      </c>
      <c r="L28" s="54">
        <f>'Flujo de Caja'!L28+K28</f>
        <v>2063552.7946469854</v>
      </c>
      <c r="M28" s="54">
        <f>'Flujo de Caja'!M28+L28</f>
        <v>1941954.1396148931</v>
      </c>
      <c r="N28" s="54">
        <f>M28</f>
        <v>1941954.1396148931</v>
      </c>
      <c r="O28" s="54">
        <f>'Flujo de Caja'!O28+N28</f>
        <v>1820355.4845828009</v>
      </c>
      <c r="P28" s="54">
        <f>'Flujo de Caja'!P28+O28</f>
        <v>1698756.8295507086</v>
      </c>
      <c r="Q28" s="54">
        <f>'Flujo de Caja'!Q28+P28</f>
        <v>1577158.1745186164</v>
      </c>
      <c r="R28" s="54">
        <f>'Flujo de Caja'!R28+Q28</f>
        <v>1455559.5194865242</v>
      </c>
      <c r="S28" s="54">
        <f>'Flujo de Caja'!S28+R28</f>
        <v>1333960.8644544319</v>
      </c>
      <c r="T28" s="54">
        <f>'Flujo de Caja'!T28+S28</f>
        <v>1286875.0944544319</v>
      </c>
      <c r="U28" s="54">
        <f>'Flujo de Caja'!U28+T28</f>
        <v>1239789.3244544319</v>
      </c>
      <c r="V28" s="54">
        <f>'Flujo de Caja'!V28+U28</f>
        <v>1192703.5544544319</v>
      </c>
      <c r="W28" s="54">
        <f>'Flujo de Caja'!W28+V28</f>
        <v>1145617.7844544319</v>
      </c>
      <c r="X28" s="54">
        <f>'Flujo de Caja'!X28+W28</f>
        <v>1098532.0144544318</v>
      </c>
      <c r="Y28" s="54">
        <f>'Flujo de Caja'!Y28+X28</f>
        <v>1051446.2444544318</v>
      </c>
      <c r="Z28" s="54">
        <f>'Flujo de Caja'!Z28+Y28</f>
        <v>1004360.4744544318</v>
      </c>
      <c r="AA28" s="54">
        <f>Z28</f>
        <v>1004360.4744544318</v>
      </c>
      <c r="AB28" s="54">
        <f>'Flujo de Caja'!AB28+AA28</f>
        <v>521590.47445443179</v>
      </c>
      <c r="AC28" s="54">
        <f>'Flujo de Caja'!AC28+AB28</f>
        <v>521590.47445443179</v>
      </c>
      <c r="AD28" s="54">
        <f>'Flujo de Caja'!AD28+AC28</f>
        <v>521590.47445443179</v>
      </c>
    </row>
    <row r="29" spans="1:30" s="91" customFormat="1" ht="12" x14ac:dyDescent="0.2">
      <c r="A29" s="170" t="s">
        <v>199</v>
      </c>
      <c r="B29" s="115">
        <f t="shared" ref="B29:AD29" si="8">B27+B28</f>
        <v>3279539.3449679078</v>
      </c>
      <c r="C29" s="115">
        <f t="shared" si="8"/>
        <v>3157940.6899358155</v>
      </c>
      <c r="D29" s="115">
        <f t="shared" si="8"/>
        <v>3036342.0349037233</v>
      </c>
      <c r="E29" s="115">
        <f t="shared" si="8"/>
        <v>2914743.379871631</v>
      </c>
      <c r="F29" s="115">
        <f t="shared" si="8"/>
        <v>2793144.7248395388</v>
      </c>
      <c r="G29" s="115">
        <f t="shared" si="8"/>
        <v>2671546.0698074466</v>
      </c>
      <c r="H29" s="115">
        <f t="shared" si="8"/>
        <v>2549947.4147753543</v>
      </c>
      <c r="I29" s="115">
        <f t="shared" si="8"/>
        <v>2428348.7597432621</v>
      </c>
      <c r="J29" s="115">
        <f t="shared" si="8"/>
        <v>2306750.1047111698</v>
      </c>
      <c r="K29" s="115">
        <f t="shared" si="8"/>
        <v>2185151.4496790776</v>
      </c>
      <c r="L29" s="115">
        <f t="shared" si="8"/>
        <v>2063552.7946469854</v>
      </c>
      <c r="M29" s="115">
        <f t="shared" si="8"/>
        <v>1941954.1396148931</v>
      </c>
      <c r="N29" s="115">
        <f t="shared" si="8"/>
        <v>1941954.1396148931</v>
      </c>
      <c r="O29" s="115">
        <f t="shared" si="8"/>
        <v>1820355.4845828009</v>
      </c>
      <c r="P29" s="115">
        <f t="shared" si="8"/>
        <v>1698756.8295507086</v>
      </c>
      <c r="Q29" s="115">
        <f t="shared" si="8"/>
        <v>1577158.1745186164</v>
      </c>
      <c r="R29" s="115">
        <f t="shared" si="8"/>
        <v>1455559.5194865242</v>
      </c>
      <c r="S29" s="115">
        <f t="shared" si="8"/>
        <v>1333960.8644544319</v>
      </c>
      <c r="T29" s="115">
        <f t="shared" si="8"/>
        <v>1286875.0944544319</v>
      </c>
      <c r="U29" s="115">
        <f t="shared" si="8"/>
        <v>1239789.3244544319</v>
      </c>
      <c r="V29" s="115">
        <f t="shared" si="8"/>
        <v>1192703.5544544319</v>
      </c>
      <c r="W29" s="115">
        <f t="shared" si="8"/>
        <v>1145617.7844544319</v>
      </c>
      <c r="X29" s="115">
        <f t="shared" si="8"/>
        <v>1098532.0144544318</v>
      </c>
      <c r="Y29" s="115">
        <f t="shared" si="8"/>
        <v>1051446.2444544318</v>
      </c>
      <c r="Z29" s="115">
        <f t="shared" si="8"/>
        <v>1004360.4744544318</v>
      </c>
      <c r="AA29" s="115">
        <f t="shared" si="8"/>
        <v>1004360.4744544318</v>
      </c>
      <c r="AB29" s="115">
        <f t="shared" si="8"/>
        <v>521590.47445443179</v>
      </c>
      <c r="AC29" s="115">
        <f t="shared" si="8"/>
        <v>521590.47445443179</v>
      </c>
      <c r="AD29" s="115">
        <f t="shared" si="8"/>
        <v>521590.47445443179</v>
      </c>
    </row>
    <row r="30" spans="1:30" x14ac:dyDescent="0.2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</row>
    <row r="31" spans="1:30" s="91" customFormat="1" ht="12" x14ac:dyDescent="0.2">
      <c r="A31" s="170" t="s">
        <v>65</v>
      </c>
      <c r="B31" s="115">
        <f>'Flujo de Caja'!B31</f>
        <v>0</v>
      </c>
      <c r="C31" s="115">
        <f>'Flujo de Caja'!C31+B31</f>
        <v>0</v>
      </c>
      <c r="D31" s="115">
        <f>'Flujo de Caja'!D31+C31</f>
        <v>0</v>
      </c>
      <c r="E31" s="115">
        <f>'Flujo de Caja'!E31+D31</f>
        <v>0</v>
      </c>
      <c r="F31" s="115">
        <f>'Flujo de Caja'!F31+E31</f>
        <v>0</v>
      </c>
      <c r="G31" s="115">
        <f>'Flujo de Caja'!G31+F31</f>
        <v>0</v>
      </c>
      <c r="H31" s="115">
        <f>'Flujo de Caja'!H31+G31</f>
        <v>0</v>
      </c>
      <c r="I31" s="115">
        <f>'Flujo de Caja'!I31+H31</f>
        <v>0</v>
      </c>
      <c r="J31" s="115">
        <f>'Flujo de Caja'!J31+I31</f>
        <v>0</v>
      </c>
      <c r="K31" s="115">
        <f>'Flujo de Caja'!K31+J31</f>
        <v>0</v>
      </c>
      <c r="L31" s="115">
        <f>'Flujo de Caja'!L31+K31</f>
        <v>0</v>
      </c>
      <c r="M31" s="115">
        <f>'Flujo de Caja'!M31+L31</f>
        <v>0</v>
      </c>
      <c r="N31" s="115">
        <f>M31</f>
        <v>0</v>
      </c>
      <c r="O31" s="115">
        <f>'Flujo de Caja'!O31+N31</f>
        <v>0</v>
      </c>
      <c r="P31" s="115">
        <f>'Flujo de Caja'!P31+O31</f>
        <v>0</v>
      </c>
      <c r="Q31" s="115">
        <f>'Flujo de Caja'!Q31+P31</f>
        <v>0</v>
      </c>
      <c r="R31" s="115">
        <f>'Flujo de Caja'!R31+Q31</f>
        <v>0</v>
      </c>
      <c r="S31" s="115">
        <f>'Flujo de Caja'!S31+R31</f>
        <v>0</v>
      </c>
      <c r="T31" s="115">
        <f>'Flujo de Caja'!T31+S31</f>
        <v>0</v>
      </c>
      <c r="U31" s="115">
        <f>'Flujo de Caja'!U31+T31</f>
        <v>0</v>
      </c>
      <c r="V31" s="115">
        <f>'Flujo de Caja'!V31+U31</f>
        <v>0</v>
      </c>
      <c r="W31" s="115">
        <f>'Flujo de Caja'!W31+V31</f>
        <v>0</v>
      </c>
      <c r="X31" s="115">
        <f>'Flujo de Caja'!X31+W31</f>
        <v>0</v>
      </c>
      <c r="Y31" s="115">
        <f>'Flujo de Caja'!Y31+X31</f>
        <v>0</v>
      </c>
      <c r="Z31" s="115">
        <f>'Flujo de Caja'!Z31+Y31</f>
        <v>0</v>
      </c>
      <c r="AA31" s="115">
        <f>Z31</f>
        <v>0</v>
      </c>
      <c r="AB31" s="115">
        <f>'Flujo de Caja'!AB31+AA31</f>
        <v>0</v>
      </c>
      <c r="AC31" s="115">
        <f>'Flujo de Caja'!AC31+AB31</f>
        <v>0</v>
      </c>
      <c r="AD31" s="115">
        <f>'Flujo de Caja'!AD31+AC31</f>
        <v>0</v>
      </c>
    </row>
    <row r="32" spans="1:30" x14ac:dyDescent="0.2">
      <c r="A32"/>
    </row>
    <row r="33" spans="1:30" ht="15" x14ac:dyDescent="0.25">
      <c r="A33" s="174" t="s">
        <v>235</v>
      </c>
      <c r="B33" s="174">
        <f t="shared" ref="B33:AD33" si="9">B25+B29+B31</f>
        <v>3279539.3449679078</v>
      </c>
      <c r="C33" s="174">
        <f t="shared" si="9"/>
        <v>3157940.6899358155</v>
      </c>
      <c r="D33" s="174">
        <f t="shared" si="9"/>
        <v>3036342.0349037233</v>
      </c>
      <c r="E33" s="174">
        <f t="shared" si="9"/>
        <v>2914743.379871631</v>
      </c>
      <c r="F33" s="174">
        <f t="shared" si="9"/>
        <v>2793144.7248395388</v>
      </c>
      <c r="G33" s="174">
        <f t="shared" si="9"/>
        <v>2671546.0698074466</v>
      </c>
      <c r="H33" s="174">
        <f t="shared" si="9"/>
        <v>2549947.4147753543</v>
      </c>
      <c r="I33" s="174">
        <f t="shared" si="9"/>
        <v>2428348.7597432621</v>
      </c>
      <c r="J33" s="174">
        <f t="shared" si="9"/>
        <v>2306750.1047111698</v>
      </c>
      <c r="K33" s="174">
        <f t="shared" si="9"/>
        <v>2185151.4496790776</v>
      </c>
      <c r="L33" s="174">
        <f t="shared" si="9"/>
        <v>2063552.7946469854</v>
      </c>
      <c r="M33" s="174">
        <f t="shared" si="9"/>
        <v>1941954.1396148931</v>
      </c>
      <c r="N33" s="174">
        <f t="shared" si="9"/>
        <v>1941954.1396148931</v>
      </c>
      <c r="O33" s="174">
        <f t="shared" si="9"/>
        <v>1820355.4845828009</v>
      </c>
      <c r="P33" s="174">
        <f t="shared" si="9"/>
        <v>1698756.8295507086</v>
      </c>
      <c r="Q33" s="174">
        <f t="shared" si="9"/>
        <v>1577158.1745186164</v>
      </c>
      <c r="R33" s="174">
        <f t="shared" si="9"/>
        <v>1455559.5194865242</v>
      </c>
      <c r="S33" s="174">
        <f t="shared" si="9"/>
        <v>1333960.8644544319</v>
      </c>
      <c r="T33" s="174">
        <f t="shared" si="9"/>
        <v>1286875.0944544319</v>
      </c>
      <c r="U33" s="174">
        <f t="shared" si="9"/>
        <v>1239789.3244544319</v>
      </c>
      <c r="V33" s="174">
        <f t="shared" si="9"/>
        <v>1192703.5544544319</v>
      </c>
      <c r="W33" s="174">
        <f t="shared" si="9"/>
        <v>1145617.7844544319</v>
      </c>
      <c r="X33" s="174">
        <f t="shared" si="9"/>
        <v>1098532.0144544318</v>
      </c>
      <c r="Y33" s="174">
        <f t="shared" si="9"/>
        <v>1051446.2444544318</v>
      </c>
      <c r="Z33" s="174">
        <f t="shared" si="9"/>
        <v>1004360.4744544318</v>
      </c>
      <c r="AA33" s="174">
        <f t="shared" si="9"/>
        <v>1004360.4744544318</v>
      </c>
      <c r="AB33" s="174">
        <f t="shared" si="9"/>
        <v>521590.47445443179</v>
      </c>
      <c r="AC33" s="174">
        <f t="shared" si="9"/>
        <v>521590.47445443179</v>
      </c>
      <c r="AD33" s="174">
        <f t="shared" si="9"/>
        <v>521590.47445443179</v>
      </c>
    </row>
    <row r="34" spans="1:30" ht="13.5" customHeight="1" x14ac:dyDescent="0.2"/>
    <row r="35" spans="1:30" s="180" customFormat="1" ht="16.5" x14ac:dyDescent="0.25">
      <c r="A35" s="17" t="s">
        <v>171</v>
      </c>
      <c r="B35" s="17">
        <f t="shared" ref="B35:AD35" si="10">B3+B21+B33</f>
        <v>3183958.5805234634</v>
      </c>
      <c r="C35" s="17">
        <f t="shared" si="10"/>
        <v>3963971.1610469269</v>
      </c>
      <c r="D35" s="17">
        <f t="shared" si="10"/>
        <v>4743983.7415703898</v>
      </c>
      <c r="E35" s="17">
        <f t="shared" si="10"/>
        <v>5523996.3220938537</v>
      </c>
      <c r="F35" s="17">
        <f t="shared" si="10"/>
        <v>6304008.9026173167</v>
      </c>
      <c r="G35" s="17">
        <f t="shared" si="10"/>
        <v>7084021.4831407797</v>
      </c>
      <c r="H35" s="17">
        <f t="shared" si="10"/>
        <v>7864034.0636642426</v>
      </c>
      <c r="I35" s="17">
        <f t="shared" si="10"/>
        <v>8644046.6441877075</v>
      </c>
      <c r="J35" s="17">
        <f t="shared" si="10"/>
        <v>9424059.2247111704</v>
      </c>
      <c r="K35" s="17">
        <f t="shared" si="10"/>
        <v>10230065.746434633</v>
      </c>
      <c r="L35" s="17">
        <f t="shared" si="10"/>
        <v>11041999.948158097</v>
      </c>
      <c r="M35" s="17">
        <f t="shared" si="10"/>
        <v>11853934.149881562</v>
      </c>
      <c r="N35" s="17">
        <f t="shared" si="10"/>
        <v>11853934.149881562</v>
      </c>
      <c r="O35" s="17">
        <f t="shared" si="10"/>
        <v>10541050.647660578</v>
      </c>
      <c r="P35" s="17">
        <f t="shared" si="10"/>
        <v>10698893.545439597</v>
      </c>
      <c r="Q35" s="17">
        <f t="shared" si="10"/>
        <v>10856736.443218619</v>
      </c>
      <c r="R35" s="17">
        <f t="shared" si="10"/>
        <v>11014579.340997638</v>
      </c>
      <c r="S35" s="17">
        <f t="shared" si="10"/>
        <v>11172422.238776656</v>
      </c>
      <c r="T35" s="17">
        <f t="shared" si="10"/>
        <v>11404778.021587767</v>
      </c>
      <c r="U35" s="17">
        <f t="shared" si="10"/>
        <v>11637133.804398879</v>
      </c>
      <c r="V35" s="17">
        <f t="shared" si="10"/>
        <v>11869489.587209992</v>
      </c>
      <c r="W35" s="17">
        <f t="shared" si="10"/>
        <v>12101845.370021103</v>
      </c>
      <c r="X35" s="17">
        <f t="shared" si="10"/>
        <v>12276306.986125216</v>
      </c>
      <c r="Y35" s="17">
        <f t="shared" si="10"/>
        <v>12515762.711029325</v>
      </c>
      <c r="Z35" s="17">
        <f t="shared" si="10"/>
        <v>12755218.435933437</v>
      </c>
      <c r="AA35" s="17">
        <f t="shared" si="10"/>
        <v>12755218.435933437</v>
      </c>
      <c r="AB35" s="17">
        <f t="shared" si="10"/>
        <v>41964589.822450712</v>
      </c>
      <c r="AC35" s="17">
        <f t="shared" si="10"/>
        <v>86521626.867969126</v>
      </c>
      <c r="AD35" s="17">
        <f t="shared" si="10"/>
        <v>157054058.00074863</v>
      </c>
    </row>
  </sheetData>
  <sheetProtection sheet="1" objects="1" scenarios="1"/>
  <pageMargins left="0.7" right="0.7" top="0.75" bottom="0.75" header="0.3" footer="0.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3"/>
  <sheetViews>
    <sheetView showGridLines="0" workbookViewId="0">
      <pane xSplit="1" ySplit="1" topLeftCell="B10" activePane="bottomRight" state="frozen"/>
      <selection activeCell="G19" sqref="G19"/>
      <selection pane="topRight" activeCell="G19" sqref="G19"/>
      <selection pane="bottomLeft" activeCell="G19" sqref="G19"/>
      <selection pane="bottomRight" activeCell="B28" sqref="B28"/>
    </sheetView>
  </sheetViews>
  <sheetFormatPr baseColWidth="10" defaultColWidth="9.140625" defaultRowHeight="12.75" x14ac:dyDescent="0.2"/>
  <cols>
    <col min="1" max="1" width="42.85546875" customWidth="1"/>
    <col min="2" max="6" width="13.28515625" customWidth="1"/>
    <col min="7" max="7" width="13.28515625" style="210" customWidth="1"/>
    <col min="8" max="12" width="15" customWidth="1"/>
    <col min="13" max="41" width="11.7109375" style="210" customWidth="1"/>
    <col min="42" max="16384" width="9.140625" style="210"/>
  </cols>
  <sheetData>
    <row r="1" spans="1:12" s="203" customFormat="1" ht="15.75" customHeight="1" x14ac:dyDescent="0.25">
      <c r="A1" s="122" t="str">
        <f>"INDICES (" &amp; Introducción!E17 &amp; ")"</f>
        <v>INDICES (Pesos)</v>
      </c>
      <c r="B1" s="71">
        <f>YEAR(DATE(Introducción!E14,Introducción!E13,1))</f>
        <v>2021</v>
      </c>
      <c r="C1" s="71">
        <f>B1+1</f>
        <v>2022</v>
      </c>
      <c r="D1" s="71">
        <f>C1+1</f>
        <v>2023</v>
      </c>
      <c r="E1" s="71">
        <f>D1+1</f>
        <v>2024</v>
      </c>
      <c r="F1" s="71">
        <f>E1+1</f>
        <v>2025</v>
      </c>
      <c r="H1" s="65" t="s">
        <v>233</v>
      </c>
      <c r="I1" s="65" t="s">
        <v>72</v>
      </c>
      <c r="J1" s="65" t="s">
        <v>172</v>
      </c>
      <c r="K1" s="65" t="s">
        <v>85</v>
      </c>
      <c r="L1" s="65" t="s">
        <v>183</v>
      </c>
    </row>
    <row r="3" spans="1:12" x14ac:dyDescent="0.2">
      <c r="A3" s="70" t="s">
        <v>108</v>
      </c>
      <c r="B3" s="70"/>
      <c r="C3" s="70"/>
      <c r="D3" s="70"/>
      <c r="E3" s="70"/>
      <c r="F3" s="70"/>
      <c r="H3" s="70"/>
      <c r="I3" s="70"/>
      <c r="J3" s="70"/>
      <c r="K3" s="70"/>
      <c r="L3" s="70"/>
    </row>
    <row r="4" spans="1:12" x14ac:dyDescent="0.2">
      <c r="A4" s="39" t="s">
        <v>43</v>
      </c>
      <c r="B4" s="49">
        <f>IF(B33=0,"-",B25/B33)</f>
        <v>0.97941285066484207</v>
      </c>
      <c r="C4" s="49">
        <f>IF(C33=0,"-",C25/C33)</f>
        <v>0.23203052157892678</v>
      </c>
      <c r="D4" s="49">
        <f>IF(D33=0,"-",D25/D33)</f>
        <v>0.66417580877226412</v>
      </c>
      <c r="E4" s="49">
        <f>IF(E33=0,"-",E25/E33)</f>
        <v>0.51069579006367705</v>
      </c>
      <c r="F4" s="49">
        <f>IF(F33=0,"-",F25/F33)</f>
        <v>0.446915051249619</v>
      </c>
      <c r="H4" s="60" t="str">
        <f>IF(H33=0,"-",H25/H33)</f>
        <v>-</v>
      </c>
      <c r="I4" s="60" t="str">
        <f>IF(I33=0,"-",I25/I33)</f>
        <v>-</v>
      </c>
      <c r="J4" s="60" t="str">
        <f>IF(J33=0,"-",J25/J33)</f>
        <v>-</v>
      </c>
      <c r="K4" s="60" t="str">
        <f>IF(K33=0,"-",K25/K33)</f>
        <v>-</v>
      </c>
      <c r="L4" s="60" t="str">
        <f>IF(L33=0,"-",L25/L33)</f>
        <v>-</v>
      </c>
    </row>
    <row r="5" spans="1:12" x14ac:dyDescent="0.2">
      <c r="A5" s="39" t="s">
        <v>35</v>
      </c>
      <c r="B5" s="49">
        <f>IF(B29=0,"-",B25/B29)</f>
        <v>0.83354005726494462</v>
      </c>
      <c r="C5" s="49">
        <f>IF(C29=0,"-",C25/C29)</f>
        <v>0.21695046363077083</v>
      </c>
      <c r="D5" s="49">
        <f>IF(D29=0,"-",D25/D29)</f>
        <v>0.65622073172243889</v>
      </c>
      <c r="E5" s="49">
        <f>IF(E29=0,"-",E25/E29)</f>
        <v>0.50768439860964243</v>
      </c>
      <c r="F5" s="49">
        <f>IF(F29=0,"-",F25/F29)</f>
        <v>0.44545365575677676</v>
      </c>
      <c r="H5" s="60" t="str">
        <f>IF(H29=0,"-",H25/H29)</f>
        <v>-</v>
      </c>
      <c r="I5" s="60" t="str">
        <f>IF(I29=0,"-",I25/I29)</f>
        <v>-</v>
      </c>
      <c r="J5" s="60" t="str">
        <f>IF(J29=0,"-",J25/J29)</f>
        <v>-</v>
      </c>
      <c r="K5" s="60" t="str">
        <f>IF(K29=0,"-",K25/K29)</f>
        <v>-</v>
      </c>
      <c r="L5" s="60" t="str">
        <f>IF(L29=0,"-",L25/L29)</f>
        <v>-</v>
      </c>
    </row>
    <row r="6" spans="1:12" x14ac:dyDescent="0.2">
      <c r="A6" s="39" t="s">
        <v>151</v>
      </c>
      <c r="B6" s="49">
        <f>IF(B21=0,"-",B25/B21)</f>
        <v>0.5307260718063993</v>
      </c>
      <c r="C6" s="49">
        <f>IF(C21=0,"-",C25/C21)</f>
        <v>0.10494969543233584</v>
      </c>
      <c r="D6" s="49">
        <f>IF(D21=0,"-",D25/D21)</f>
        <v>0.55137770884674353</v>
      </c>
      <c r="E6" s="49">
        <f>IF(E21=0,"-",E25/E21)</f>
        <v>0.55542430226842532</v>
      </c>
      <c r="F6" s="49">
        <f>IF(F21=0,"-",F25/F21)</f>
        <v>0.56334071815752262</v>
      </c>
      <c r="H6" s="60" t="str">
        <f>IF(H21=0,"-",H25/H21)</f>
        <v>-</v>
      </c>
      <c r="I6" s="60" t="str">
        <f>IF(I21=0,"-",I25/I21)</f>
        <v>-</v>
      </c>
      <c r="J6" s="60" t="str">
        <f>IF(J21=0,"-",J25/J21)</f>
        <v>-</v>
      </c>
      <c r="K6" s="60" t="str">
        <f>IF(K21=0,"-",K25/K21)</f>
        <v>-</v>
      </c>
      <c r="L6" s="60" t="str">
        <f>IF(L21=0,"-",L25/L21)</f>
        <v>-</v>
      </c>
    </row>
    <row r="7" spans="1:12" x14ac:dyDescent="0.2">
      <c r="A7" s="39" t="s">
        <v>192</v>
      </c>
      <c r="B7" s="49">
        <f>IF(B21=0,"-",B24/B21)</f>
        <v>0.634107834123256</v>
      </c>
      <c r="C7" s="49">
        <f>IF(C21=0,"-",C24/C21)</f>
        <v>0.12713147821254989</v>
      </c>
      <c r="D7" s="49">
        <f>IF(D21=0,"-",D24/D21)</f>
        <v>0.67278647270178338</v>
      </c>
      <c r="E7" s="49">
        <f>IF(E21=0,"-",E24/E21)</f>
        <v>0.68594916427747277</v>
      </c>
      <c r="F7" s="49">
        <f>IF(F21=0,"-",F24/F21)</f>
        <v>0.70431992903457397</v>
      </c>
      <c r="H7" s="60" t="str">
        <f>IF(H21=0,"-",H24/H21)</f>
        <v>-</v>
      </c>
      <c r="I7" s="60" t="str">
        <f>IF(I21=0,"-",I24/I21)</f>
        <v>-</v>
      </c>
      <c r="J7" s="60" t="str">
        <f>IF(J21=0,"-",J24/J21)</f>
        <v>-</v>
      </c>
      <c r="K7" s="60" t="str">
        <f>IF(K21=0,"-",K24/K21)</f>
        <v>-</v>
      </c>
      <c r="L7" s="60" t="str">
        <f>IF(L21=0,"-",L24/L21)</f>
        <v>-</v>
      </c>
    </row>
    <row r="8" spans="1:12" x14ac:dyDescent="0.2">
      <c r="B8" s="168"/>
      <c r="C8" s="168"/>
      <c r="D8" s="168"/>
      <c r="E8" s="168"/>
      <c r="F8" s="168"/>
      <c r="H8" s="168"/>
      <c r="I8" s="168"/>
      <c r="J8" s="168"/>
      <c r="K8" s="168"/>
      <c r="L8" s="168"/>
    </row>
    <row r="9" spans="1:12" x14ac:dyDescent="0.2">
      <c r="A9" s="70" t="s">
        <v>149</v>
      </c>
      <c r="B9" s="188"/>
      <c r="C9" s="188"/>
      <c r="D9" s="188"/>
      <c r="E9" s="188"/>
      <c r="F9" s="188"/>
      <c r="H9" s="188"/>
      <c r="I9" s="188"/>
      <c r="J9" s="188"/>
      <c r="K9" s="188"/>
      <c r="L9" s="188"/>
    </row>
    <row r="10" spans="1:12" x14ac:dyDescent="0.2">
      <c r="A10" s="39" t="s">
        <v>140</v>
      </c>
      <c r="B10" s="36">
        <f>IF(B21=0,"-",B27/B21*360)</f>
        <v>0</v>
      </c>
      <c r="C10" s="36">
        <f>IF(C21=0,"-",C27/C21*360)</f>
        <v>0</v>
      </c>
      <c r="D10" s="36">
        <f>IF(D21=0,"-",D27/D21*360)</f>
        <v>0</v>
      </c>
      <c r="E10" s="36">
        <f>IF(E21=0,"-",E27/E21*360)</f>
        <v>0</v>
      </c>
      <c r="F10" s="36">
        <f>IF(F21=0,"-",F27/F21*360)</f>
        <v>0</v>
      </c>
      <c r="H10" s="52" t="str">
        <f>IF(H21=0,"-",H27/H21*360)</f>
        <v>-</v>
      </c>
      <c r="I10" s="52" t="str">
        <f>IF(I21=0,"-",I27/I21*360)</f>
        <v>-</v>
      </c>
      <c r="J10" s="52" t="str">
        <f>IF(J21=0,"-",J27/J21*360)</f>
        <v>-</v>
      </c>
      <c r="K10" s="52" t="str">
        <f>IF(K21=0,"-",K27/K21*360)</f>
        <v>-</v>
      </c>
      <c r="L10" s="52" t="str">
        <f>IF(L21=0,"-",L27/L21*360)</f>
        <v>-</v>
      </c>
    </row>
    <row r="11" spans="1:12" x14ac:dyDescent="0.2">
      <c r="A11" s="39" t="s">
        <v>28</v>
      </c>
      <c r="B11" s="52">
        <f>IF(B23=0,"-",-B30/B23*360)</f>
        <v>0</v>
      </c>
      <c r="C11" s="52">
        <f>IF(C23=0,"-",-C30/C23*360)</f>
        <v>0</v>
      </c>
      <c r="D11" s="52">
        <f>IF(D23=0,"-",-D30/D23*360)</f>
        <v>0</v>
      </c>
      <c r="E11" s="52">
        <f>IF(E23=0,"-",-E30/E23*360)</f>
        <v>0</v>
      </c>
      <c r="F11" s="52">
        <f>IF(F23=0,"-",-F30/F23*360)</f>
        <v>0</v>
      </c>
      <c r="H11" s="52" t="str">
        <f>IF(H23=0,"-",-H30/H23*360)</f>
        <v>-</v>
      </c>
      <c r="I11" s="52" t="str">
        <f>IF(I23=0,"-",-I30/I23*360)</f>
        <v>-</v>
      </c>
      <c r="J11" s="52" t="str">
        <f>IF(J23=0,"-",-J30/J23*360)</f>
        <v>-</v>
      </c>
      <c r="K11" s="52" t="str">
        <f>IF(K23=0,"-",-K30/K23*360)</f>
        <v>-</v>
      </c>
      <c r="L11" s="52" t="str">
        <f>IF(L23=0,"-",-L30/L23*360)</f>
        <v>-</v>
      </c>
    </row>
    <row r="12" spans="1:12" x14ac:dyDescent="0.2">
      <c r="A12" s="39" t="s">
        <v>77</v>
      </c>
      <c r="B12" s="52">
        <f>IF(B22=0,"-",-B28/B22*360)</f>
        <v>11.591041457086884</v>
      </c>
      <c r="C12" s="52">
        <f>IF(C22=0,"-",-C28/C22*360)</f>
        <v>24.974517123843537</v>
      </c>
      <c r="D12" s="52">
        <f>IF(D22=0,"-",-D28/D22*360)</f>
        <v>18.177802239999998</v>
      </c>
      <c r="E12" s="52">
        <f>IF(E22=0,"-",-E28/E22*360)</f>
        <v>18.904914329600004</v>
      </c>
      <c r="F12" s="52">
        <f>IF(F22=0,"-",-F28/F22*360)</f>
        <v>19.66111090278401</v>
      </c>
      <c r="H12" s="52" t="str">
        <f>IF(H22=0,"-",-H28/H22*360)</f>
        <v>-</v>
      </c>
      <c r="I12" s="52" t="str">
        <f>IF(I22=0,"-",-I28/I22*360)</f>
        <v>-</v>
      </c>
      <c r="J12" s="52" t="str">
        <f>IF(J22=0,"-",-J28/J22*360)</f>
        <v>-</v>
      </c>
      <c r="K12" s="52" t="str">
        <f>IF(K22=0,"-",-K28/K22*360)</f>
        <v>-</v>
      </c>
      <c r="L12" s="52" t="str">
        <f>IF(L22=0,"-",-L28/L22*360)</f>
        <v>-</v>
      </c>
    </row>
    <row r="13" spans="1:12" x14ac:dyDescent="0.2">
      <c r="A13" s="39" t="s">
        <v>2</v>
      </c>
      <c r="B13" s="49">
        <f>IF(B29=0,"-",B26/B29)</f>
        <v>0.90914267165462626</v>
      </c>
      <c r="C13" s="49">
        <f>IF(C29=0,"-",C26/C29)</f>
        <v>0.8253842574925998</v>
      </c>
      <c r="D13" s="49">
        <f>IF(D29=0,"-",D26/D29)</f>
        <v>0.96363966541417678</v>
      </c>
      <c r="E13" s="49">
        <f>IF(E29=0,"-",E26/E29)</f>
        <v>0.97813761702608759</v>
      </c>
      <c r="F13" s="49">
        <f>IF(F29=0,"-",F26/F29)</f>
        <v>0.98460558126779218</v>
      </c>
      <c r="H13" s="60" t="str">
        <f>IF(H29=0,"-",H26/H29)</f>
        <v>-</v>
      </c>
      <c r="I13" s="60" t="str">
        <f>IF(I29=0,"-",I26/I29)</f>
        <v>-</v>
      </c>
      <c r="J13" s="60" t="str">
        <f>IF(J29=0,"-",J26/J29)</f>
        <v>-</v>
      </c>
      <c r="K13" s="60" t="str">
        <f>IF(K29=0,"-",K26/K29)</f>
        <v>-</v>
      </c>
      <c r="L13" s="60" t="str">
        <f>IF(L29=0,"-",L26/L29)</f>
        <v>-</v>
      </c>
    </row>
    <row r="14" spans="1:12" x14ac:dyDescent="0.2">
      <c r="B14" s="168"/>
      <c r="C14" s="168"/>
      <c r="D14" s="168"/>
      <c r="E14" s="168"/>
      <c r="F14" s="168"/>
      <c r="H14" s="168"/>
      <c r="I14" s="168"/>
      <c r="J14" s="168"/>
      <c r="K14" s="168"/>
      <c r="L14" s="168"/>
    </row>
    <row r="15" spans="1:12" x14ac:dyDescent="0.2">
      <c r="A15" s="70" t="s">
        <v>208</v>
      </c>
      <c r="B15" s="188"/>
      <c r="C15" s="188"/>
      <c r="D15" s="188"/>
      <c r="E15" s="188"/>
      <c r="F15" s="188"/>
      <c r="H15" s="188"/>
      <c r="I15" s="188"/>
      <c r="J15" s="188"/>
      <c r="K15" s="188"/>
      <c r="L15" s="188"/>
    </row>
    <row r="16" spans="1:12" x14ac:dyDescent="0.2">
      <c r="A16" s="39" t="s">
        <v>179</v>
      </c>
      <c r="B16" s="49">
        <f>IF(B29=0,"-",(B31+B32)/B29)</f>
        <v>0.14893902331470987</v>
      </c>
      <c r="C16" s="49">
        <f>IF(C29=0,"-",(C31+C32)/C29)</f>
        <v>6.4991699564086777E-2</v>
      </c>
      <c r="D16" s="49">
        <f>IF(D29=0,"-",(D31+D32)/D29)</f>
        <v>1.1977366451407321E-2</v>
      </c>
      <c r="E16" s="49">
        <f>IF(E29=0,"-",(E31+E32)/E29)</f>
        <v>5.8966443675972889E-3</v>
      </c>
      <c r="F16" s="49">
        <f>IF(F29=0,"-",(F31+F32)/F29)</f>
        <v>3.2699625773534697E-3</v>
      </c>
      <c r="H16" s="60" t="str">
        <f>IF(H29=0,"-",(H31+H32)/H29)</f>
        <v>-</v>
      </c>
      <c r="I16" s="60" t="str">
        <f>IF(I29=0,"-",(I31+I32)/I29)</f>
        <v>-</v>
      </c>
      <c r="J16" s="60" t="str">
        <f>IF(J29=0,"-",(J31+J32)/J29)</f>
        <v>-</v>
      </c>
      <c r="K16" s="60" t="str">
        <f>IF(K29=0,"-",(K31+K32)/K29)</f>
        <v>-</v>
      </c>
      <c r="L16" s="60" t="str">
        <f>IF(L29=0,"-",(L31+L32)/L29)</f>
        <v>-</v>
      </c>
    </row>
    <row r="17" spans="1:12" x14ac:dyDescent="0.2">
      <c r="A17" s="39" t="s">
        <v>42</v>
      </c>
      <c r="B17" s="49">
        <f>IF(B31+B32=0,"-",B31/(B31+B32))</f>
        <v>0</v>
      </c>
      <c r="C17" s="49">
        <f>IF(C31+C32=0,"-",C31/(C31+C32))</f>
        <v>0</v>
      </c>
      <c r="D17" s="49">
        <f>IF(D31+D32=0,"-",D31/(D31+D32))</f>
        <v>0</v>
      </c>
      <c r="E17" s="49">
        <f>IF(E31+E32=0,"-",E31/(E31+E32))</f>
        <v>0</v>
      </c>
      <c r="F17" s="49">
        <f>IF(F31+F32=0,"-",F31/(F31+F32))</f>
        <v>0</v>
      </c>
      <c r="H17" s="60" t="str">
        <f>IF(H31+H32=0,"-",H31/(H31+H32))</f>
        <v>-</v>
      </c>
      <c r="I17" s="60" t="str">
        <f>IF(I31+I32=0,"-",I31/(I31+I32))</f>
        <v>-</v>
      </c>
      <c r="J17" s="60" t="str">
        <f>IF(J31+J32=0,"-",J31/(J31+J32))</f>
        <v>-</v>
      </c>
      <c r="K17" s="60" t="str">
        <f>IF(K31+K32=0,"-",K31/(K31+K32))</f>
        <v>-</v>
      </c>
      <c r="L17" s="60" t="str">
        <f>IF(L31+L32=0,"-",L31/(L31+L32))</f>
        <v>-</v>
      </c>
    </row>
    <row r="20" spans="1:12" x14ac:dyDescent="0.2">
      <c r="A20" s="70" t="s">
        <v>129</v>
      </c>
      <c r="B20" s="32"/>
      <c r="C20" s="32"/>
      <c r="D20" s="32"/>
      <c r="E20" s="32"/>
      <c r="F20" s="32"/>
      <c r="H20" s="32"/>
      <c r="I20" s="32"/>
      <c r="J20" s="32"/>
      <c r="K20" s="32"/>
      <c r="L20" s="32"/>
    </row>
    <row r="21" spans="1:12" x14ac:dyDescent="0.2">
      <c r="A21" s="39" t="s">
        <v>51</v>
      </c>
      <c r="B21" s="39">
        <f>'Estado Resultados'!N3</f>
        <v>20477952</v>
      </c>
      <c r="C21" s="39">
        <f>'Estado Resultados'!AA3</f>
        <v>31945605.119999997</v>
      </c>
      <c r="D21" s="39">
        <f>'Estado Resultados'!AB3</f>
        <v>51828549.746688008</v>
      </c>
      <c r="E21" s="39">
        <f>'Estado Resultados'!AC3</f>
        <v>80852537.60483329</v>
      </c>
      <c r="F21" s="39">
        <f>'Estado Resultados'!AD3</f>
        <v>126129958.66353996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</row>
    <row r="22" spans="1:12" x14ac:dyDescent="0.2">
      <c r="A22" s="39" t="s">
        <v>119</v>
      </c>
      <c r="B22" s="39">
        <f>-'Costo de Ventas'!N18</f>
        <v>-4786721.28</v>
      </c>
      <c r="C22" s="39">
        <f>-'Costo de Ventas'!AA18</f>
        <v>-24358523.903999999</v>
      </c>
      <c r="D22" s="39">
        <f>-'Costo de Ventas'!AB18</f>
        <v>-11768199.189626882</v>
      </c>
      <c r="E22" s="39">
        <f>-'Costo de Ventas'!AC18</f>
        <v>-18358390.735817939</v>
      </c>
      <c r="F22" s="39">
        <f>-'Costo de Ventas'!AD18</f>
        <v>-27537586.103726909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</row>
    <row r="23" spans="1:12" x14ac:dyDescent="0.2">
      <c r="A23" s="39" t="s">
        <v>170</v>
      </c>
      <c r="B23" s="39">
        <f>'Estado Resultados'!N4+'Estado Resultados'!N9</f>
        <v>-7492722.209999999</v>
      </c>
      <c r="C23" s="39">
        <f>'Estado Resultados'!AA4+'Estado Resultados'!AA9</f>
        <v>-27884313.118699998</v>
      </c>
      <c r="D23" s="39">
        <f>'Estado Resultados'!AB4+'Estado Resultados'!AB9</f>
        <v>-16959002.577364884</v>
      </c>
      <c r="E23" s="39">
        <f>'Estado Resultados'!AC4+'Estado Resultados'!AC9</f>
        <v>-25391807.005084958</v>
      </c>
      <c r="F23" s="39">
        <f>'Estado Resultados'!AD4+'Estado Resultados'!AD9</f>
        <v>-37294115.128501743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</row>
    <row r="24" spans="1:12" x14ac:dyDescent="0.2">
      <c r="A24" s="39" t="s">
        <v>206</v>
      </c>
      <c r="B24" s="39">
        <f>'Estado Resultados'!N10</f>
        <v>12985229.789999999</v>
      </c>
      <c r="C24" s="39">
        <f>'Estado Resultados'!AA10</f>
        <v>4061292.001300002</v>
      </c>
      <c r="D24" s="39">
        <f>'Estado Resultados'!AB10</f>
        <v>34869547.169323131</v>
      </c>
      <c r="E24" s="39">
        <f>'Estado Resultados'!AC10</f>
        <v>55460730.599748336</v>
      </c>
      <c r="F24" s="39">
        <f>'Estado Resultados'!AD10</f>
        <v>88835843.535038218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</row>
    <row r="25" spans="1:12" x14ac:dyDescent="0.2">
      <c r="A25" s="39" t="s">
        <v>142</v>
      </c>
      <c r="B25" s="39">
        <f>'Estado Resultados'!N17</f>
        <v>10868183.023599999</v>
      </c>
      <c r="C25" s="39">
        <f>'Estado Resultados'!AA17</f>
        <v>3352681.5277456683</v>
      </c>
      <c r="D25" s="39">
        <f>'Estado Resultados'!AB17</f>
        <v>28577107.012178302</v>
      </c>
      <c r="E25" s="39">
        <f>'Estado Resultados'!AC17</f>
        <v>44907464.285796151</v>
      </c>
      <c r="F25" s="39">
        <f>'Estado Resultados'!AD17</f>
        <v>71054141.494697243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</row>
    <row r="26" spans="1:12" x14ac:dyDescent="0.2">
      <c r="A26" s="39" t="s">
        <v>154</v>
      </c>
      <c r="B26" s="39">
        <f>Balance!N3</f>
        <v>11853934.149881558</v>
      </c>
      <c r="C26" s="39">
        <f>Balance!AA3</f>
        <v>12755218.435933432</v>
      </c>
      <c r="D26" s="39">
        <f>Balance!AB3</f>
        <v>41964589.82245072</v>
      </c>
      <c r="E26" s="39">
        <f>Balance!AC3</f>
        <v>86521626.867969111</v>
      </c>
      <c r="F26" s="39">
        <f>Balance!AD3</f>
        <v>157054058.00074863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</row>
    <row r="27" spans="1:12" x14ac:dyDescent="0.2">
      <c r="A27" s="39" t="s">
        <v>112</v>
      </c>
      <c r="B27" s="39">
        <f>Balance!N4</f>
        <v>0</v>
      </c>
      <c r="C27" s="39">
        <f>Balance!AA4</f>
        <v>0</v>
      </c>
      <c r="D27" s="39">
        <f>Balance!AB4</f>
        <v>0</v>
      </c>
      <c r="E27" s="39">
        <f>Balance!AC4</f>
        <v>0</v>
      </c>
      <c r="F27" s="39">
        <f>Balance!AD4</f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0</v>
      </c>
    </row>
    <row r="28" spans="1:12" x14ac:dyDescent="0.2">
      <c r="A28" s="39" t="s">
        <v>127</v>
      </c>
      <c r="B28" s="39">
        <f>Balance!N6</f>
        <v>154119.67999999999</v>
      </c>
      <c r="C28" s="39">
        <f>Balance!AA6</f>
        <v>1689839.9232000003</v>
      </c>
      <c r="D28" s="39">
        <f>Balance!AB6</f>
        <v>594222.21552768257</v>
      </c>
      <c r="E28" s="39">
        <f>Balance!AC6</f>
        <v>964066.12247211253</v>
      </c>
      <c r="F28" s="39">
        <f>Balance!AD6</f>
        <v>1503943.151056496</v>
      </c>
      <c r="H28" s="160">
        <v>0</v>
      </c>
      <c r="I28" s="160">
        <v>0</v>
      </c>
      <c r="J28" s="160">
        <v>0</v>
      </c>
      <c r="K28" s="160">
        <v>0</v>
      </c>
      <c r="L28" s="160">
        <v>0</v>
      </c>
    </row>
    <row r="29" spans="1:12" x14ac:dyDescent="0.2">
      <c r="A29" s="39" t="s">
        <v>98</v>
      </c>
      <c r="B29" s="39">
        <f>Balance!N12</f>
        <v>13038585.163214892</v>
      </c>
      <c r="C29" s="39">
        <f>Balance!AA12</f>
        <v>15453673.025800098</v>
      </c>
      <c r="D29" s="39">
        <f>Balance!AB12</f>
        <v>43548010.037978403</v>
      </c>
      <c r="E29" s="39">
        <f>Balance!AC12</f>
        <v>88455474.323774546</v>
      </c>
      <c r="F29" s="39">
        <f>Balance!AD12</f>
        <v>159509615.81847179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</row>
    <row r="30" spans="1:12" x14ac:dyDescent="0.2">
      <c r="A30" s="39" t="s">
        <v>131</v>
      </c>
      <c r="B30" s="39">
        <f>Balance!N15</f>
        <v>0</v>
      </c>
      <c r="C30" s="39">
        <f>Balance!AA15</f>
        <v>0</v>
      </c>
      <c r="D30" s="39">
        <f>Balance!AB15</f>
        <v>0</v>
      </c>
      <c r="E30" s="39">
        <f>Balance!AC15</f>
        <v>0</v>
      </c>
      <c r="F30" s="39">
        <f>Balance!AD15</f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</row>
    <row r="31" spans="1:12" x14ac:dyDescent="0.2">
      <c r="A31" s="39" t="s">
        <v>166</v>
      </c>
      <c r="B31" s="39">
        <f>Balance!N16</f>
        <v>0</v>
      </c>
      <c r="C31" s="39">
        <f>Balance!AA16</f>
        <v>0</v>
      </c>
      <c r="D31" s="39">
        <f>Balance!AB16</f>
        <v>0</v>
      </c>
      <c r="E31" s="39">
        <f>Balance!AC16</f>
        <v>0</v>
      </c>
      <c r="F31" s="39">
        <f>Balance!AD16</f>
        <v>0</v>
      </c>
      <c r="H31" s="160">
        <v>0</v>
      </c>
      <c r="I31" s="160">
        <v>0</v>
      </c>
      <c r="J31" s="160">
        <v>0</v>
      </c>
      <c r="K31" s="160">
        <v>0</v>
      </c>
      <c r="L31" s="160">
        <v>0</v>
      </c>
    </row>
    <row r="32" spans="1:12" x14ac:dyDescent="0.2">
      <c r="A32" s="39" t="s">
        <v>224</v>
      </c>
      <c r="B32" s="39">
        <f>Balance!N19</f>
        <v>1941954.1396148931</v>
      </c>
      <c r="C32" s="39">
        <f>Balance!AA19</f>
        <v>1004360.4744544318</v>
      </c>
      <c r="D32" s="39">
        <f>Balance!AB19</f>
        <v>521590.47445443179</v>
      </c>
      <c r="E32" s="39">
        <f>Balance!AC19</f>
        <v>521590.47445443179</v>
      </c>
      <c r="F32" s="39">
        <f>Balance!AD19</f>
        <v>521590.47445443179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</row>
    <row r="33" spans="1:12" x14ac:dyDescent="0.2">
      <c r="A33" s="54" t="s">
        <v>117</v>
      </c>
      <c r="B33" s="54">
        <f>Balance!N24</f>
        <v>11096631.023599999</v>
      </c>
      <c r="C33" s="54">
        <f>Balance!AA24</f>
        <v>14449312.551345667</v>
      </c>
      <c r="D33" s="54">
        <f>Balance!AB24</f>
        <v>43026419.563523971</v>
      </c>
      <c r="E33" s="54">
        <f>Balance!AC24</f>
        <v>87933883.849320114</v>
      </c>
      <c r="F33" s="54">
        <f>Balance!AD24</f>
        <v>158988025.34401736</v>
      </c>
      <c r="H33" s="160">
        <v>0</v>
      </c>
      <c r="I33" s="160">
        <v>0</v>
      </c>
      <c r="J33" s="160">
        <v>0</v>
      </c>
      <c r="K33" s="160">
        <v>0</v>
      </c>
      <c r="L33" s="160">
        <v>0</v>
      </c>
    </row>
  </sheetData>
  <sheetProtection sheet="1" objects="1" scenarios="1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7"/>
  <sheetViews>
    <sheetView showGridLines="0" zoomScale="116" zoomScaleNormal="116" workbookViewId="0">
      <pane xSplit="1" ySplit="1" topLeftCell="Z3" activePane="bottomRight" state="frozen"/>
      <selection pane="topRight" activeCell="B1" sqref="B1"/>
      <selection pane="bottomLeft" activeCell="A2" sqref="A2"/>
      <selection pane="bottomRight" activeCell="AA6" sqref="AA6"/>
    </sheetView>
  </sheetViews>
  <sheetFormatPr baseColWidth="10" defaultColWidth="9.140625" defaultRowHeight="12.75" outlineLevelCol="1" x14ac:dyDescent="0.2"/>
  <cols>
    <col min="1" max="1" width="42.85546875" customWidth="1"/>
    <col min="2" max="13" width="13.28515625" customWidth="1" outlineLevel="1"/>
    <col min="14" max="14" width="13.28515625" customWidth="1"/>
    <col min="15" max="26" width="13.28515625" customWidth="1" outlineLevel="1"/>
    <col min="27" max="30" width="13.28515625" customWidth="1"/>
    <col min="31" max="31" width="9.42578125" customWidth="1"/>
    <col min="32" max="32" width="9.42578125" style="184" customWidth="1"/>
    <col min="33" max="33" width="15.5703125" style="184" bestFit="1" customWidth="1"/>
    <col min="34" max="37" width="9.42578125" style="184" customWidth="1"/>
    <col min="38" max="38" width="9.42578125" customWidth="1"/>
  </cols>
  <sheetData>
    <row r="1" spans="1:37" ht="15.75" customHeight="1" x14ac:dyDescent="0.25">
      <c r="A1" s="213" t="str">
        <f>"COSTO DE VENTAS (" &amp; Introducción!E17 &amp; ")"</f>
        <v>COSTO DE VENTAS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  <c r="AF1" t="s">
        <v>125</v>
      </c>
      <c r="AG1" t="s">
        <v>60</v>
      </c>
      <c r="AH1" t="s">
        <v>159</v>
      </c>
      <c r="AI1"/>
      <c r="AJ1" t="s">
        <v>188</v>
      </c>
      <c r="AK1" t="s">
        <v>213</v>
      </c>
    </row>
    <row r="2" spans="1:37" x14ac:dyDescent="0.2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37" x14ac:dyDescent="0.2">
      <c r="A3" s="232" t="s">
        <v>248</v>
      </c>
      <c r="B3" s="148">
        <v>105600</v>
      </c>
      <c r="C3" s="148">
        <v>105600</v>
      </c>
      <c r="D3" s="148">
        <v>105600</v>
      </c>
      <c r="E3" s="148">
        <v>105600</v>
      </c>
      <c r="F3" s="148">
        <v>105600</v>
      </c>
      <c r="G3" s="148">
        <v>105600</v>
      </c>
      <c r="H3" s="148">
        <v>105600</v>
      </c>
      <c r="I3" s="148">
        <v>105600</v>
      </c>
      <c r="J3" s="148">
        <v>105600</v>
      </c>
      <c r="K3" s="148">
        <v>105600</v>
      </c>
      <c r="L3" s="148">
        <v>105600</v>
      </c>
      <c r="M3" s="148">
        <v>105600</v>
      </c>
      <c r="N3" s="148">
        <f>SUM(B3:M3)</f>
        <v>1267200</v>
      </c>
      <c r="O3" s="148">
        <f>M3*1.5</f>
        <v>158400</v>
      </c>
      <c r="P3" s="148">
        <f>O3</f>
        <v>158400</v>
      </c>
      <c r="Q3" s="148">
        <f t="shared" ref="Q3:Z3" si="2">P3</f>
        <v>158400</v>
      </c>
      <c r="R3" s="148">
        <f t="shared" si="2"/>
        <v>158400</v>
      </c>
      <c r="S3" s="148">
        <f t="shared" si="2"/>
        <v>158400</v>
      </c>
      <c r="T3" s="148">
        <f t="shared" si="2"/>
        <v>158400</v>
      </c>
      <c r="U3" s="148">
        <f t="shared" si="2"/>
        <v>158400</v>
      </c>
      <c r="V3" s="148">
        <f t="shared" si="2"/>
        <v>158400</v>
      </c>
      <c r="W3" s="148">
        <f t="shared" si="2"/>
        <v>158400</v>
      </c>
      <c r="X3" s="148">
        <f t="shared" si="2"/>
        <v>158400</v>
      </c>
      <c r="Y3" s="148">
        <f t="shared" si="2"/>
        <v>158400</v>
      </c>
      <c r="Z3" s="148">
        <f t="shared" si="2"/>
        <v>158400</v>
      </c>
      <c r="AA3" s="148">
        <f>SUM(O3:Z3)</f>
        <v>1900800</v>
      </c>
      <c r="AB3" s="148">
        <f>(AA3*1.5)</f>
        <v>2851200</v>
      </c>
      <c r="AC3" s="148">
        <f>AB3*1.5</f>
        <v>4276800</v>
      </c>
      <c r="AD3" s="148">
        <f>AC3*1.5</f>
        <v>6415200</v>
      </c>
      <c r="AE3" s="210"/>
    </row>
    <row r="4" spans="1:37" x14ac:dyDescent="0.2">
      <c r="A4" s="179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210"/>
      <c r="AG4" s="184">
        <v>30</v>
      </c>
    </row>
    <row r="5" spans="1:37" x14ac:dyDescent="0.2">
      <c r="A5" t="s">
        <v>247</v>
      </c>
      <c r="B5" s="7">
        <f>9*0.06</f>
        <v>0.54</v>
      </c>
      <c r="C5" s="7">
        <f>$B$5</f>
        <v>0.54</v>
      </c>
      <c r="D5" s="7">
        <f t="shared" ref="D5:J5" si="3">$B$5</f>
        <v>0.54</v>
      </c>
      <c r="E5" s="7">
        <f t="shared" si="3"/>
        <v>0.54</v>
      </c>
      <c r="F5" s="7">
        <f t="shared" si="3"/>
        <v>0.54</v>
      </c>
      <c r="G5" s="7">
        <f t="shared" si="3"/>
        <v>0.54</v>
      </c>
      <c r="H5" s="7">
        <f t="shared" si="3"/>
        <v>0.54</v>
      </c>
      <c r="I5" s="7">
        <f t="shared" si="3"/>
        <v>0.54</v>
      </c>
      <c r="J5" s="7">
        <f t="shared" si="3"/>
        <v>0.54</v>
      </c>
      <c r="K5" s="7">
        <f>J5*1.04</f>
        <v>0.5616000000000001</v>
      </c>
      <c r="L5" s="7">
        <f>K5</f>
        <v>0.5616000000000001</v>
      </c>
      <c r="M5" s="7">
        <f>L5</f>
        <v>0.5616000000000001</v>
      </c>
      <c r="N5" s="7">
        <f>M5*1.04</f>
        <v>0.58406400000000014</v>
      </c>
      <c r="O5" s="7">
        <v>9.36</v>
      </c>
      <c r="P5" s="7">
        <v>9.36</v>
      </c>
      <c r="Q5" s="7">
        <v>9.36</v>
      </c>
      <c r="R5" s="7">
        <v>9.36</v>
      </c>
      <c r="S5" s="7">
        <v>9.36</v>
      </c>
      <c r="T5" s="7">
        <v>9.36</v>
      </c>
      <c r="U5" s="7">
        <v>9.36</v>
      </c>
      <c r="V5" s="7">
        <v>9.36</v>
      </c>
      <c r="W5" s="7">
        <v>9.36</v>
      </c>
      <c r="X5" s="7">
        <f>W5*1.04</f>
        <v>9.7343999999999991</v>
      </c>
      <c r="Y5" s="7">
        <f>X5</f>
        <v>9.7343999999999991</v>
      </c>
      <c r="Z5" s="7">
        <f>X5</f>
        <v>9.7343999999999991</v>
      </c>
      <c r="AA5" s="7">
        <f>N5*1.04</f>
        <v>0.60742656000000017</v>
      </c>
      <c r="AB5" s="7">
        <f>AA5*1.04</f>
        <v>0.63172362240000024</v>
      </c>
      <c r="AC5" s="7">
        <f>AB5*1.04</f>
        <v>0.65699256729600031</v>
      </c>
      <c r="AD5" s="7">
        <f>AB5*1.04</f>
        <v>0.65699256729600031</v>
      </c>
      <c r="AE5" s="210"/>
      <c r="AF5" s="184">
        <v>1</v>
      </c>
      <c r="AG5" s="184">
        <v>7</v>
      </c>
      <c r="AH5" s="194">
        <v>0</v>
      </c>
      <c r="AJ5" s="132">
        <v>0</v>
      </c>
      <c r="AK5" s="61">
        <v>0</v>
      </c>
    </row>
    <row r="6" spans="1:37" x14ac:dyDescent="0.2">
      <c r="A6" s="233" t="s">
        <v>257</v>
      </c>
      <c r="B6" s="7">
        <v>0.42</v>
      </c>
      <c r="C6" s="7">
        <f>$B$6</f>
        <v>0.42</v>
      </c>
      <c r="D6" s="7">
        <f t="shared" ref="D6:J6" si="4">$B$6</f>
        <v>0.42</v>
      </c>
      <c r="E6" s="7">
        <f t="shared" si="4"/>
        <v>0.42</v>
      </c>
      <c r="F6" s="7">
        <f t="shared" si="4"/>
        <v>0.42</v>
      </c>
      <c r="G6" s="7">
        <f t="shared" si="4"/>
        <v>0.42</v>
      </c>
      <c r="H6" s="7">
        <f t="shared" si="4"/>
        <v>0.42</v>
      </c>
      <c r="I6" s="7">
        <f t="shared" si="4"/>
        <v>0.42</v>
      </c>
      <c r="J6" s="7">
        <f t="shared" si="4"/>
        <v>0.42</v>
      </c>
      <c r="K6" s="7">
        <f t="shared" ref="K6:K11" si="5">J6*1.04</f>
        <v>0.43680000000000002</v>
      </c>
      <c r="L6" s="7">
        <f>$K$6</f>
        <v>0.43680000000000002</v>
      </c>
      <c r="M6" s="7">
        <f>$K$6</f>
        <v>0.43680000000000002</v>
      </c>
      <c r="N6" s="7">
        <f>SUM(B6:M6)/12</f>
        <v>0.42419999999999997</v>
      </c>
      <c r="O6" s="7">
        <f>M6</f>
        <v>0.43680000000000002</v>
      </c>
      <c r="P6" s="7">
        <f>O6</f>
        <v>0.43680000000000002</v>
      </c>
      <c r="Q6" s="7">
        <f t="shared" ref="Q6:Y6" si="6">P6</f>
        <v>0.43680000000000002</v>
      </c>
      <c r="R6" s="7">
        <f t="shared" si="6"/>
        <v>0.43680000000000002</v>
      </c>
      <c r="S6" s="7">
        <f t="shared" si="6"/>
        <v>0.43680000000000002</v>
      </c>
      <c r="T6" s="7">
        <f t="shared" si="6"/>
        <v>0.43680000000000002</v>
      </c>
      <c r="U6" s="7">
        <f t="shared" si="6"/>
        <v>0.43680000000000002</v>
      </c>
      <c r="V6" s="7">
        <f t="shared" si="6"/>
        <v>0.43680000000000002</v>
      </c>
      <c r="W6" s="7">
        <f t="shared" si="6"/>
        <v>0.43680000000000002</v>
      </c>
      <c r="X6" s="7">
        <f t="shared" ref="X6:X12" si="7">W6*1.04</f>
        <v>0.45427200000000006</v>
      </c>
      <c r="Y6" s="7">
        <f t="shared" si="6"/>
        <v>0.45427200000000006</v>
      </c>
      <c r="Z6" s="7">
        <f t="shared" ref="Z6:Z12" si="8">X6</f>
        <v>0.45427200000000006</v>
      </c>
      <c r="AA6" s="7">
        <f t="shared" ref="AA6:AA12" si="9">SUM(O6:Z6)/12</f>
        <v>0.44116800000000006</v>
      </c>
      <c r="AB6" s="7">
        <f>AA6*1.04</f>
        <v>0.45881472000000006</v>
      </c>
      <c r="AC6" s="7">
        <f>AB6*1.04</f>
        <v>0.47716730880000008</v>
      </c>
      <c r="AD6" s="7">
        <f t="shared" ref="AD6:AD11" si="10">AB6*1.04</f>
        <v>0.47716730880000008</v>
      </c>
      <c r="AE6" s="210"/>
      <c r="AF6" s="184">
        <v>1</v>
      </c>
      <c r="AG6" s="184">
        <v>7</v>
      </c>
      <c r="AH6" s="194">
        <v>0</v>
      </c>
      <c r="AJ6" s="132">
        <v>0</v>
      </c>
      <c r="AK6" s="61">
        <v>0</v>
      </c>
    </row>
    <row r="7" spans="1:37" x14ac:dyDescent="0.2">
      <c r="A7" s="233" t="s">
        <v>242</v>
      </c>
      <c r="B7" s="7">
        <v>0.46</v>
      </c>
      <c r="C7" s="7">
        <f>$B$7</f>
        <v>0.46</v>
      </c>
      <c r="D7" s="7">
        <f t="shared" ref="D7:J7" si="11">$B$7</f>
        <v>0.46</v>
      </c>
      <c r="E7" s="7">
        <f t="shared" si="11"/>
        <v>0.46</v>
      </c>
      <c r="F7" s="7">
        <f t="shared" si="11"/>
        <v>0.46</v>
      </c>
      <c r="G7" s="7">
        <f t="shared" si="11"/>
        <v>0.46</v>
      </c>
      <c r="H7" s="7">
        <f t="shared" si="11"/>
        <v>0.46</v>
      </c>
      <c r="I7" s="7">
        <f t="shared" si="11"/>
        <v>0.46</v>
      </c>
      <c r="J7" s="7">
        <f t="shared" si="11"/>
        <v>0.46</v>
      </c>
      <c r="K7" s="7">
        <f t="shared" si="5"/>
        <v>0.47840000000000005</v>
      </c>
      <c r="L7" s="7">
        <f t="shared" ref="L7:M12" si="12">K7</f>
        <v>0.47840000000000005</v>
      </c>
      <c r="M7" s="7">
        <f t="shared" si="12"/>
        <v>0.47840000000000005</v>
      </c>
      <c r="N7" s="7">
        <f t="shared" ref="N7:N12" si="13">SUM(B7:M7)/12</f>
        <v>0.46459999999999996</v>
      </c>
      <c r="O7" s="7">
        <f t="shared" ref="O7:O12" si="14">M7</f>
        <v>0.47840000000000005</v>
      </c>
      <c r="P7" s="7">
        <f>O7</f>
        <v>0.47840000000000005</v>
      </c>
      <c r="Q7" s="7">
        <f t="shared" ref="Q7:W7" si="15">P7</f>
        <v>0.47840000000000005</v>
      </c>
      <c r="R7" s="7">
        <f t="shared" si="15"/>
        <v>0.47840000000000005</v>
      </c>
      <c r="S7" s="7">
        <f t="shared" si="15"/>
        <v>0.47840000000000005</v>
      </c>
      <c r="T7" s="7">
        <f t="shared" si="15"/>
        <v>0.47840000000000005</v>
      </c>
      <c r="U7" s="7">
        <f t="shared" si="15"/>
        <v>0.47840000000000005</v>
      </c>
      <c r="V7" s="7">
        <f t="shared" si="15"/>
        <v>0.47840000000000005</v>
      </c>
      <c r="W7" s="7">
        <f t="shared" si="15"/>
        <v>0.47840000000000005</v>
      </c>
      <c r="X7" s="7">
        <f t="shared" si="7"/>
        <v>0.49753600000000009</v>
      </c>
      <c r="Y7" s="7">
        <f t="shared" ref="Y7:Y12" si="16">X7</f>
        <v>0.49753600000000009</v>
      </c>
      <c r="Z7" s="7">
        <f t="shared" si="8"/>
        <v>0.49753600000000009</v>
      </c>
      <c r="AA7" s="7">
        <f t="shared" si="9"/>
        <v>0.48318400000000011</v>
      </c>
      <c r="AB7" s="7">
        <f t="shared" ref="AB7:AC12" si="17">AA7*1.04</f>
        <v>0.50251136000000018</v>
      </c>
      <c r="AC7" s="7">
        <f t="shared" si="17"/>
        <v>0.52261181440000026</v>
      </c>
      <c r="AD7" s="7">
        <f t="shared" si="10"/>
        <v>0.52261181440000026</v>
      </c>
      <c r="AE7" s="210"/>
      <c r="AF7" s="184">
        <v>1</v>
      </c>
      <c r="AG7" s="184">
        <v>7</v>
      </c>
      <c r="AH7" s="194">
        <v>0</v>
      </c>
      <c r="AJ7" s="132">
        <v>0</v>
      </c>
      <c r="AK7" s="61">
        <v>0</v>
      </c>
    </row>
    <row r="8" spans="1:37" x14ac:dyDescent="0.2">
      <c r="A8" s="42" t="s">
        <v>243</v>
      </c>
      <c r="B8" s="7">
        <v>1.28</v>
      </c>
      <c r="C8" s="7">
        <f>$B$8</f>
        <v>1.28</v>
      </c>
      <c r="D8" s="7">
        <f t="shared" ref="D8:J8" si="18">$B$8</f>
        <v>1.28</v>
      </c>
      <c r="E8" s="7">
        <f t="shared" si="18"/>
        <v>1.28</v>
      </c>
      <c r="F8" s="7">
        <f t="shared" si="18"/>
        <v>1.28</v>
      </c>
      <c r="G8" s="7">
        <f t="shared" si="18"/>
        <v>1.28</v>
      </c>
      <c r="H8" s="7">
        <f t="shared" si="18"/>
        <v>1.28</v>
      </c>
      <c r="I8" s="7">
        <f t="shared" si="18"/>
        <v>1.28</v>
      </c>
      <c r="J8" s="7">
        <f t="shared" si="18"/>
        <v>1.28</v>
      </c>
      <c r="K8" s="7">
        <f t="shared" si="5"/>
        <v>1.3312000000000002</v>
      </c>
      <c r="L8" s="7">
        <f t="shared" si="12"/>
        <v>1.3312000000000002</v>
      </c>
      <c r="M8" s="7">
        <f t="shared" si="12"/>
        <v>1.3312000000000002</v>
      </c>
      <c r="N8" s="7">
        <f t="shared" si="13"/>
        <v>1.2928000000000002</v>
      </c>
      <c r="O8" s="7">
        <f t="shared" si="14"/>
        <v>1.3312000000000002</v>
      </c>
      <c r="P8" s="7">
        <f>O8</f>
        <v>1.3312000000000002</v>
      </c>
      <c r="Q8" s="7">
        <f t="shared" ref="Q8:W8" si="19">P8</f>
        <v>1.3312000000000002</v>
      </c>
      <c r="R8" s="7">
        <f t="shared" si="19"/>
        <v>1.3312000000000002</v>
      </c>
      <c r="S8" s="7">
        <f t="shared" si="19"/>
        <v>1.3312000000000002</v>
      </c>
      <c r="T8" s="7">
        <f t="shared" si="19"/>
        <v>1.3312000000000002</v>
      </c>
      <c r="U8" s="7">
        <f t="shared" si="19"/>
        <v>1.3312000000000002</v>
      </c>
      <c r="V8" s="7">
        <f t="shared" si="19"/>
        <v>1.3312000000000002</v>
      </c>
      <c r="W8" s="7">
        <f t="shared" si="19"/>
        <v>1.3312000000000002</v>
      </c>
      <c r="X8" s="7">
        <f t="shared" si="7"/>
        <v>1.3844480000000001</v>
      </c>
      <c r="Y8" s="7">
        <f t="shared" si="16"/>
        <v>1.3844480000000001</v>
      </c>
      <c r="Z8" s="7">
        <f t="shared" si="8"/>
        <v>1.3844480000000001</v>
      </c>
      <c r="AA8" s="7">
        <f t="shared" si="9"/>
        <v>1.3445120000000002</v>
      </c>
      <c r="AB8" s="7">
        <f t="shared" si="17"/>
        <v>1.3982924800000003</v>
      </c>
      <c r="AC8" s="7">
        <f t="shared" si="17"/>
        <v>1.4542241792000004</v>
      </c>
      <c r="AD8" s="7">
        <f t="shared" si="10"/>
        <v>1.4542241792000004</v>
      </c>
      <c r="AE8" s="210"/>
      <c r="AF8" s="184">
        <v>1</v>
      </c>
      <c r="AG8" s="184">
        <v>7</v>
      </c>
      <c r="AH8" s="194">
        <v>0</v>
      </c>
      <c r="AJ8" s="132">
        <v>0</v>
      </c>
      <c r="AK8" s="61">
        <v>0</v>
      </c>
    </row>
    <row r="9" spans="1:37" x14ac:dyDescent="0.2">
      <c r="A9" s="42" t="s">
        <v>244</v>
      </c>
      <c r="B9" s="7">
        <v>0.73</v>
      </c>
      <c r="C9" s="7">
        <f>$B$9</f>
        <v>0.73</v>
      </c>
      <c r="D9" s="7">
        <f t="shared" ref="D9:J9" si="20">$B$9</f>
        <v>0.73</v>
      </c>
      <c r="E9" s="7">
        <f t="shared" si="20"/>
        <v>0.73</v>
      </c>
      <c r="F9" s="7">
        <f t="shared" si="20"/>
        <v>0.73</v>
      </c>
      <c r="G9" s="7">
        <f t="shared" si="20"/>
        <v>0.73</v>
      </c>
      <c r="H9" s="7">
        <f t="shared" si="20"/>
        <v>0.73</v>
      </c>
      <c r="I9" s="7">
        <f t="shared" si="20"/>
        <v>0.73</v>
      </c>
      <c r="J9" s="7">
        <f t="shared" si="20"/>
        <v>0.73</v>
      </c>
      <c r="K9" s="7">
        <f t="shared" si="5"/>
        <v>0.75919999999999999</v>
      </c>
      <c r="L9" s="7">
        <f t="shared" si="12"/>
        <v>0.75919999999999999</v>
      </c>
      <c r="M9" s="7">
        <f t="shared" si="12"/>
        <v>0.75919999999999999</v>
      </c>
      <c r="N9" s="7">
        <f t="shared" si="13"/>
        <v>0.73729999999999996</v>
      </c>
      <c r="O9" s="7">
        <f t="shared" si="14"/>
        <v>0.75919999999999999</v>
      </c>
      <c r="P9" s="7">
        <f t="shared" ref="P9:W9" si="21">O9</f>
        <v>0.75919999999999999</v>
      </c>
      <c r="Q9" s="7">
        <f t="shared" si="21"/>
        <v>0.75919999999999999</v>
      </c>
      <c r="R9" s="7">
        <f t="shared" si="21"/>
        <v>0.75919999999999999</v>
      </c>
      <c r="S9" s="7">
        <f t="shared" si="21"/>
        <v>0.75919999999999999</v>
      </c>
      <c r="T9" s="7">
        <f t="shared" si="21"/>
        <v>0.75919999999999999</v>
      </c>
      <c r="U9" s="7">
        <f t="shared" si="21"/>
        <v>0.75919999999999999</v>
      </c>
      <c r="V9" s="7">
        <f t="shared" si="21"/>
        <v>0.75919999999999999</v>
      </c>
      <c r="W9" s="7">
        <f t="shared" si="21"/>
        <v>0.75919999999999999</v>
      </c>
      <c r="X9" s="7">
        <f t="shared" si="7"/>
        <v>0.78956800000000005</v>
      </c>
      <c r="Y9" s="7">
        <f t="shared" si="16"/>
        <v>0.78956800000000005</v>
      </c>
      <c r="Z9" s="7">
        <f t="shared" si="8"/>
        <v>0.78956800000000005</v>
      </c>
      <c r="AA9" s="7">
        <f t="shared" si="9"/>
        <v>0.76679200000000003</v>
      </c>
      <c r="AB9" s="7">
        <f t="shared" si="17"/>
        <v>0.79746368000000001</v>
      </c>
      <c r="AC9" s="7">
        <f t="shared" si="17"/>
        <v>0.82936222720000008</v>
      </c>
      <c r="AD9" s="7">
        <f t="shared" si="10"/>
        <v>0.82936222720000008</v>
      </c>
      <c r="AE9" s="210"/>
      <c r="AF9" s="184">
        <v>1</v>
      </c>
      <c r="AG9" s="184">
        <v>7</v>
      </c>
      <c r="AH9" s="194"/>
      <c r="AJ9" s="132"/>
      <c r="AK9" s="61"/>
    </row>
    <row r="10" spans="1:37" x14ac:dyDescent="0.2">
      <c r="A10" s="42" t="s">
        <v>245</v>
      </c>
      <c r="B10" s="7">
        <v>0.31</v>
      </c>
      <c r="C10" s="7">
        <f>$B$10</f>
        <v>0.31</v>
      </c>
      <c r="D10" s="7">
        <f t="shared" ref="D10:J10" si="22">$B$10</f>
        <v>0.31</v>
      </c>
      <c r="E10" s="7">
        <f t="shared" si="22"/>
        <v>0.31</v>
      </c>
      <c r="F10" s="7">
        <f t="shared" si="22"/>
        <v>0.31</v>
      </c>
      <c r="G10" s="7">
        <f t="shared" si="22"/>
        <v>0.31</v>
      </c>
      <c r="H10" s="7">
        <f t="shared" si="22"/>
        <v>0.31</v>
      </c>
      <c r="I10" s="7">
        <f t="shared" si="22"/>
        <v>0.31</v>
      </c>
      <c r="J10" s="7">
        <f t="shared" si="22"/>
        <v>0.31</v>
      </c>
      <c r="K10" s="7">
        <f t="shared" si="5"/>
        <v>0.32240000000000002</v>
      </c>
      <c r="L10" s="7">
        <f t="shared" si="12"/>
        <v>0.32240000000000002</v>
      </c>
      <c r="M10" s="7">
        <f t="shared" si="12"/>
        <v>0.32240000000000002</v>
      </c>
      <c r="N10" s="7">
        <f t="shared" si="13"/>
        <v>0.31309999999999999</v>
      </c>
      <c r="O10" s="7">
        <f t="shared" si="14"/>
        <v>0.32240000000000002</v>
      </c>
      <c r="P10" s="7">
        <f t="shared" ref="P10:W10" si="23">O10</f>
        <v>0.32240000000000002</v>
      </c>
      <c r="Q10" s="7">
        <f t="shared" si="23"/>
        <v>0.32240000000000002</v>
      </c>
      <c r="R10" s="7">
        <f t="shared" si="23"/>
        <v>0.32240000000000002</v>
      </c>
      <c r="S10" s="7">
        <f t="shared" si="23"/>
        <v>0.32240000000000002</v>
      </c>
      <c r="T10" s="7">
        <f t="shared" si="23"/>
        <v>0.32240000000000002</v>
      </c>
      <c r="U10" s="7">
        <f t="shared" si="23"/>
        <v>0.32240000000000002</v>
      </c>
      <c r="V10" s="7">
        <f t="shared" si="23"/>
        <v>0.32240000000000002</v>
      </c>
      <c r="W10" s="7">
        <f t="shared" si="23"/>
        <v>0.32240000000000002</v>
      </c>
      <c r="X10" s="7">
        <f t="shared" si="7"/>
        <v>0.33529600000000004</v>
      </c>
      <c r="Y10" s="7">
        <f t="shared" si="16"/>
        <v>0.33529600000000004</v>
      </c>
      <c r="Z10" s="7">
        <f t="shared" si="8"/>
        <v>0.33529600000000004</v>
      </c>
      <c r="AA10" s="7">
        <f t="shared" si="9"/>
        <v>0.32562400000000002</v>
      </c>
      <c r="AB10" s="7">
        <f t="shared" si="17"/>
        <v>0.33864896000000005</v>
      </c>
      <c r="AC10" s="7">
        <f t="shared" si="17"/>
        <v>0.35219491840000006</v>
      </c>
      <c r="AD10" s="7">
        <f t="shared" si="10"/>
        <v>0.35219491840000006</v>
      </c>
      <c r="AE10" s="210"/>
      <c r="AF10" s="184">
        <v>1</v>
      </c>
      <c r="AG10" s="184">
        <v>7</v>
      </c>
      <c r="AH10" s="194">
        <v>0</v>
      </c>
      <c r="AJ10" s="132">
        <v>0</v>
      </c>
      <c r="AK10" s="61">
        <v>0</v>
      </c>
    </row>
    <row r="11" spans="1:37" x14ac:dyDescent="0.2">
      <c r="A11" s="211" t="s">
        <v>246</v>
      </c>
      <c r="B11" s="7">
        <v>0</v>
      </c>
      <c r="C11" s="7">
        <f>$B$11</f>
        <v>0</v>
      </c>
      <c r="D11" s="7">
        <f t="shared" ref="D11:J11" si="24">$B$11</f>
        <v>0</v>
      </c>
      <c r="E11" s="7">
        <f t="shared" si="24"/>
        <v>0</v>
      </c>
      <c r="F11" s="7">
        <f t="shared" si="24"/>
        <v>0</v>
      </c>
      <c r="G11" s="7">
        <f t="shared" si="24"/>
        <v>0</v>
      </c>
      <c r="H11" s="7">
        <f t="shared" si="24"/>
        <v>0</v>
      </c>
      <c r="I11" s="7">
        <f t="shared" si="24"/>
        <v>0</v>
      </c>
      <c r="J11" s="7">
        <f t="shared" si="24"/>
        <v>0</v>
      </c>
      <c r="K11" s="7">
        <f t="shared" si="5"/>
        <v>0</v>
      </c>
      <c r="L11" s="7">
        <f t="shared" si="12"/>
        <v>0</v>
      </c>
      <c r="M11" s="7">
        <f t="shared" si="12"/>
        <v>0</v>
      </c>
      <c r="N11" s="7">
        <f t="shared" si="13"/>
        <v>0</v>
      </c>
      <c r="O11" s="7">
        <f t="shared" si="14"/>
        <v>0</v>
      </c>
      <c r="P11" s="7">
        <f t="shared" ref="P11:W11" si="25">O11</f>
        <v>0</v>
      </c>
      <c r="Q11" s="7">
        <f t="shared" si="25"/>
        <v>0</v>
      </c>
      <c r="R11" s="7">
        <f t="shared" si="25"/>
        <v>0</v>
      </c>
      <c r="S11" s="7">
        <f t="shared" si="25"/>
        <v>0</v>
      </c>
      <c r="T11" s="7">
        <f t="shared" si="25"/>
        <v>0</v>
      </c>
      <c r="U11" s="7">
        <f t="shared" si="25"/>
        <v>0</v>
      </c>
      <c r="V11" s="7">
        <f t="shared" si="25"/>
        <v>0</v>
      </c>
      <c r="W11" s="7">
        <f t="shared" si="25"/>
        <v>0</v>
      </c>
      <c r="X11" s="7">
        <f t="shared" si="7"/>
        <v>0</v>
      </c>
      <c r="Y11" s="7">
        <f t="shared" si="16"/>
        <v>0</v>
      </c>
      <c r="Z11" s="7">
        <f t="shared" si="8"/>
        <v>0</v>
      </c>
      <c r="AA11" s="7">
        <f t="shared" si="9"/>
        <v>0</v>
      </c>
      <c r="AB11" s="7">
        <f t="shared" si="17"/>
        <v>0</v>
      </c>
      <c r="AC11" s="7">
        <f t="shared" si="17"/>
        <v>0</v>
      </c>
      <c r="AD11" s="7">
        <f t="shared" si="10"/>
        <v>0</v>
      </c>
      <c r="AE11" s="210"/>
      <c r="AF11" s="184">
        <v>1</v>
      </c>
      <c r="AG11" s="184">
        <v>7</v>
      </c>
      <c r="AH11" s="194">
        <v>0</v>
      </c>
      <c r="AJ11" s="132">
        <v>0</v>
      </c>
      <c r="AK11" s="61">
        <v>0</v>
      </c>
    </row>
    <row r="12" spans="1:37" x14ac:dyDescent="0.2">
      <c r="A12" s="211" t="s">
        <v>253</v>
      </c>
      <c r="B12" s="7">
        <v>0.5</v>
      </c>
      <c r="C12" s="7">
        <v>0.5</v>
      </c>
      <c r="D12" s="7">
        <v>0.5</v>
      </c>
      <c r="E12" s="7">
        <v>0.5</v>
      </c>
      <c r="F12" s="7">
        <v>0.5</v>
      </c>
      <c r="G12" s="7">
        <v>0.5</v>
      </c>
      <c r="H12" s="7">
        <v>0.5</v>
      </c>
      <c r="I12" s="7">
        <v>0.5</v>
      </c>
      <c r="J12" s="7">
        <v>0.5</v>
      </c>
      <c r="K12" s="7">
        <f>J12*1.04</f>
        <v>0.52</v>
      </c>
      <c r="L12" s="7">
        <f t="shared" si="12"/>
        <v>0.52</v>
      </c>
      <c r="M12" s="7">
        <f t="shared" si="12"/>
        <v>0.52</v>
      </c>
      <c r="N12" s="7">
        <f t="shared" si="13"/>
        <v>0.50499999999999989</v>
      </c>
      <c r="O12" s="7">
        <f t="shared" si="14"/>
        <v>0.52</v>
      </c>
      <c r="P12" s="7">
        <f t="shared" ref="P12:W12" si="26">O12</f>
        <v>0.52</v>
      </c>
      <c r="Q12" s="7">
        <f t="shared" si="26"/>
        <v>0.52</v>
      </c>
      <c r="R12" s="7">
        <f t="shared" si="26"/>
        <v>0.52</v>
      </c>
      <c r="S12" s="7">
        <f t="shared" si="26"/>
        <v>0.52</v>
      </c>
      <c r="T12" s="7">
        <f t="shared" si="26"/>
        <v>0.52</v>
      </c>
      <c r="U12" s="7">
        <f t="shared" si="26"/>
        <v>0.52</v>
      </c>
      <c r="V12" s="7">
        <f t="shared" si="26"/>
        <v>0.52</v>
      </c>
      <c r="W12" s="7">
        <f t="shared" si="26"/>
        <v>0.52</v>
      </c>
      <c r="X12" s="7">
        <f t="shared" si="7"/>
        <v>0.54080000000000006</v>
      </c>
      <c r="Y12" s="7">
        <f t="shared" si="16"/>
        <v>0.54080000000000006</v>
      </c>
      <c r="Z12" s="7">
        <f t="shared" si="8"/>
        <v>0.54080000000000006</v>
      </c>
      <c r="AA12" s="7">
        <f t="shared" si="9"/>
        <v>0.5252</v>
      </c>
      <c r="AB12" s="7">
        <f>AA12*1.04</f>
        <v>0.54620800000000003</v>
      </c>
      <c r="AC12" s="7">
        <f t="shared" si="17"/>
        <v>0.56805632000000006</v>
      </c>
      <c r="AD12" s="7">
        <f>AC12*1.04</f>
        <v>0.59077857280000012</v>
      </c>
      <c r="AE12" s="210"/>
      <c r="AH12" s="194"/>
      <c r="AJ12" s="132"/>
      <c r="AK12" s="61"/>
    </row>
    <row r="13" spans="1:37" x14ac:dyDescent="0.2">
      <c r="A13" s="127" t="s">
        <v>238</v>
      </c>
      <c r="B13" s="155">
        <f>B5+B6+B7+B8+B10+B11+B9+B12</f>
        <v>4.24</v>
      </c>
      <c r="C13" s="155">
        <f t="shared" ref="C13:AD13" si="27">C5+C6+C7+C8+C10+C11+C9+C12</f>
        <v>4.24</v>
      </c>
      <c r="D13" s="155">
        <f t="shared" si="27"/>
        <v>4.24</v>
      </c>
      <c r="E13" s="155">
        <f t="shared" si="27"/>
        <v>4.24</v>
      </c>
      <c r="F13" s="155">
        <f t="shared" si="27"/>
        <v>4.24</v>
      </c>
      <c r="G13" s="155">
        <f t="shared" si="27"/>
        <v>4.24</v>
      </c>
      <c r="H13" s="155">
        <f t="shared" si="27"/>
        <v>4.24</v>
      </c>
      <c r="I13" s="155">
        <f t="shared" si="27"/>
        <v>4.24</v>
      </c>
      <c r="J13" s="155">
        <f t="shared" si="27"/>
        <v>4.24</v>
      </c>
      <c r="K13" s="155">
        <f t="shared" si="27"/>
        <v>4.4096000000000011</v>
      </c>
      <c r="L13" s="155">
        <f t="shared" si="27"/>
        <v>4.4096000000000011</v>
      </c>
      <c r="M13" s="155">
        <f t="shared" si="27"/>
        <v>4.4096000000000011</v>
      </c>
      <c r="N13" s="155">
        <f t="shared" si="27"/>
        <v>4.3210639999999998</v>
      </c>
      <c r="O13" s="155">
        <f t="shared" si="27"/>
        <v>13.208</v>
      </c>
      <c r="P13" s="155">
        <f t="shared" si="27"/>
        <v>13.208</v>
      </c>
      <c r="Q13" s="155">
        <f t="shared" si="27"/>
        <v>13.208</v>
      </c>
      <c r="R13" s="155">
        <f t="shared" si="27"/>
        <v>13.208</v>
      </c>
      <c r="S13" s="155">
        <f t="shared" si="27"/>
        <v>13.208</v>
      </c>
      <c r="T13" s="155">
        <f t="shared" si="27"/>
        <v>13.208</v>
      </c>
      <c r="U13" s="155">
        <f t="shared" si="27"/>
        <v>13.208</v>
      </c>
      <c r="V13" s="155">
        <f t="shared" si="27"/>
        <v>13.208</v>
      </c>
      <c r="W13" s="155">
        <f t="shared" si="27"/>
        <v>13.208</v>
      </c>
      <c r="X13" s="155">
        <f t="shared" si="27"/>
        <v>13.736319999999999</v>
      </c>
      <c r="Y13" s="155">
        <f t="shared" si="27"/>
        <v>13.736319999999999</v>
      </c>
      <c r="Z13" s="155">
        <f t="shared" si="27"/>
        <v>13.736319999999999</v>
      </c>
      <c r="AA13" s="155">
        <f t="shared" si="27"/>
        <v>4.4939065600000001</v>
      </c>
      <c r="AB13" s="155">
        <f t="shared" si="27"/>
        <v>4.6736628224000007</v>
      </c>
      <c r="AC13" s="155">
        <f t="shared" si="27"/>
        <v>4.8606093352960009</v>
      </c>
      <c r="AD13" s="155">
        <f t="shared" si="27"/>
        <v>4.8833315880960004</v>
      </c>
      <c r="AE13" s="210"/>
    </row>
    <row r="14" spans="1:37" ht="15" x14ac:dyDescent="0.25">
      <c r="A14" s="196" t="s">
        <v>256</v>
      </c>
      <c r="B14" s="220">
        <f t="shared" ref="B14:M14" si="28">B3*B13</f>
        <v>447744</v>
      </c>
      <c r="C14" s="220">
        <f t="shared" si="28"/>
        <v>447744</v>
      </c>
      <c r="D14" s="220">
        <f t="shared" si="28"/>
        <v>447744</v>
      </c>
      <c r="E14" s="220">
        <f t="shared" si="28"/>
        <v>447744</v>
      </c>
      <c r="F14" s="220">
        <f t="shared" si="28"/>
        <v>447744</v>
      </c>
      <c r="G14" s="220">
        <f t="shared" si="28"/>
        <v>447744</v>
      </c>
      <c r="H14" s="220">
        <f t="shared" si="28"/>
        <v>447744</v>
      </c>
      <c r="I14" s="220">
        <f t="shared" si="28"/>
        <v>447744</v>
      </c>
      <c r="J14" s="220">
        <f t="shared" si="28"/>
        <v>447744</v>
      </c>
      <c r="K14" s="220">
        <f t="shared" si="28"/>
        <v>465653.76000000013</v>
      </c>
      <c r="L14" s="220">
        <f t="shared" si="28"/>
        <v>465653.76000000013</v>
      </c>
      <c r="M14" s="220">
        <f t="shared" si="28"/>
        <v>465653.76000000013</v>
      </c>
      <c r="N14" s="220">
        <f>SUM(B14:M14)</f>
        <v>5426657.2799999993</v>
      </c>
      <c r="O14" s="220">
        <f t="shared" ref="O14:Z14" si="29">O3*O13</f>
        <v>2092147.2</v>
      </c>
      <c r="P14" s="220">
        <f t="shared" si="29"/>
        <v>2092147.2</v>
      </c>
      <c r="Q14" s="220">
        <f t="shared" si="29"/>
        <v>2092147.2</v>
      </c>
      <c r="R14" s="220">
        <f t="shared" si="29"/>
        <v>2092147.2</v>
      </c>
      <c r="S14" s="220">
        <f t="shared" si="29"/>
        <v>2092147.2</v>
      </c>
      <c r="T14" s="220">
        <f t="shared" si="29"/>
        <v>2092147.2</v>
      </c>
      <c r="U14" s="220">
        <f t="shared" si="29"/>
        <v>2092147.2</v>
      </c>
      <c r="V14" s="220">
        <f t="shared" si="29"/>
        <v>2092147.2</v>
      </c>
      <c r="W14" s="220">
        <f t="shared" si="29"/>
        <v>2092147.2</v>
      </c>
      <c r="X14" s="220">
        <f t="shared" si="29"/>
        <v>2175833.088</v>
      </c>
      <c r="Y14" s="220">
        <f t="shared" si="29"/>
        <v>2175833.088</v>
      </c>
      <c r="Z14" s="220">
        <f t="shared" si="29"/>
        <v>2175833.088</v>
      </c>
      <c r="AA14" s="220">
        <f>SUM(O14:Z14)</f>
        <v>25356824.063999996</v>
      </c>
      <c r="AB14" s="220">
        <f>AB3*AB13</f>
        <v>13325547.439226883</v>
      </c>
      <c r="AC14" s="220">
        <f>AC3*AC13</f>
        <v>20787854.005193938</v>
      </c>
      <c r="AD14" s="220">
        <f>AD3*AD13</f>
        <v>31327548.803953461</v>
      </c>
      <c r="AE14" s="210"/>
    </row>
    <row r="15" spans="1:37" x14ac:dyDescent="0.2"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</row>
    <row r="16" spans="1:37" ht="15" x14ac:dyDescent="0.25">
      <c r="A16" s="174" t="s">
        <v>198</v>
      </c>
      <c r="B16" s="201">
        <f t="shared" ref="B16:M16" si="30">B14</f>
        <v>447744</v>
      </c>
      <c r="C16" s="201">
        <f t="shared" si="30"/>
        <v>447744</v>
      </c>
      <c r="D16" s="201">
        <f t="shared" si="30"/>
        <v>447744</v>
      </c>
      <c r="E16" s="201">
        <f t="shared" si="30"/>
        <v>447744</v>
      </c>
      <c r="F16" s="201">
        <f t="shared" si="30"/>
        <v>447744</v>
      </c>
      <c r="G16" s="201">
        <f t="shared" si="30"/>
        <v>447744</v>
      </c>
      <c r="H16" s="201">
        <f t="shared" si="30"/>
        <v>447744</v>
      </c>
      <c r="I16" s="201">
        <f t="shared" si="30"/>
        <v>447744</v>
      </c>
      <c r="J16" s="201">
        <f t="shared" si="30"/>
        <v>447744</v>
      </c>
      <c r="K16" s="201">
        <f t="shared" si="30"/>
        <v>465653.76000000013</v>
      </c>
      <c r="L16" s="201">
        <f t="shared" si="30"/>
        <v>465653.76000000013</v>
      </c>
      <c r="M16" s="201">
        <f t="shared" si="30"/>
        <v>465653.76000000013</v>
      </c>
      <c r="N16" s="201">
        <f>SUM(B16:M16)</f>
        <v>5426657.2799999993</v>
      </c>
      <c r="O16" s="201">
        <f t="shared" ref="O16:Z16" si="31">O14</f>
        <v>2092147.2</v>
      </c>
      <c r="P16" s="201">
        <f t="shared" si="31"/>
        <v>2092147.2</v>
      </c>
      <c r="Q16" s="201">
        <f t="shared" si="31"/>
        <v>2092147.2</v>
      </c>
      <c r="R16" s="201">
        <f t="shared" si="31"/>
        <v>2092147.2</v>
      </c>
      <c r="S16" s="201">
        <f t="shared" si="31"/>
        <v>2092147.2</v>
      </c>
      <c r="T16" s="201">
        <f t="shared" si="31"/>
        <v>2092147.2</v>
      </c>
      <c r="U16" s="201">
        <f t="shared" si="31"/>
        <v>2092147.2</v>
      </c>
      <c r="V16" s="201">
        <f t="shared" si="31"/>
        <v>2092147.2</v>
      </c>
      <c r="W16" s="201">
        <f t="shared" si="31"/>
        <v>2092147.2</v>
      </c>
      <c r="X16" s="201">
        <f t="shared" si="31"/>
        <v>2175833.088</v>
      </c>
      <c r="Y16" s="201">
        <f t="shared" si="31"/>
        <v>2175833.088</v>
      </c>
      <c r="Z16" s="201">
        <f t="shared" si="31"/>
        <v>2175833.088</v>
      </c>
      <c r="AA16" s="201">
        <f>SUM(O16:Z16)</f>
        <v>25356824.063999996</v>
      </c>
      <c r="AB16" s="201">
        <f>AB14</f>
        <v>13325547.439226883</v>
      </c>
      <c r="AC16" s="201">
        <f>AC14</f>
        <v>20787854.005193938</v>
      </c>
      <c r="AD16" s="201">
        <f>AD14</f>
        <v>31327548.803953461</v>
      </c>
    </row>
    <row r="17" spans="1:37" ht="12.75" customHeight="1" x14ac:dyDescent="0.2"/>
    <row r="18" spans="1:37" s="228" customFormat="1" ht="11.25" x14ac:dyDescent="0.2">
      <c r="A18" s="228" t="s">
        <v>105</v>
      </c>
      <c r="B18" s="100">
        <f>B3 * SUMPRODUCT(B5:B11, AF5:AF11)</f>
        <v>394944</v>
      </c>
      <c r="C18" s="100">
        <f>C3 * SUMPRODUCT(C5:C11, AF5:AF11)</f>
        <v>394944</v>
      </c>
      <c r="D18" s="100">
        <f>D3 * SUMPRODUCT(D5:D11, AF5:AF11)</f>
        <v>394944</v>
      </c>
      <c r="E18" s="100">
        <f>E3 * SUMPRODUCT(E5:E11, AF5:AF11)</f>
        <v>394944</v>
      </c>
      <c r="F18" s="100">
        <f>F3 * SUMPRODUCT(F5:F11, AF5:AF11)</f>
        <v>394944</v>
      </c>
      <c r="G18" s="100">
        <f>G3 * SUMPRODUCT(G5:G11, AF5:AF11)</f>
        <v>394944</v>
      </c>
      <c r="H18" s="100">
        <f>H3 * SUMPRODUCT(H5:H11, AF5:AF11)</f>
        <v>394944</v>
      </c>
      <c r="I18" s="100">
        <f>I3 * SUMPRODUCT(I5:I11, AF5:AF11)</f>
        <v>394944</v>
      </c>
      <c r="J18" s="100">
        <f>J3 * SUMPRODUCT(J5:J11, AF5:AF11)</f>
        <v>394944</v>
      </c>
      <c r="K18" s="100">
        <f>K3 * SUMPRODUCT(K5:K11, AF5:AF11)</f>
        <v>410741.76000000007</v>
      </c>
      <c r="L18" s="100">
        <f>L3 * SUMPRODUCT(L5:L11, AF5:AF11)</f>
        <v>410741.76000000007</v>
      </c>
      <c r="M18" s="100">
        <f>M3 * SUMPRODUCT(M5:M11, AF5:AF11)</f>
        <v>410741.76000000007</v>
      </c>
      <c r="N18" s="100">
        <f>SUM(B18:M18)</f>
        <v>4786721.28</v>
      </c>
      <c r="O18" s="100">
        <f>O3 * SUMPRODUCT(O5:O11, AF5:AF11)</f>
        <v>2009779.2000000002</v>
      </c>
      <c r="P18" s="100">
        <f>P3 * SUMPRODUCT(P5:P11, AF5:AF11)</f>
        <v>2009779.2000000002</v>
      </c>
      <c r="Q18" s="100">
        <f>Q3 * SUMPRODUCT(Q5:Q11, AF5:AF11)</f>
        <v>2009779.2000000002</v>
      </c>
      <c r="R18" s="100">
        <f>R3 * SUMPRODUCT(R5:R11, AF5:AF11)</f>
        <v>2009779.2000000002</v>
      </c>
      <c r="S18" s="100">
        <f>S3 * SUMPRODUCT(S5:S11, AF5:AF11)</f>
        <v>2009779.2000000002</v>
      </c>
      <c r="T18" s="100">
        <f>T3 * SUMPRODUCT(T5:T11, AF5:AF11)</f>
        <v>2009779.2000000002</v>
      </c>
      <c r="U18" s="100">
        <f>U3 * SUMPRODUCT(U5:U11, AF5:AF11)</f>
        <v>2009779.2000000002</v>
      </c>
      <c r="V18" s="100">
        <f>V3 * SUMPRODUCT(V5:V11, AF5:AF11)</f>
        <v>2009779.2000000002</v>
      </c>
      <c r="W18" s="100">
        <f>W3 * SUMPRODUCT(W5:W11, AF5:AF11)</f>
        <v>2009779.2000000002</v>
      </c>
      <c r="X18" s="100">
        <f>X3 * SUMPRODUCT(X5:X11, AF5:AF11)</f>
        <v>2090170.3679999998</v>
      </c>
      <c r="Y18" s="100">
        <f>Y3 * SUMPRODUCT(Y5:Y11, AF5:AF11)</f>
        <v>2090170.3679999998</v>
      </c>
      <c r="Z18" s="100">
        <f>Z3 * SUMPRODUCT(Z5:Z11, AF5:AF11)</f>
        <v>2090170.3679999998</v>
      </c>
      <c r="AA18" s="100">
        <f>SUM(O18:Z18)</f>
        <v>24358523.903999999</v>
      </c>
      <c r="AB18" s="100">
        <f>AB3 * SUMPRODUCT(AB5:AB11, AF5:AF11)</f>
        <v>11768199.189626882</v>
      </c>
      <c r="AC18" s="100">
        <f>AC3 * SUMPRODUCT(AC5:AC11, AF5:AF11)</f>
        <v>18358390.735817939</v>
      </c>
      <c r="AD18" s="100">
        <f>AD3 * SUMPRODUCT(AD5:AD11, AF5:AF11)</f>
        <v>27537586.103726909</v>
      </c>
      <c r="AF18" s="64"/>
      <c r="AG18" s="64"/>
      <c r="AH18" s="18"/>
      <c r="AI18" s="184"/>
      <c r="AJ18" s="18"/>
      <c r="AK18" s="64"/>
    </row>
    <row r="19" spans="1:37" s="147" customFormat="1" ht="11.25" x14ac:dyDescent="0.2">
      <c r="A19" s="147" t="s">
        <v>77</v>
      </c>
      <c r="B19" s="20">
        <f>IF(B18=0,0,(B3 * SUMPRODUCT(B5:B12, AG4:AG11))/B18)</f>
        <v>11.256684491978612</v>
      </c>
      <c r="C19" s="20">
        <f>IF(C18=0,0,(C3 * SUMPRODUCT(C5:C12, AG4:AG11))/C18)</f>
        <v>11.256684491978612</v>
      </c>
      <c r="D19" s="20">
        <f>IF(D18=0,0,(D3 * SUMPRODUCT(D5:D12, AG4:AG11))/D18)</f>
        <v>11.256684491978612</v>
      </c>
      <c r="E19" s="20">
        <f>IF(E18=0,0,(E3 * SUMPRODUCT(E5:E12, AG4:AG11))/E18)</f>
        <v>11.256684491978612</v>
      </c>
      <c r="F19" s="20">
        <f>IF(F18=0,0,(F3 * SUMPRODUCT(F5:F12, AG4:AG11))/F18)</f>
        <v>11.256684491978612</v>
      </c>
      <c r="G19" s="20">
        <f>IF(G18=0,0,(G3 * SUMPRODUCT(G5:G12, AG4:AG11))/G18)</f>
        <v>11.256684491978612</v>
      </c>
      <c r="H19" s="20">
        <f>IF(H18=0,0,(H3 * SUMPRODUCT(H5:H12, AG4:AG11))/H18)</f>
        <v>11.256684491978612</v>
      </c>
      <c r="I19" s="20">
        <f>IF(I18=0,0,(I3 * SUMPRODUCT(I5:I12, AG4:AG11))/I18)</f>
        <v>11.256684491978612</v>
      </c>
      <c r="J19" s="20">
        <f>IF(J18=0,0,(J3 * SUMPRODUCT(J5:J12, AG4:AG11))/J18)</f>
        <v>11.256684491978612</v>
      </c>
      <c r="K19" s="20">
        <f>IF(K18=0,0,(K3 * SUMPRODUCT(K5:K12, AG4:AG11))/K18)</f>
        <v>11.256684491978607</v>
      </c>
      <c r="L19" s="20">
        <f>IF(L18=0,0,(L3 * SUMPRODUCT(L5:L12, AG4:AG11))/L18)</f>
        <v>11.256684491978607</v>
      </c>
      <c r="M19" s="20">
        <f>IF(M18=0,0,(M3 * SUMPRODUCT(M5:M12, AG4:AG11))/M18)</f>
        <v>11.256684491978607</v>
      </c>
      <c r="N19" s="20"/>
      <c r="O19" s="20">
        <f>IF(O18=0,0,(O3 * SUMPRODUCT(O5:O12, AG4:AG11))/O18)</f>
        <v>24.254098360655728</v>
      </c>
      <c r="P19" s="20">
        <f>IF(P18=0,0,(P3 * SUMPRODUCT(P5:P12, AG4:AG11))/P18)</f>
        <v>24.254098360655728</v>
      </c>
      <c r="Q19" s="20">
        <f>IF(Q18=0,0,(Q3 * SUMPRODUCT(Q5:Q12, AG4:AG11))/Q18)</f>
        <v>24.254098360655728</v>
      </c>
      <c r="R19" s="20">
        <f>IF(R18=0,0,(R3 * SUMPRODUCT(R5:R12, AG4:AG11))/R18)</f>
        <v>24.254098360655728</v>
      </c>
      <c r="S19" s="20">
        <f>IF(S18=0,0,(S3 * SUMPRODUCT(S5:S12, AG4:AG11))/S18)</f>
        <v>24.254098360655728</v>
      </c>
      <c r="T19" s="20">
        <f>IF(T18=0,0,(T3 * SUMPRODUCT(T5:T12, AG4:AG11))/T18)</f>
        <v>24.254098360655728</v>
      </c>
      <c r="U19" s="20">
        <f>IF(U18=0,0,(U3 * SUMPRODUCT(U5:U12, AG4:AG11))/U18)</f>
        <v>24.254098360655728</v>
      </c>
      <c r="V19" s="20">
        <f>IF(V18=0,0,(V3 * SUMPRODUCT(V5:V12, AG4:AG11))/V18)</f>
        <v>24.254098360655728</v>
      </c>
      <c r="W19" s="20">
        <f>IF(W18=0,0,(W3 * SUMPRODUCT(W5:W12, AG4:AG11))/W18)</f>
        <v>24.254098360655728</v>
      </c>
      <c r="X19" s="20">
        <f>IF(X18=0,0,(X3 * SUMPRODUCT(X5:X12, AG4:AG11))/X18)</f>
        <v>24.254098360655746</v>
      </c>
      <c r="Y19" s="20">
        <f>IF(Y18=0,0,(Y3 * SUMPRODUCT(Y5:Y12, AG4:AG11))/Y18)</f>
        <v>24.254098360655746</v>
      </c>
      <c r="Z19" s="20">
        <f>IF(Z18=0,0,(Z3 * SUMPRODUCT(Z5:Z12, AG4:AG11))/Z18)</f>
        <v>24.254098360655746</v>
      </c>
      <c r="AA19" s="20"/>
      <c r="AB19" s="20">
        <f>IF(AB18=0,0,(AB3 * SUMPRODUCT(AB5:AB12, AG4:AG11))/AB18)</f>
        <v>11.446589994297792</v>
      </c>
      <c r="AC19" s="20">
        <f>IF(AC18=0,0,(AC3 * SUMPRODUCT(AC5:AC12, AG4:AG11))/AC18)</f>
        <v>11.446589994297787</v>
      </c>
      <c r="AD19" s="20">
        <f>IF(AD18=0,0,(AD3 * SUMPRODUCT(AD5:AD12, AG4:AG11))/AD18)</f>
        <v>11.483643880186493</v>
      </c>
      <c r="AF19" s="64"/>
      <c r="AG19" s="64"/>
      <c r="AH19" s="18"/>
      <c r="AI19" s="184"/>
      <c r="AJ19" s="18"/>
      <c r="AK19" s="64"/>
    </row>
    <row r="20" spans="1:37" s="228" customFormat="1" ht="11.25" x14ac:dyDescent="0.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F20" s="64"/>
      <c r="AG20" s="64"/>
      <c r="AH20" s="18"/>
      <c r="AI20" s="184"/>
      <c r="AJ20" s="18"/>
      <c r="AK20" s="64"/>
    </row>
    <row r="21" spans="1:37" s="228" customFormat="1" ht="11.25" x14ac:dyDescent="0.2">
      <c r="A21" s="228" t="s">
        <v>219</v>
      </c>
      <c r="B21" s="100">
        <f>B3 * SUMPRODUCT(B5:B11, AH5:AH11)</f>
        <v>0</v>
      </c>
      <c r="C21" s="100">
        <f>C3 * SUMPRODUCT(C5:C11, AH5:AH11)</f>
        <v>0</v>
      </c>
      <c r="D21" s="100">
        <f>D3 * SUMPRODUCT(D5:D11, AH5:AH11)</f>
        <v>0</v>
      </c>
      <c r="E21" s="100">
        <f>E3 * SUMPRODUCT(E5:E11, AH5:AH11)</f>
        <v>0</v>
      </c>
      <c r="F21" s="100">
        <f>F3 * SUMPRODUCT(F5:F11, AH5:AH11)</f>
        <v>0</v>
      </c>
      <c r="G21" s="100">
        <f>G3 * SUMPRODUCT(G5:G11, AH5:AH11)</f>
        <v>0</v>
      </c>
      <c r="H21" s="100">
        <f>H3 * SUMPRODUCT(H5:H11, AH5:AH11)</f>
        <v>0</v>
      </c>
      <c r="I21" s="100">
        <f>I3 * SUMPRODUCT(I5:I11, AH5:AH11)</f>
        <v>0</v>
      </c>
      <c r="J21" s="100">
        <f>J3 * SUMPRODUCT(J5:J11, AH5:AH11)</f>
        <v>0</v>
      </c>
      <c r="K21" s="100">
        <f>K3 * SUMPRODUCT(K5:K11, AH5:AH11)</f>
        <v>0</v>
      </c>
      <c r="L21" s="100">
        <f>L3 * SUMPRODUCT(L5:L11, AH5:AH11)</f>
        <v>0</v>
      </c>
      <c r="M21" s="100">
        <f>M3 * SUMPRODUCT(M5:M11, AH5:AH11)</f>
        <v>0</v>
      </c>
      <c r="N21" s="100"/>
      <c r="O21" s="100">
        <f>O3 * SUMPRODUCT(O5:O11, AH5:AH11)</f>
        <v>0</v>
      </c>
      <c r="P21" s="100">
        <f>P3 * SUMPRODUCT(P5:P11, AH5:AH11)</f>
        <v>0</v>
      </c>
      <c r="Q21" s="100">
        <f>Q3 * SUMPRODUCT(Q5:Q11, AH5:AH11)</f>
        <v>0</v>
      </c>
      <c r="R21" s="100">
        <f>R3 * SUMPRODUCT(R5:R11, AH5:AH11)</f>
        <v>0</v>
      </c>
      <c r="S21" s="100">
        <f>S3 * SUMPRODUCT(S5:S11, AH5:AH11)</f>
        <v>0</v>
      </c>
      <c r="T21" s="100">
        <f>T3 * SUMPRODUCT(T5:T11, AH5:AH11)</f>
        <v>0</v>
      </c>
      <c r="U21" s="100">
        <f>U3 * SUMPRODUCT(U5:U11, AH5:AH11)</f>
        <v>0</v>
      </c>
      <c r="V21" s="100">
        <f>V3 * SUMPRODUCT(V5:V11, AH5:AH11)</f>
        <v>0</v>
      </c>
      <c r="W21" s="100">
        <f>W3 * SUMPRODUCT(W5:W11, AH5:AH11)</f>
        <v>0</v>
      </c>
      <c r="X21" s="100">
        <f>X3 * SUMPRODUCT(X5:X11, AH5:AH11)</f>
        <v>0</v>
      </c>
      <c r="Y21" s="100">
        <f>Y3 * SUMPRODUCT(Y5:Y11, AH5:AH11)</f>
        <v>0</v>
      </c>
      <c r="Z21" s="100">
        <f>Z3 * SUMPRODUCT(Z5:Z11, AH5:AH11)</f>
        <v>0</v>
      </c>
      <c r="AA21" s="100"/>
      <c r="AB21" s="100">
        <f>AB3 * SUMPRODUCT(AB5:AB11, AH5:AH11)</f>
        <v>0</v>
      </c>
      <c r="AC21" s="100">
        <f>AC3 * SUMPRODUCT(AC5:AC11, AH5:AH11)</f>
        <v>0</v>
      </c>
      <c r="AD21" s="100">
        <f>AD3 * SUMPRODUCT(AD5:AD11, AH5:AH11)</f>
        <v>0</v>
      </c>
      <c r="AF21" s="64"/>
      <c r="AG21" s="64"/>
      <c r="AH21" s="18"/>
      <c r="AI21" s="184"/>
      <c r="AJ21" s="18"/>
      <c r="AK21" s="64"/>
    </row>
    <row r="22" spans="1:37" s="228" customFormat="1" ht="11.25" x14ac:dyDescent="0.2">
      <c r="AF22" s="184"/>
      <c r="AG22" s="184"/>
      <c r="AH22" s="64"/>
      <c r="AI22" s="184"/>
      <c r="AJ22" s="184"/>
      <c r="AK22" s="184"/>
    </row>
    <row r="23" spans="1:37" s="228" customFormat="1" ht="11.25" x14ac:dyDescent="0.2">
      <c r="A23" s="228" t="s">
        <v>40</v>
      </c>
      <c r="B23" s="100">
        <f t="shared" ref="B23:M23" si="32">B16-B24</f>
        <v>447744</v>
      </c>
      <c r="C23" s="100">
        <f t="shared" si="32"/>
        <v>447744</v>
      </c>
      <c r="D23" s="100">
        <f t="shared" si="32"/>
        <v>447744</v>
      </c>
      <c r="E23" s="100">
        <f t="shared" si="32"/>
        <v>447744</v>
      </c>
      <c r="F23" s="100">
        <f t="shared" si="32"/>
        <v>447744</v>
      </c>
      <c r="G23" s="100">
        <f t="shared" si="32"/>
        <v>447744</v>
      </c>
      <c r="H23" s="100">
        <f t="shared" si="32"/>
        <v>447744</v>
      </c>
      <c r="I23" s="100">
        <f t="shared" si="32"/>
        <v>447744</v>
      </c>
      <c r="J23" s="100">
        <f t="shared" si="32"/>
        <v>447744</v>
      </c>
      <c r="K23" s="100">
        <f t="shared" si="32"/>
        <v>465653.76000000013</v>
      </c>
      <c r="L23" s="100">
        <f t="shared" si="32"/>
        <v>465653.76000000013</v>
      </c>
      <c r="M23" s="100">
        <f t="shared" si="32"/>
        <v>465653.76000000013</v>
      </c>
      <c r="N23" s="100">
        <f>SUM(B23:M23)</f>
        <v>5426657.2799999993</v>
      </c>
      <c r="O23" s="100">
        <f t="shared" ref="O23:Z23" si="33">O16-O24</f>
        <v>2092147.2</v>
      </c>
      <c r="P23" s="100">
        <f t="shared" si="33"/>
        <v>2092147.2</v>
      </c>
      <c r="Q23" s="100">
        <f t="shared" si="33"/>
        <v>2092147.2</v>
      </c>
      <c r="R23" s="100">
        <f t="shared" si="33"/>
        <v>2092147.2</v>
      </c>
      <c r="S23" s="100">
        <f t="shared" si="33"/>
        <v>2092147.2</v>
      </c>
      <c r="T23" s="100">
        <f t="shared" si="33"/>
        <v>2092147.2</v>
      </c>
      <c r="U23" s="100">
        <f t="shared" si="33"/>
        <v>2092147.2</v>
      </c>
      <c r="V23" s="100">
        <f t="shared" si="33"/>
        <v>2092147.2</v>
      </c>
      <c r="W23" s="100">
        <f t="shared" si="33"/>
        <v>2092147.2</v>
      </c>
      <c r="X23" s="100">
        <f t="shared" si="33"/>
        <v>2175833.088</v>
      </c>
      <c r="Y23" s="100">
        <f t="shared" si="33"/>
        <v>2175833.088</v>
      </c>
      <c r="Z23" s="100">
        <f t="shared" si="33"/>
        <v>2175833.088</v>
      </c>
      <c r="AA23" s="100">
        <f>SUM(O23:Z23)</f>
        <v>25356824.063999996</v>
      </c>
      <c r="AB23" s="100">
        <f>AB16-AB24</f>
        <v>13325547.439226883</v>
      </c>
      <c r="AC23" s="100">
        <f>AC16-AC24</f>
        <v>20787854.005193938</v>
      </c>
      <c r="AD23" s="100">
        <f>AD16-AD24</f>
        <v>31327548.803953461</v>
      </c>
      <c r="AF23" s="184"/>
      <c r="AG23" s="184"/>
      <c r="AH23" s="18"/>
      <c r="AI23" s="184"/>
      <c r="AJ23" s="184"/>
      <c r="AK23" s="184"/>
    </row>
    <row r="24" spans="1:37" s="228" customFormat="1" ht="11.25" x14ac:dyDescent="0.2">
      <c r="A24" s="228" t="s">
        <v>19</v>
      </c>
      <c r="B24" s="100">
        <f>B3 * SUMPRODUCT(B5:B11, AJ5:AJ11)</f>
        <v>0</v>
      </c>
      <c r="C24" s="100">
        <f>C3 * SUMPRODUCT(C5:C11, AJ5:AJ11)</f>
        <v>0</v>
      </c>
      <c r="D24" s="100">
        <f>D3 * SUMPRODUCT(D5:D11, AJ5:AJ11)</f>
        <v>0</v>
      </c>
      <c r="E24" s="100">
        <f>E3 * SUMPRODUCT(E5:E11, AJ5:AJ11)</f>
        <v>0</v>
      </c>
      <c r="F24" s="100">
        <f>F3 * SUMPRODUCT(F5:F11, AJ5:AJ11)</f>
        <v>0</v>
      </c>
      <c r="G24" s="100">
        <f>G3 * SUMPRODUCT(G5:G11, AJ5:AJ11)</f>
        <v>0</v>
      </c>
      <c r="H24" s="100">
        <f>H3 * SUMPRODUCT(H5:H11, AJ5:AJ11)</f>
        <v>0</v>
      </c>
      <c r="I24" s="100">
        <f>I3 * SUMPRODUCT(I5:I11, AJ5:AJ11)</f>
        <v>0</v>
      </c>
      <c r="J24" s="100">
        <f>J3 * SUMPRODUCT(J5:J11, AJ5:AJ11)</f>
        <v>0</v>
      </c>
      <c r="K24" s="100">
        <f>K3 * SUMPRODUCT(K5:K11, AJ5:AJ11)</f>
        <v>0</v>
      </c>
      <c r="L24" s="100">
        <f>L3 * SUMPRODUCT(L5:L11, AJ5:AJ11)</f>
        <v>0</v>
      </c>
      <c r="M24" s="100">
        <f>M3 * SUMPRODUCT(M5:M11, AJ5:AJ11)</f>
        <v>0</v>
      </c>
      <c r="N24" s="100">
        <f>SUM(B24:M24)</f>
        <v>0</v>
      </c>
      <c r="O24" s="100">
        <f>O3 * SUMPRODUCT(O5:O11, AJ5:AJ11)</f>
        <v>0</v>
      </c>
      <c r="P24" s="100">
        <f>P3 * SUMPRODUCT(P5:P11, AJ5:AJ11)</f>
        <v>0</v>
      </c>
      <c r="Q24" s="100">
        <f>Q3 * SUMPRODUCT(Q5:Q11, AJ5:AJ11)</f>
        <v>0</v>
      </c>
      <c r="R24" s="100">
        <f>R3 * SUMPRODUCT(R5:R11, AJ5:AJ11)</f>
        <v>0</v>
      </c>
      <c r="S24" s="100">
        <f>S3 * SUMPRODUCT(S5:S11, AJ5:AJ11)</f>
        <v>0</v>
      </c>
      <c r="T24" s="100">
        <f>T3 * SUMPRODUCT(T5:T11, AJ5:AJ11)</f>
        <v>0</v>
      </c>
      <c r="U24" s="100">
        <f>U3 * SUMPRODUCT(U5:U11, AJ5:AJ11)</f>
        <v>0</v>
      </c>
      <c r="V24" s="100">
        <f>V3 * SUMPRODUCT(V5:V11, AJ5:AJ11)</f>
        <v>0</v>
      </c>
      <c r="W24" s="100">
        <f>W3 * SUMPRODUCT(W5:W11, AJ5:AJ11)</f>
        <v>0</v>
      </c>
      <c r="X24" s="100">
        <f>X3 * SUMPRODUCT(X5:X11, AJ5:AJ11)</f>
        <v>0</v>
      </c>
      <c r="Y24" s="100">
        <f>Y3 * SUMPRODUCT(Y5:Y11, AJ5:AJ11)</f>
        <v>0</v>
      </c>
      <c r="Z24" s="100">
        <f>Z3 * SUMPRODUCT(Z5:Z11, AJ5:AJ11)</f>
        <v>0</v>
      </c>
      <c r="AA24" s="100">
        <f>SUM(O24:Z24)</f>
        <v>0</v>
      </c>
      <c r="AB24" s="100">
        <f>AB3 * SUMPRODUCT(AB5:AB11, AJ5:AJ11)</f>
        <v>0</v>
      </c>
      <c r="AC24" s="100">
        <f>AC3 * SUMPRODUCT(AC5:AC11, AJ5:AJ11)</f>
        <v>0</v>
      </c>
      <c r="AD24" s="100">
        <f>AD3 * SUMPRODUCT(AD5:AD11, AJ5:AJ11)</f>
        <v>0</v>
      </c>
      <c r="AF24" s="184"/>
      <c r="AG24" s="184"/>
      <c r="AH24" s="64"/>
      <c r="AI24" s="184"/>
      <c r="AJ24" s="184"/>
      <c r="AK24" s="184"/>
    </row>
    <row r="25" spans="1:37" s="113" customFormat="1" ht="11.25" x14ac:dyDescent="0.2">
      <c r="A25" s="113" t="s">
        <v>102</v>
      </c>
      <c r="B25" s="20">
        <f>IF(B24=0,0,(B3 * SUMPRODUCT(B5:B11, AJ5:AJ11, AK5:AK11))/B24)</f>
        <v>0</v>
      </c>
      <c r="C25" s="20">
        <f>IF(C24=0,0,(C3 * SUMPRODUCT(C5:C11, AJ5:AJ11, AK5:AK11))/C24)</f>
        <v>0</v>
      </c>
      <c r="D25" s="20">
        <f>IF(D24=0,0,(D3 * SUMPRODUCT(D5:D11, AJ5:AJ11, AK5:AK11))/D24)</f>
        <v>0</v>
      </c>
      <c r="E25" s="20">
        <f>IF(E24=0,0,(E3 * SUMPRODUCT(E5:E11, AJ5:AJ11, AK5:AK11))/E24)</f>
        <v>0</v>
      </c>
      <c r="F25" s="20">
        <f>IF(F24=0,0,(F3 * SUMPRODUCT(F5:F11, AJ5:AJ11, AK5:AK11))/F24)</f>
        <v>0</v>
      </c>
      <c r="G25" s="20">
        <f>IF(G24=0,0,(G3 * SUMPRODUCT(G5:G11, AJ5:AJ11, AK5:AK11))/G24)</f>
        <v>0</v>
      </c>
      <c r="H25" s="20">
        <f>IF(H24=0,0,(H3 * SUMPRODUCT(H5:H11, AJ5:AJ11, AK5:AK11))/H24)</f>
        <v>0</v>
      </c>
      <c r="I25" s="20">
        <f>IF(I24=0,0,(I3 * SUMPRODUCT(I5:I11, AJ5:AJ11, AK5:AK11))/I24)</f>
        <v>0</v>
      </c>
      <c r="J25" s="20">
        <f>IF(J24=0,0,(J3 * SUMPRODUCT(J5:J11, AJ5:AJ11, AK5:AK11))/J24)</f>
        <v>0</v>
      </c>
      <c r="K25" s="20">
        <f>IF(K24=0,0,(K3 * SUMPRODUCT(K5:K11, AJ5:AJ11, AK5:AK11))/K24)</f>
        <v>0</v>
      </c>
      <c r="L25" s="20">
        <f>IF(L24=0,0,(L3 * SUMPRODUCT(L5:L11, AJ5:AJ11, AK5:AK11))/L24)</f>
        <v>0</v>
      </c>
      <c r="M25" s="20">
        <f>IF(M24=0,0,(M3 * SUMPRODUCT(M5:M11, AJ5:AJ11, AK5:AK11))/M24)</f>
        <v>0</v>
      </c>
      <c r="N25" s="20"/>
      <c r="O25" s="20">
        <f>IF(O24=0,0,(O3 * SUMPRODUCT(O5:O11, AJ5:AJ11, AK5:AK11))/O24)</f>
        <v>0</v>
      </c>
      <c r="P25" s="20">
        <f>IF(P24=0,0,(P3 * SUMPRODUCT(P5:P11, AJ5:AJ11, AK5:AK11))/P24)</f>
        <v>0</v>
      </c>
      <c r="Q25" s="20">
        <f>IF(Q24=0,0,(Q3 * SUMPRODUCT(Q5:Q11, AJ5:AJ11, AK5:AK11))/Q24)</f>
        <v>0</v>
      </c>
      <c r="R25" s="20">
        <f>IF(R24=0,0,(R3 * SUMPRODUCT(R5:R11, AJ5:AJ11, AK5:AK11))/R24)</f>
        <v>0</v>
      </c>
      <c r="S25" s="20">
        <f>IF(S24=0,0,(S3 * SUMPRODUCT(S5:S11, AJ5:AJ11, AK5:AK11))/S24)</f>
        <v>0</v>
      </c>
      <c r="T25" s="20">
        <f>IF(T24=0,0,(T3 * SUMPRODUCT(T5:T11, AJ5:AJ11, AK5:AK11))/T24)</f>
        <v>0</v>
      </c>
      <c r="U25" s="20">
        <f>IF(U24=0,0,(U3 * SUMPRODUCT(U5:U11, AJ5:AJ11, AK5:AK11))/U24)</f>
        <v>0</v>
      </c>
      <c r="V25" s="20">
        <f>IF(V24=0,0,(V3 * SUMPRODUCT(V5:V11, AJ5:AJ11, AK5:AK11))/V24)</f>
        <v>0</v>
      </c>
      <c r="W25" s="20">
        <f>IF(W24=0,0,(W3 * SUMPRODUCT(W5:W11, AJ5:AJ11, AK5:AK11))/W24)</f>
        <v>0</v>
      </c>
      <c r="X25" s="20">
        <f>IF(X24=0,0,(X3 * SUMPRODUCT(X5:X11, AJ5:AJ11, AK5:AK11))/X24)</f>
        <v>0</v>
      </c>
      <c r="Y25" s="20">
        <f>IF(Y24=0,0,(Y3 * SUMPRODUCT(Y5:Y11, AJ5:AJ11, AK5:AK11))/Y24)</f>
        <v>0</v>
      </c>
      <c r="Z25" s="20">
        <f>IF(Z24=0,0,(Z3 * SUMPRODUCT(Z5:Z11, AJ5:AJ11, AK5:AK11))/Z24)</f>
        <v>0</v>
      </c>
      <c r="AA25" s="20"/>
      <c r="AB25" s="20">
        <f>IF(AB24=0,0,(AB3 * SUMPRODUCT(AB5:AB11, AJ5:AJ11, AK5:AK11))/AB24)</f>
        <v>0</v>
      </c>
      <c r="AC25" s="20">
        <f>IF(AC24=0,0,(AC3 * SUMPRODUCT(AC5:AC11, AJ5:AJ11, AK5:AK11))/AC24)</f>
        <v>0</v>
      </c>
      <c r="AD25" s="20">
        <f>IF(AD24=0,0,(AD3 * SUMPRODUCT(AD5:AD11, AJ5:AJ11, AK5:AK11))/AD24)</f>
        <v>0</v>
      </c>
      <c r="AF25" s="184"/>
      <c r="AG25" s="184"/>
      <c r="AH25" s="64"/>
      <c r="AI25" s="184"/>
      <c r="AJ25" s="184"/>
      <c r="AK25" s="184"/>
    </row>
    <row r="26" spans="1:37" ht="45" customHeight="1" x14ac:dyDescent="0.2">
      <c r="AH26" s="64"/>
    </row>
    <row r="27" spans="1:37" x14ac:dyDescent="0.2">
      <c r="AF27" s="64"/>
      <c r="AG27" s="64"/>
      <c r="AH27" s="18"/>
      <c r="AJ27" s="18"/>
      <c r="AK27" s="64"/>
    </row>
    <row r="28" spans="1:37" x14ac:dyDescent="0.2">
      <c r="AF28" s="64"/>
      <c r="AG28" s="64"/>
      <c r="AH28" s="18"/>
      <c r="AJ28" s="18"/>
      <c r="AK28" s="64"/>
    </row>
    <row r="29" spans="1:37" x14ac:dyDescent="0.2">
      <c r="AF29" s="64"/>
      <c r="AG29" s="64"/>
      <c r="AH29" s="18"/>
      <c r="AJ29" s="18"/>
      <c r="AK29" s="64"/>
    </row>
    <row r="30" spans="1:37" x14ac:dyDescent="0.2">
      <c r="AF30" s="64"/>
      <c r="AG30" s="64"/>
      <c r="AH30" s="18"/>
      <c r="AJ30" s="18"/>
      <c r="AK30" s="64"/>
    </row>
    <row r="32" spans="1:37" x14ac:dyDescent="0.2">
      <c r="AH32" s="132"/>
    </row>
    <row r="33" spans="32:37" x14ac:dyDescent="0.2">
      <c r="AF33" s="222"/>
      <c r="AG33" s="222"/>
      <c r="AH33" s="222"/>
      <c r="AI33" s="222"/>
      <c r="AJ33" s="222"/>
      <c r="AK33" s="222"/>
    </row>
    <row r="37" spans="32:37" x14ac:dyDescent="0.2">
      <c r="AF37" s="66"/>
      <c r="AG37" s="66"/>
      <c r="AH37" s="66"/>
      <c r="AI37" s="66"/>
      <c r="AJ37" s="66"/>
      <c r="AK37" s="66"/>
    </row>
  </sheetData>
  <pageMargins left="0.7" right="0.7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BAE0-B52A-43FD-BBD8-FAF68546F623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5"/>
  <sheetViews>
    <sheetView showGridLines="0" workbookViewId="0">
      <pane xSplit="1" ySplit="1" topLeftCell="E2" activePane="bottomRight" state="frozen"/>
      <selection activeCell="G19" sqref="G19"/>
      <selection pane="topRight" activeCell="G19" sqref="G19"/>
      <selection pane="bottomLeft" activeCell="G19" sqref="G19"/>
      <selection pane="bottomRight" activeCell="F25" sqref="F25"/>
    </sheetView>
  </sheetViews>
  <sheetFormatPr baseColWidth="10" defaultColWidth="9.140625" defaultRowHeight="12.75" outlineLevelCol="1" x14ac:dyDescent="0.2"/>
  <cols>
    <col min="1" max="1" width="42.85546875" customWidth="1"/>
    <col min="2" max="13" width="13.28515625" customWidth="1" outlineLevel="1"/>
    <col min="14" max="14" width="13.28515625" customWidth="1"/>
    <col min="15" max="26" width="13.28515625" hidden="1" customWidth="1" outlineLevel="1"/>
    <col min="27" max="27" width="13.28515625" customWidth="1" collapsed="1"/>
    <col min="28" max="30" width="13.28515625" customWidth="1"/>
  </cols>
  <sheetData>
    <row r="1" spans="1:256" ht="15.75" customHeight="1" x14ac:dyDescent="0.25">
      <c r="A1" s="213" t="str">
        <f>"INVENTARIOS (" &amp; Introducción!E17 &amp; ")"</f>
        <v>INVENTARIOS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</row>
    <row r="2" spans="1:256" x14ac:dyDescent="0.2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256" s="39" customFormat="1" x14ac:dyDescent="0.2">
      <c r="A3" s="39" t="s">
        <v>119</v>
      </c>
      <c r="B3" s="39">
        <f>'Costo de Ventas'!B18</f>
        <v>394944</v>
      </c>
      <c r="C3" s="39">
        <f>'Costo de Ventas'!C18</f>
        <v>394944</v>
      </c>
      <c r="D3" s="39">
        <f>'Costo de Ventas'!D18</f>
        <v>394944</v>
      </c>
      <c r="E3" s="39">
        <f>'Costo de Ventas'!E18</f>
        <v>394944</v>
      </c>
      <c r="F3" s="39">
        <f>'Costo de Ventas'!F18</f>
        <v>394944</v>
      </c>
      <c r="G3" s="39">
        <f>'Costo de Ventas'!G18</f>
        <v>394944</v>
      </c>
      <c r="H3" s="39">
        <f>'Costo de Ventas'!H18</f>
        <v>394944</v>
      </c>
      <c r="I3" s="39">
        <f>'Costo de Ventas'!I18</f>
        <v>394944</v>
      </c>
      <c r="J3" s="39">
        <f>'Costo de Ventas'!J18</f>
        <v>394944</v>
      </c>
      <c r="K3" s="39">
        <f>'Costo de Ventas'!K18</f>
        <v>410741.76000000007</v>
      </c>
      <c r="L3" s="39">
        <f>'Costo de Ventas'!L18</f>
        <v>410741.76000000007</v>
      </c>
      <c r="M3" s="39">
        <f>'Costo de Ventas'!M18</f>
        <v>410741.76000000007</v>
      </c>
      <c r="N3" s="39">
        <f>'Costo de Ventas'!N18</f>
        <v>4786721.28</v>
      </c>
      <c r="O3" s="39">
        <f>'Costo de Ventas'!O18</f>
        <v>2009779.2000000002</v>
      </c>
      <c r="P3" s="39">
        <f>'Costo de Ventas'!P18</f>
        <v>2009779.2000000002</v>
      </c>
      <c r="Q3" s="39">
        <f>'Costo de Ventas'!Q18</f>
        <v>2009779.2000000002</v>
      </c>
      <c r="R3" s="39">
        <f>'Costo de Ventas'!R18</f>
        <v>2009779.2000000002</v>
      </c>
      <c r="S3" s="39">
        <f>'Costo de Ventas'!S18</f>
        <v>2009779.2000000002</v>
      </c>
      <c r="T3" s="39">
        <f>'Costo de Ventas'!T18</f>
        <v>2009779.2000000002</v>
      </c>
      <c r="U3" s="39">
        <f>'Costo de Ventas'!U18</f>
        <v>2009779.2000000002</v>
      </c>
      <c r="V3" s="39">
        <f>'Costo de Ventas'!V18</f>
        <v>2009779.2000000002</v>
      </c>
      <c r="W3" s="39">
        <f>'Costo de Ventas'!W18</f>
        <v>2009779.2000000002</v>
      </c>
      <c r="X3" s="39">
        <f>'Costo de Ventas'!X18</f>
        <v>2090170.3679999998</v>
      </c>
      <c r="Y3" s="39">
        <f>'Costo de Ventas'!Y18</f>
        <v>2090170.3679999998</v>
      </c>
      <c r="Z3" s="39">
        <f>'Costo de Ventas'!Z18</f>
        <v>2090170.3679999998</v>
      </c>
      <c r="AA3" s="39">
        <f>'Costo de Ventas'!AA18</f>
        <v>24358523.903999999</v>
      </c>
      <c r="AB3" s="39">
        <f>'Costo de Ventas'!AB18</f>
        <v>11768199.189626882</v>
      </c>
      <c r="AC3" s="39">
        <f>'Costo de Ventas'!AC18</f>
        <v>18358390.735817939</v>
      </c>
      <c r="AD3" s="39">
        <f>'Costo de Ventas'!AD18</f>
        <v>27537586.103726909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54" customFormat="1" x14ac:dyDescent="0.2">
      <c r="A4" s="54" t="s">
        <v>31</v>
      </c>
      <c r="B4" s="72">
        <f>'Costo de Ventas'!B19</f>
        <v>11.256684491978612</v>
      </c>
      <c r="C4" s="72">
        <f>'Costo de Ventas'!C19</f>
        <v>11.256684491978612</v>
      </c>
      <c r="D4" s="72">
        <f>'Costo de Ventas'!D19</f>
        <v>11.256684491978612</v>
      </c>
      <c r="E4" s="72">
        <f>'Costo de Ventas'!E19</f>
        <v>11.256684491978612</v>
      </c>
      <c r="F4" s="72">
        <f>'Costo de Ventas'!F19</f>
        <v>11.256684491978612</v>
      </c>
      <c r="G4" s="72">
        <f>'Costo de Ventas'!G19</f>
        <v>11.256684491978612</v>
      </c>
      <c r="H4" s="72">
        <f>'Costo de Ventas'!H19</f>
        <v>11.256684491978612</v>
      </c>
      <c r="I4" s="72">
        <f>'Costo de Ventas'!I19</f>
        <v>11.256684491978612</v>
      </c>
      <c r="J4" s="72">
        <f>'Costo de Ventas'!J19</f>
        <v>11.256684491978612</v>
      </c>
      <c r="K4" s="72">
        <f>'Costo de Ventas'!K19</f>
        <v>11.256684491978607</v>
      </c>
      <c r="L4" s="72">
        <f>'Costo de Ventas'!L19</f>
        <v>11.256684491978607</v>
      </c>
      <c r="M4" s="72">
        <f>'Costo de Ventas'!M19</f>
        <v>11.256684491978607</v>
      </c>
      <c r="N4" s="135">
        <f>IF(N3=0,0,N5/N3*360)</f>
        <v>11.591041457086884</v>
      </c>
      <c r="O4" s="72">
        <f>'Costo de Ventas'!O19</f>
        <v>24.254098360655728</v>
      </c>
      <c r="P4" s="72">
        <f>'Costo de Ventas'!P19</f>
        <v>24.254098360655728</v>
      </c>
      <c r="Q4" s="72">
        <f>'Costo de Ventas'!Q19</f>
        <v>24.254098360655728</v>
      </c>
      <c r="R4" s="72">
        <f>'Costo de Ventas'!R19</f>
        <v>24.254098360655728</v>
      </c>
      <c r="S4" s="72">
        <f>'Costo de Ventas'!S19</f>
        <v>24.254098360655728</v>
      </c>
      <c r="T4" s="72">
        <f>'Costo de Ventas'!T19</f>
        <v>24.254098360655728</v>
      </c>
      <c r="U4" s="72">
        <f>'Costo de Ventas'!U19</f>
        <v>24.254098360655728</v>
      </c>
      <c r="V4" s="72">
        <f>'Costo de Ventas'!V19</f>
        <v>24.254098360655728</v>
      </c>
      <c r="W4" s="72">
        <f>'Costo de Ventas'!W19</f>
        <v>24.254098360655728</v>
      </c>
      <c r="X4" s="72">
        <f>'Costo de Ventas'!X19</f>
        <v>24.254098360655746</v>
      </c>
      <c r="Y4" s="72">
        <f>'Costo de Ventas'!Y19</f>
        <v>24.254098360655746</v>
      </c>
      <c r="Z4" s="72">
        <f>'Costo de Ventas'!Z19</f>
        <v>24.254098360655746</v>
      </c>
      <c r="AA4" s="235">
        <f>IF(AA3=0,0,AA5/AA3*360)</f>
        <v>24.974517123843537</v>
      </c>
      <c r="AB4" s="234">
        <f>Ingresos!AB4</f>
        <v>18.177802240000002</v>
      </c>
      <c r="AC4" s="234">
        <f>Ingresos!AC4</f>
        <v>18.904914329600004</v>
      </c>
      <c r="AD4" s="234">
        <f>Ingresos!AD4</f>
        <v>19.661110902784007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74" customFormat="1" ht="15" x14ac:dyDescent="0.25">
      <c r="A5" s="174" t="s">
        <v>157</v>
      </c>
      <c r="B5" s="174">
        <f t="shared" ref="B5:M5" si="2">B3/30*B4</f>
        <v>148192.00000000003</v>
      </c>
      <c r="C5" s="174">
        <f t="shared" si="2"/>
        <v>148192.00000000003</v>
      </c>
      <c r="D5" s="174">
        <f t="shared" si="2"/>
        <v>148192.00000000003</v>
      </c>
      <c r="E5" s="174">
        <f t="shared" si="2"/>
        <v>148192.00000000003</v>
      </c>
      <c r="F5" s="174">
        <f t="shared" si="2"/>
        <v>148192.00000000003</v>
      </c>
      <c r="G5" s="174">
        <f t="shared" si="2"/>
        <v>148192.00000000003</v>
      </c>
      <c r="H5" s="174">
        <f t="shared" si="2"/>
        <v>148192.00000000003</v>
      </c>
      <c r="I5" s="174">
        <f t="shared" si="2"/>
        <v>148192.00000000003</v>
      </c>
      <c r="J5" s="174">
        <f t="shared" si="2"/>
        <v>148192.00000000003</v>
      </c>
      <c r="K5" s="174">
        <f t="shared" si="2"/>
        <v>154119.67999999999</v>
      </c>
      <c r="L5" s="174">
        <f t="shared" si="2"/>
        <v>154119.67999999999</v>
      </c>
      <c r="M5" s="174">
        <f t="shared" si="2"/>
        <v>154119.67999999999</v>
      </c>
      <c r="N5" s="174">
        <f>M5</f>
        <v>154119.67999999999</v>
      </c>
      <c r="O5" s="174">
        <f t="shared" ref="O5:Z5" si="3">O3/30*O4</f>
        <v>1624846.0799999994</v>
      </c>
      <c r="P5" s="174">
        <f t="shared" si="3"/>
        <v>1624846.0799999994</v>
      </c>
      <c r="Q5" s="174">
        <f t="shared" si="3"/>
        <v>1624846.0799999994</v>
      </c>
      <c r="R5" s="174">
        <f t="shared" si="3"/>
        <v>1624846.0799999994</v>
      </c>
      <c r="S5" s="174">
        <f t="shared" si="3"/>
        <v>1624846.0799999994</v>
      </c>
      <c r="T5" s="174">
        <f t="shared" si="3"/>
        <v>1624846.0799999994</v>
      </c>
      <c r="U5" s="174">
        <f t="shared" si="3"/>
        <v>1624846.0799999994</v>
      </c>
      <c r="V5" s="174">
        <f t="shared" si="3"/>
        <v>1624846.0799999994</v>
      </c>
      <c r="W5" s="174">
        <f t="shared" si="3"/>
        <v>1624846.0799999994</v>
      </c>
      <c r="X5" s="174">
        <f t="shared" si="3"/>
        <v>1689839.9232000003</v>
      </c>
      <c r="Y5" s="174">
        <f t="shared" si="3"/>
        <v>1689839.9232000003</v>
      </c>
      <c r="Z5" s="174">
        <f t="shared" si="3"/>
        <v>1689839.9232000003</v>
      </c>
      <c r="AA5" s="174">
        <f>Z5</f>
        <v>1689839.9232000003</v>
      </c>
      <c r="AB5" s="174">
        <f>AB3/360*AB4</f>
        <v>594222.21552768257</v>
      </c>
      <c r="AC5" s="174">
        <f>AC3/360*AC4</f>
        <v>964066.12247211253</v>
      </c>
      <c r="AD5" s="174">
        <f>AD3/360*AD4</f>
        <v>1503943.151056496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</sheetData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9.140625" defaultRowHeight="12.75" outlineLevelCol="1" x14ac:dyDescent="0.2"/>
  <cols>
    <col min="1" max="1" width="42.85546875" customWidth="1"/>
    <col min="2" max="13" width="13.28515625" customWidth="1" outlineLevel="1"/>
    <col min="14" max="14" width="13.28515625" customWidth="1"/>
    <col min="15" max="26" width="13.28515625" customWidth="1" outlineLevel="1"/>
    <col min="27" max="30" width="13.28515625" customWidth="1"/>
    <col min="31" max="32" width="8.85546875" customWidth="1"/>
    <col min="33" max="36" width="10.42578125" style="184" hidden="1" customWidth="1"/>
    <col min="37" max="37" width="8.85546875" customWidth="1"/>
  </cols>
  <sheetData>
    <row r="1" spans="1:36" ht="15.75" customHeight="1" x14ac:dyDescent="0.25">
      <c r="A1" s="213" t="str">
        <f>"INGRESOS (" &amp; Introducción!E17 &amp; ")"</f>
        <v>INGRESOS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  <c r="AG1" t="s">
        <v>159</v>
      </c>
      <c r="AH1"/>
      <c r="AI1" t="s">
        <v>188</v>
      </c>
      <c r="AJ1" t="s">
        <v>213</v>
      </c>
    </row>
    <row r="2" spans="1:36" x14ac:dyDescent="0.2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36" x14ac:dyDescent="0.2">
      <c r="A3" s="179" t="s">
        <v>249</v>
      </c>
      <c r="B3" s="119">
        <f>'Costo de Ventas'!B3</f>
        <v>105600</v>
      </c>
      <c r="C3" s="119">
        <f>'Costo de Ventas'!C3</f>
        <v>105600</v>
      </c>
      <c r="D3" s="119">
        <f>'Costo de Ventas'!D3</f>
        <v>105600</v>
      </c>
      <c r="E3" s="119">
        <f>'Costo de Ventas'!E3</f>
        <v>105600</v>
      </c>
      <c r="F3" s="119">
        <f>'Costo de Ventas'!F3</f>
        <v>105600</v>
      </c>
      <c r="G3" s="119">
        <f>'Costo de Ventas'!G3</f>
        <v>105600</v>
      </c>
      <c r="H3" s="119">
        <f>'Costo de Ventas'!H3</f>
        <v>105600</v>
      </c>
      <c r="I3" s="119">
        <f>'Costo de Ventas'!I3</f>
        <v>105600</v>
      </c>
      <c r="J3" s="119">
        <f>'Costo de Ventas'!J3</f>
        <v>105600</v>
      </c>
      <c r="K3" s="119">
        <f>'Costo de Ventas'!K3</f>
        <v>105600</v>
      </c>
      <c r="L3" s="119">
        <f>'Costo de Ventas'!L3</f>
        <v>105600</v>
      </c>
      <c r="M3" s="119">
        <f>'Costo de Ventas'!M3</f>
        <v>105600</v>
      </c>
      <c r="N3" s="119">
        <f>SUM(B3:M3)</f>
        <v>1267200</v>
      </c>
      <c r="O3" s="119">
        <f>'Costo de Ventas'!O3</f>
        <v>158400</v>
      </c>
      <c r="P3" s="119">
        <f>'Costo de Ventas'!P3</f>
        <v>158400</v>
      </c>
      <c r="Q3" s="119">
        <f>'Costo de Ventas'!Q3</f>
        <v>158400</v>
      </c>
      <c r="R3" s="119">
        <f>'Costo de Ventas'!R3</f>
        <v>158400</v>
      </c>
      <c r="S3" s="119">
        <f>'Costo de Ventas'!S3</f>
        <v>158400</v>
      </c>
      <c r="T3" s="119">
        <f>'Costo de Ventas'!T3</f>
        <v>158400</v>
      </c>
      <c r="U3" s="119">
        <f>'Costo de Ventas'!U3</f>
        <v>158400</v>
      </c>
      <c r="V3" s="119">
        <f>'Costo de Ventas'!V3</f>
        <v>158400</v>
      </c>
      <c r="W3" s="119">
        <f>'Costo de Ventas'!W3</f>
        <v>158400</v>
      </c>
      <c r="X3" s="119">
        <f>'Costo de Ventas'!X3</f>
        <v>158400</v>
      </c>
      <c r="Y3" s="119">
        <f>'Costo de Ventas'!Y3</f>
        <v>158400</v>
      </c>
      <c r="Z3" s="119">
        <f>'Costo de Ventas'!Z3</f>
        <v>158400</v>
      </c>
      <c r="AA3" s="119">
        <f>SUM(O3:Z3)</f>
        <v>1900800</v>
      </c>
      <c r="AB3" s="119">
        <f>'Costo de Ventas'!AB3</f>
        <v>2851200</v>
      </c>
      <c r="AC3" s="119">
        <f>'Costo de Ventas'!AC3</f>
        <v>4276800</v>
      </c>
      <c r="AD3" s="119">
        <f>'Costo de Ventas'!AD3</f>
        <v>6415200</v>
      </c>
      <c r="AE3" s="210"/>
    </row>
    <row r="4" spans="1:36" x14ac:dyDescent="0.2">
      <c r="A4" s="179" t="s">
        <v>26</v>
      </c>
      <c r="B4" s="197">
        <v>16</v>
      </c>
      <c r="C4" s="197">
        <f>$B$4</f>
        <v>16</v>
      </c>
      <c r="D4" s="197">
        <f t="shared" ref="D4:J4" si="2">$B$4</f>
        <v>16</v>
      </c>
      <c r="E4" s="197">
        <f t="shared" si="2"/>
        <v>16</v>
      </c>
      <c r="F4" s="197">
        <f t="shared" si="2"/>
        <v>16</v>
      </c>
      <c r="G4" s="197">
        <f t="shared" si="2"/>
        <v>16</v>
      </c>
      <c r="H4" s="197">
        <f t="shared" si="2"/>
        <v>16</v>
      </c>
      <c r="I4" s="197">
        <f t="shared" si="2"/>
        <v>16</v>
      </c>
      <c r="J4" s="197">
        <f t="shared" si="2"/>
        <v>16</v>
      </c>
      <c r="K4" s="197">
        <f>J4*1.04</f>
        <v>16.64</v>
      </c>
      <c r="L4" s="197">
        <f>$K$4</f>
        <v>16.64</v>
      </c>
      <c r="M4" s="197">
        <f>$K$4</f>
        <v>16.64</v>
      </c>
      <c r="N4" s="198">
        <f>SUM(B4:M4) / 12</f>
        <v>16.159999999999997</v>
      </c>
      <c r="O4" s="197">
        <f>$M$4</f>
        <v>16.64</v>
      </c>
      <c r="P4" s="197">
        <f t="shared" ref="P4:W4" si="3">$M$4</f>
        <v>16.64</v>
      </c>
      <c r="Q4" s="197">
        <f t="shared" si="3"/>
        <v>16.64</v>
      </c>
      <c r="R4" s="197">
        <f t="shared" si="3"/>
        <v>16.64</v>
      </c>
      <c r="S4" s="197">
        <f t="shared" si="3"/>
        <v>16.64</v>
      </c>
      <c r="T4" s="197">
        <f t="shared" si="3"/>
        <v>16.64</v>
      </c>
      <c r="U4" s="197">
        <f t="shared" si="3"/>
        <v>16.64</v>
      </c>
      <c r="V4" s="197">
        <f t="shared" si="3"/>
        <v>16.64</v>
      </c>
      <c r="W4" s="197">
        <f t="shared" si="3"/>
        <v>16.64</v>
      </c>
      <c r="X4" s="197">
        <f>W4*1.04</f>
        <v>17.305600000000002</v>
      </c>
      <c r="Y4" s="197">
        <f>$X$4</f>
        <v>17.305600000000002</v>
      </c>
      <c r="Z4" s="197">
        <f>$X$4</f>
        <v>17.305600000000002</v>
      </c>
      <c r="AA4" s="198">
        <f>SUM(O4:Z4) / 12</f>
        <v>16.8064</v>
      </c>
      <c r="AB4" s="197">
        <f>((Z4*1.04*9)/12)+((((Z4*1.04)*1.04)*3)/12)</f>
        <v>18.177802240000002</v>
      </c>
      <c r="AC4" s="197">
        <f>((Z4*1.04*1.04*9)/12)+((((Z4*1.04)*1.04*1.04)*3)/12)</f>
        <v>18.904914329600004</v>
      </c>
      <c r="AD4" s="197">
        <f>((Z4*1.04*1.04*1.04*9)/12)+((((Z4*1.04)*1.04*1.04*1.04)*3)/12)</f>
        <v>19.661110902784007</v>
      </c>
      <c r="AE4" s="210"/>
    </row>
    <row r="5" spans="1:36" x14ac:dyDescent="0.2">
      <c r="A5" s="127" t="s">
        <v>255</v>
      </c>
      <c r="B5" s="181">
        <f>B3 * B4</f>
        <v>1689600</v>
      </c>
      <c r="C5" s="181">
        <f t="shared" ref="C5:M5" si="4">C3 * C4</f>
        <v>1689600</v>
      </c>
      <c r="D5" s="181">
        <f t="shared" si="4"/>
        <v>1689600</v>
      </c>
      <c r="E5" s="181">
        <f t="shared" si="4"/>
        <v>1689600</v>
      </c>
      <c r="F5" s="181">
        <f t="shared" si="4"/>
        <v>1689600</v>
      </c>
      <c r="G5" s="181">
        <f t="shared" si="4"/>
        <v>1689600</v>
      </c>
      <c r="H5" s="181">
        <f t="shared" si="4"/>
        <v>1689600</v>
      </c>
      <c r="I5" s="181">
        <f t="shared" si="4"/>
        <v>1689600</v>
      </c>
      <c r="J5" s="181">
        <f t="shared" si="4"/>
        <v>1689600</v>
      </c>
      <c r="K5" s="181">
        <f t="shared" si="4"/>
        <v>1757184</v>
      </c>
      <c r="L5" s="181">
        <f t="shared" si="4"/>
        <v>1757184</v>
      </c>
      <c r="M5" s="181">
        <f t="shared" si="4"/>
        <v>1757184</v>
      </c>
      <c r="N5" s="181">
        <f>SUM(B5:M5)</f>
        <v>20477952</v>
      </c>
      <c r="O5" s="181">
        <f t="shared" ref="O5:Z5" si="5">O3 * O4</f>
        <v>2635776</v>
      </c>
      <c r="P5" s="181">
        <f t="shared" si="5"/>
        <v>2635776</v>
      </c>
      <c r="Q5" s="181">
        <f t="shared" si="5"/>
        <v>2635776</v>
      </c>
      <c r="R5" s="181">
        <f t="shared" si="5"/>
        <v>2635776</v>
      </c>
      <c r="S5" s="181">
        <f t="shared" si="5"/>
        <v>2635776</v>
      </c>
      <c r="T5" s="181">
        <f t="shared" si="5"/>
        <v>2635776</v>
      </c>
      <c r="U5" s="181">
        <f t="shared" si="5"/>
        <v>2635776</v>
      </c>
      <c r="V5" s="181">
        <f t="shared" si="5"/>
        <v>2635776</v>
      </c>
      <c r="W5" s="181">
        <f t="shared" si="5"/>
        <v>2635776</v>
      </c>
      <c r="X5" s="181">
        <f t="shared" si="5"/>
        <v>2741207.0400000005</v>
      </c>
      <c r="Y5" s="181">
        <f t="shared" si="5"/>
        <v>2741207.0400000005</v>
      </c>
      <c r="Z5" s="181">
        <f t="shared" si="5"/>
        <v>2741207.0400000005</v>
      </c>
      <c r="AA5" s="181">
        <f>SUM(O5:Z5)</f>
        <v>31945605.119999997</v>
      </c>
      <c r="AB5" s="181">
        <f>AB3 * AB4</f>
        <v>51828549.746688008</v>
      </c>
      <c r="AC5" s="181">
        <f>AC3 * AC4</f>
        <v>80852537.60483329</v>
      </c>
      <c r="AD5" s="181">
        <f>AD3 * AD4</f>
        <v>126129958.66353996</v>
      </c>
      <c r="AE5" s="210"/>
      <c r="AG5" s="194">
        <v>0</v>
      </c>
      <c r="AI5" s="132">
        <v>0</v>
      </c>
      <c r="AJ5" s="61">
        <v>0</v>
      </c>
    </row>
    <row r="6" spans="1:36" x14ac:dyDescent="0.2"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</row>
    <row r="7" spans="1:36" ht="15" x14ac:dyDescent="0.25">
      <c r="A7" s="174" t="s">
        <v>106</v>
      </c>
      <c r="B7" s="201">
        <f t="shared" ref="B7:M7" si="6">B5</f>
        <v>1689600</v>
      </c>
      <c r="C7" s="201">
        <f t="shared" si="6"/>
        <v>1689600</v>
      </c>
      <c r="D7" s="201">
        <f t="shared" si="6"/>
        <v>1689600</v>
      </c>
      <c r="E7" s="201">
        <f t="shared" si="6"/>
        <v>1689600</v>
      </c>
      <c r="F7" s="201">
        <f t="shared" si="6"/>
        <v>1689600</v>
      </c>
      <c r="G7" s="201">
        <f t="shared" si="6"/>
        <v>1689600</v>
      </c>
      <c r="H7" s="201">
        <f t="shared" si="6"/>
        <v>1689600</v>
      </c>
      <c r="I7" s="201">
        <f t="shared" si="6"/>
        <v>1689600</v>
      </c>
      <c r="J7" s="201">
        <f t="shared" si="6"/>
        <v>1689600</v>
      </c>
      <c r="K7" s="201">
        <f t="shared" si="6"/>
        <v>1757184</v>
      </c>
      <c r="L7" s="201">
        <f t="shared" si="6"/>
        <v>1757184</v>
      </c>
      <c r="M7" s="201">
        <f t="shared" si="6"/>
        <v>1757184</v>
      </c>
      <c r="N7" s="201">
        <f>SUM(B7:M7)</f>
        <v>20477952</v>
      </c>
      <c r="O7" s="201">
        <f t="shared" ref="O7:Z7" si="7">O5</f>
        <v>2635776</v>
      </c>
      <c r="P7" s="201">
        <f t="shared" si="7"/>
        <v>2635776</v>
      </c>
      <c r="Q7" s="201">
        <f t="shared" si="7"/>
        <v>2635776</v>
      </c>
      <c r="R7" s="201">
        <f t="shared" si="7"/>
        <v>2635776</v>
      </c>
      <c r="S7" s="201">
        <f t="shared" si="7"/>
        <v>2635776</v>
      </c>
      <c r="T7" s="201">
        <f t="shared" si="7"/>
        <v>2635776</v>
      </c>
      <c r="U7" s="201">
        <f t="shared" si="7"/>
        <v>2635776</v>
      </c>
      <c r="V7" s="201">
        <f t="shared" si="7"/>
        <v>2635776</v>
      </c>
      <c r="W7" s="201">
        <f t="shared" si="7"/>
        <v>2635776</v>
      </c>
      <c r="X7" s="201">
        <f t="shared" si="7"/>
        <v>2741207.0400000005</v>
      </c>
      <c r="Y7" s="201">
        <f t="shared" si="7"/>
        <v>2741207.0400000005</v>
      </c>
      <c r="Z7" s="201">
        <f t="shared" si="7"/>
        <v>2741207.0400000005</v>
      </c>
      <c r="AA7" s="201">
        <f>SUM(O7:Z7)</f>
        <v>31945605.119999997</v>
      </c>
      <c r="AB7" s="201">
        <f>AB5</f>
        <v>51828549.746688008</v>
      </c>
      <c r="AC7" s="201">
        <f>AC5</f>
        <v>80852537.60483329</v>
      </c>
      <c r="AD7" s="201">
        <f>AD5</f>
        <v>126129958.66353996</v>
      </c>
    </row>
    <row r="9" spans="1:36" hidden="1" x14ac:dyDescent="0.2">
      <c r="AG9" s="18"/>
      <c r="AI9" s="18"/>
      <c r="AJ9" s="64"/>
    </row>
    <row r="10" spans="1:36" s="68" customFormat="1" ht="11.25" hidden="1" x14ac:dyDescent="0.2">
      <c r="A10" s="68" t="s">
        <v>221</v>
      </c>
      <c r="B10" s="68">
        <f t="shared" ref="B10:M10" si="8">SUMPRODUCT(B2:B7,$AG2:$AG7)</f>
        <v>0</v>
      </c>
      <c r="C10" s="68">
        <f t="shared" si="8"/>
        <v>0</v>
      </c>
      <c r="D10" s="68">
        <f t="shared" si="8"/>
        <v>0</v>
      </c>
      <c r="E10" s="68">
        <f t="shared" si="8"/>
        <v>0</v>
      </c>
      <c r="F10" s="68">
        <f t="shared" si="8"/>
        <v>0</v>
      </c>
      <c r="G10" s="68">
        <f t="shared" si="8"/>
        <v>0</v>
      </c>
      <c r="H10" s="68">
        <f t="shared" si="8"/>
        <v>0</v>
      </c>
      <c r="I10" s="68">
        <f t="shared" si="8"/>
        <v>0</v>
      </c>
      <c r="J10" s="68">
        <f t="shared" si="8"/>
        <v>0</v>
      </c>
      <c r="K10" s="68">
        <f t="shared" si="8"/>
        <v>0</v>
      </c>
      <c r="L10" s="68">
        <f t="shared" si="8"/>
        <v>0</v>
      </c>
      <c r="M10" s="68">
        <f t="shared" si="8"/>
        <v>0</v>
      </c>
      <c r="O10" s="68">
        <f t="shared" ref="O10:Z10" si="9">SUMPRODUCT(O2:O7,$AG2:$AG7)</f>
        <v>0</v>
      </c>
      <c r="P10" s="68">
        <f t="shared" si="9"/>
        <v>0</v>
      </c>
      <c r="Q10" s="68">
        <f t="shared" si="9"/>
        <v>0</v>
      </c>
      <c r="R10" s="68">
        <f t="shared" si="9"/>
        <v>0</v>
      </c>
      <c r="S10" s="68">
        <f t="shared" si="9"/>
        <v>0</v>
      </c>
      <c r="T10" s="68">
        <f t="shared" si="9"/>
        <v>0</v>
      </c>
      <c r="U10" s="68">
        <f t="shared" si="9"/>
        <v>0</v>
      </c>
      <c r="V10" s="68">
        <f t="shared" si="9"/>
        <v>0</v>
      </c>
      <c r="W10" s="68">
        <f t="shared" si="9"/>
        <v>0</v>
      </c>
      <c r="X10" s="68">
        <f t="shared" si="9"/>
        <v>0</v>
      </c>
      <c r="Y10" s="68">
        <f t="shared" si="9"/>
        <v>0</v>
      </c>
      <c r="Z10" s="68">
        <f t="shared" si="9"/>
        <v>0</v>
      </c>
      <c r="AB10" s="68">
        <f>SUMPRODUCT(AB2:AB7,$AG2:$AG7)</f>
        <v>0</v>
      </c>
      <c r="AC10" s="68">
        <f>SUMPRODUCT(AC2:AC7,$AG2:$AG7)</f>
        <v>0</v>
      </c>
      <c r="AD10" s="68">
        <f>SUMPRODUCT(AD2:AD7,$AG2:$AG7)</f>
        <v>0</v>
      </c>
      <c r="AG10" s="184"/>
      <c r="AH10" s="184"/>
      <c r="AI10" s="184"/>
      <c r="AJ10" s="184"/>
    </row>
    <row r="11" spans="1:36" s="228" customFormat="1" ht="11.25" hidden="1" x14ac:dyDescent="0.2">
      <c r="AG11" s="184"/>
      <c r="AH11" s="184"/>
      <c r="AI11" s="184"/>
      <c r="AJ11" s="184"/>
    </row>
    <row r="12" spans="1:36" s="228" customFormat="1" ht="11.25" hidden="1" x14ac:dyDescent="0.2">
      <c r="A12" s="228" t="s">
        <v>92</v>
      </c>
      <c r="B12" s="100">
        <f t="shared" ref="B12:M12" si="10">B7-B13</f>
        <v>1689600</v>
      </c>
      <c r="C12" s="100">
        <f t="shared" si="10"/>
        <v>1689600</v>
      </c>
      <c r="D12" s="100">
        <f t="shared" si="10"/>
        <v>1689600</v>
      </c>
      <c r="E12" s="100">
        <f t="shared" si="10"/>
        <v>1689600</v>
      </c>
      <c r="F12" s="100">
        <f t="shared" si="10"/>
        <v>1689600</v>
      </c>
      <c r="G12" s="100">
        <f t="shared" si="10"/>
        <v>1689600</v>
      </c>
      <c r="H12" s="100">
        <f t="shared" si="10"/>
        <v>1689600</v>
      </c>
      <c r="I12" s="100">
        <f t="shared" si="10"/>
        <v>1689600</v>
      </c>
      <c r="J12" s="100">
        <f t="shared" si="10"/>
        <v>1689600</v>
      </c>
      <c r="K12" s="100">
        <f t="shared" si="10"/>
        <v>1757184</v>
      </c>
      <c r="L12" s="100">
        <f t="shared" si="10"/>
        <v>1757184</v>
      </c>
      <c r="M12" s="100">
        <f t="shared" si="10"/>
        <v>1757184</v>
      </c>
      <c r="O12" s="100">
        <f t="shared" ref="O12:Z12" si="11">O7-O13</f>
        <v>2635776</v>
      </c>
      <c r="P12" s="100">
        <f t="shared" si="11"/>
        <v>2635776</v>
      </c>
      <c r="Q12" s="100">
        <f t="shared" si="11"/>
        <v>2635776</v>
      </c>
      <c r="R12" s="100">
        <f t="shared" si="11"/>
        <v>2635776</v>
      </c>
      <c r="S12" s="100">
        <f t="shared" si="11"/>
        <v>2635776</v>
      </c>
      <c r="T12" s="100">
        <f t="shared" si="11"/>
        <v>2635776</v>
      </c>
      <c r="U12" s="100">
        <f t="shared" si="11"/>
        <v>2635776</v>
      </c>
      <c r="V12" s="100">
        <f t="shared" si="11"/>
        <v>2635776</v>
      </c>
      <c r="W12" s="100">
        <f t="shared" si="11"/>
        <v>2635776</v>
      </c>
      <c r="X12" s="100">
        <f t="shared" si="11"/>
        <v>2741207.0400000005</v>
      </c>
      <c r="Y12" s="100">
        <f t="shared" si="11"/>
        <v>2741207.0400000005</v>
      </c>
      <c r="Z12" s="100">
        <f t="shared" si="11"/>
        <v>2741207.0400000005</v>
      </c>
      <c r="AB12" s="100">
        <f>AB7-AB13</f>
        <v>51828549.746688008</v>
      </c>
      <c r="AC12" s="100">
        <f>AC7-AC13</f>
        <v>80852537.60483329</v>
      </c>
      <c r="AD12" s="100">
        <f>AD7-AD13</f>
        <v>126129958.66353996</v>
      </c>
      <c r="AG12" s="184"/>
      <c r="AH12" s="184"/>
      <c r="AI12" s="184"/>
      <c r="AJ12" s="184"/>
    </row>
    <row r="13" spans="1:36" s="228" customFormat="1" ht="11.25" hidden="1" x14ac:dyDescent="0.2">
      <c r="A13" s="228" t="s">
        <v>152</v>
      </c>
      <c r="B13" s="100">
        <f t="shared" ref="B13:M13" si="12">SUMPRODUCT(B2:B7,$AI2:$AI7)</f>
        <v>0</v>
      </c>
      <c r="C13" s="100">
        <f t="shared" si="12"/>
        <v>0</v>
      </c>
      <c r="D13" s="100">
        <f t="shared" si="12"/>
        <v>0</v>
      </c>
      <c r="E13" s="100">
        <f t="shared" si="12"/>
        <v>0</v>
      </c>
      <c r="F13" s="100">
        <f t="shared" si="12"/>
        <v>0</v>
      </c>
      <c r="G13" s="100">
        <f t="shared" si="12"/>
        <v>0</v>
      </c>
      <c r="H13" s="100">
        <f t="shared" si="12"/>
        <v>0</v>
      </c>
      <c r="I13" s="100">
        <f t="shared" si="12"/>
        <v>0</v>
      </c>
      <c r="J13" s="100">
        <f t="shared" si="12"/>
        <v>0</v>
      </c>
      <c r="K13" s="100">
        <f t="shared" si="12"/>
        <v>0</v>
      </c>
      <c r="L13" s="100">
        <f t="shared" si="12"/>
        <v>0</v>
      </c>
      <c r="M13" s="100">
        <f t="shared" si="12"/>
        <v>0</v>
      </c>
      <c r="N13" s="100"/>
      <c r="O13" s="100">
        <f t="shared" ref="O13:Z13" si="13">SUMPRODUCT(O2:O7,$AI2:$AI7)</f>
        <v>0</v>
      </c>
      <c r="P13" s="100">
        <f t="shared" si="13"/>
        <v>0</v>
      </c>
      <c r="Q13" s="100">
        <f t="shared" si="13"/>
        <v>0</v>
      </c>
      <c r="R13" s="100">
        <f t="shared" si="13"/>
        <v>0</v>
      </c>
      <c r="S13" s="100">
        <f t="shared" si="13"/>
        <v>0</v>
      </c>
      <c r="T13" s="100">
        <f t="shared" si="13"/>
        <v>0</v>
      </c>
      <c r="U13" s="100">
        <f t="shared" si="13"/>
        <v>0</v>
      </c>
      <c r="V13" s="100">
        <f t="shared" si="13"/>
        <v>0</v>
      </c>
      <c r="W13" s="100">
        <f t="shared" si="13"/>
        <v>0</v>
      </c>
      <c r="X13" s="100">
        <f t="shared" si="13"/>
        <v>0</v>
      </c>
      <c r="Y13" s="100">
        <f t="shared" si="13"/>
        <v>0</v>
      </c>
      <c r="Z13" s="100">
        <f t="shared" si="13"/>
        <v>0</v>
      </c>
      <c r="AA13" s="100"/>
      <c r="AB13" s="100">
        <f>SUMPRODUCT(AB2:AB7,$AI2:$AI7)</f>
        <v>0</v>
      </c>
      <c r="AC13" s="100">
        <f>SUMPRODUCT(AC2:AC7,$AI2:$AI7)</f>
        <v>0</v>
      </c>
      <c r="AD13" s="100">
        <f>SUMPRODUCT(AD2:AD7,$AI2:$AI7)</f>
        <v>0</v>
      </c>
      <c r="AG13" s="18"/>
      <c r="AH13" s="184"/>
      <c r="AI13" s="18"/>
      <c r="AJ13" s="64"/>
    </row>
    <row r="14" spans="1:36" s="228" customFormat="1" ht="11.25" hidden="1" x14ac:dyDescent="0.2">
      <c r="A14" s="228" t="s">
        <v>17</v>
      </c>
      <c r="B14" s="228">
        <f t="shared" ref="B14:M14" si="14">IF(B13=0,0,SUMPRODUCT(B2:B7,$AI2:$AI7,$AJ2:$AJ7)/B13)</f>
        <v>0</v>
      </c>
      <c r="C14" s="228">
        <f t="shared" si="14"/>
        <v>0</v>
      </c>
      <c r="D14" s="228">
        <f t="shared" si="14"/>
        <v>0</v>
      </c>
      <c r="E14" s="228">
        <f t="shared" si="14"/>
        <v>0</v>
      </c>
      <c r="F14" s="228">
        <f t="shared" si="14"/>
        <v>0</v>
      </c>
      <c r="G14" s="228">
        <f t="shared" si="14"/>
        <v>0</v>
      </c>
      <c r="H14" s="228">
        <f t="shared" si="14"/>
        <v>0</v>
      </c>
      <c r="I14" s="228">
        <f t="shared" si="14"/>
        <v>0</v>
      </c>
      <c r="J14" s="228">
        <f t="shared" si="14"/>
        <v>0</v>
      </c>
      <c r="K14" s="228">
        <f t="shared" si="14"/>
        <v>0</v>
      </c>
      <c r="L14" s="228">
        <f t="shared" si="14"/>
        <v>0</v>
      </c>
      <c r="M14" s="228">
        <f t="shared" si="14"/>
        <v>0</v>
      </c>
      <c r="O14" s="228">
        <f t="shared" ref="O14:Z14" si="15">IF(O13=0,0,SUMPRODUCT(O2:O7,$AI2:$AI7,$AJ2:$AJ7)/O13)</f>
        <v>0</v>
      </c>
      <c r="P14" s="228">
        <f t="shared" si="15"/>
        <v>0</v>
      </c>
      <c r="Q14" s="228">
        <f t="shared" si="15"/>
        <v>0</v>
      </c>
      <c r="R14" s="228">
        <f t="shared" si="15"/>
        <v>0</v>
      </c>
      <c r="S14" s="228">
        <f t="shared" si="15"/>
        <v>0</v>
      </c>
      <c r="T14" s="228">
        <f t="shared" si="15"/>
        <v>0</v>
      </c>
      <c r="U14" s="228">
        <f t="shared" si="15"/>
        <v>0</v>
      </c>
      <c r="V14" s="228">
        <f t="shared" si="15"/>
        <v>0</v>
      </c>
      <c r="W14" s="228">
        <f t="shared" si="15"/>
        <v>0</v>
      </c>
      <c r="X14" s="228">
        <f t="shared" si="15"/>
        <v>0</v>
      </c>
      <c r="Y14" s="228">
        <f t="shared" si="15"/>
        <v>0</v>
      </c>
      <c r="Z14" s="228">
        <f t="shared" si="15"/>
        <v>0</v>
      </c>
      <c r="AB14" s="228">
        <f>IF(AB7=0,0,SUMPRODUCT(AB2:AB7,$AJ2:$AJ7)/AB7)</f>
        <v>0</v>
      </c>
      <c r="AC14" s="228">
        <f>IF(AC7=0,0,SUMPRODUCT(AC2:AC7,$AJ2:$AJ7)/AC7)</f>
        <v>0</v>
      </c>
      <c r="AD14" s="228">
        <f>IF(AD7=0,0,SUMPRODUCT(AD2:AD7,$AJ2:$AJ7)/AD7)</f>
        <v>0</v>
      </c>
      <c r="AG14" s="184"/>
      <c r="AH14" s="184"/>
      <c r="AI14" s="184"/>
      <c r="AJ14" s="184"/>
    </row>
    <row r="18" spans="33:36" x14ac:dyDescent="0.2">
      <c r="AG18" s="222"/>
      <c r="AH18" s="222"/>
      <c r="AI18" s="222"/>
      <c r="AJ18" s="222"/>
    </row>
  </sheetData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3"/>
  <sheetViews>
    <sheetView showGridLines="0" workbookViewId="0">
      <pane xSplit="1" ySplit="1" topLeftCell="U2" activePane="bottomRight" state="frozen"/>
      <selection activeCell="G19" sqref="G19"/>
      <selection pane="topRight" activeCell="G19" sqref="G19"/>
      <selection pane="bottomLeft" activeCell="G19" sqref="G19"/>
      <selection pane="bottomRight" activeCell="AD11" sqref="AD11"/>
    </sheetView>
  </sheetViews>
  <sheetFormatPr baseColWidth="10" defaultColWidth="11.7109375" defaultRowHeight="12.75" outlineLevelCol="1" x14ac:dyDescent="0.2"/>
  <cols>
    <col min="1" max="1" width="42.85546875" customWidth="1"/>
    <col min="2" max="13" width="13.28515625" customWidth="1" outlineLevel="1"/>
    <col min="14" max="14" width="13.28515625" customWidth="1"/>
    <col min="15" max="26" width="13.28515625" customWidth="1" outlineLevel="1"/>
    <col min="27" max="30" width="13.28515625" customWidth="1"/>
    <col min="31" max="31" width="11.7109375" customWidth="1"/>
    <col min="32" max="35" width="11.7109375" style="184" hidden="1" customWidth="1"/>
    <col min="36" max="37" width="11.7109375" customWidth="1"/>
  </cols>
  <sheetData>
    <row r="1" spans="1:35" ht="15.75" customHeight="1" x14ac:dyDescent="0.25">
      <c r="A1" s="213" t="str">
        <f>"GASTOS FIJOS (" &amp; Introducción!E17 &amp; ")"</f>
        <v>GASTOS FIJOS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  <c r="AF1" t="s">
        <v>159</v>
      </c>
      <c r="AG1"/>
      <c r="AH1" t="s">
        <v>188</v>
      </c>
      <c r="AI1" t="s">
        <v>213</v>
      </c>
    </row>
    <row r="2" spans="1:35" x14ac:dyDescent="0.2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35" x14ac:dyDescent="0.2">
      <c r="A3" s="211" t="s">
        <v>118</v>
      </c>
      <c r="B3" s="5">
        <v>200</v>
      </c>
      <c r="C3" s="5">
        <v>200</v>
      </c>
      <c r="D3" s="5">
        <v>200</v>
      </c>
      <c r="E3" s="5">
        <v>200</v>
      </c>
      <c r="F3" s="5">
        <v>200</v>
      </c>
      <c r="G3" s="5">
        <v>200</v>
      </c>
      <c r="H3" s="5">
        <v>200</v>
      </c>
      <c r="I3" s="5">
        <v>200</v>
      </c>
      <c r="J3" s="5">
        <v>200</v>
      </c>
      <c r="K3" s="5">
        <f>J3*1.04</f>
        <v>208</v>
      </c>
      <c r="L3" s="5">
        <f>K3</f>
        <v>208</v>
      </c>
      <c r="M3" s="5">
        <f>L3</f>
        <v>208</v>
      </c>
      <c r="N3" s="6">
        <f>SUM(B3:M3)</f>
        <v>2424</v>
      </c>
      <c r="O3" s="5">
        <f>M3</f>
        <v>208</v>
      </c>
      <c r="P3" s="5">
        <f>208</f>
        <v>208</v>
      </c>
      <c r="Q3" s="5">
        <f>208</f>
        <v>208</v>
      </c>
      <c r="R3" s="5">
        <f>208</f>
        <v>208</v>
      </c>
      <c r="S3" s="5">
        <f>208</f>
        <v>208</v>
      </c>
      <c r="T3" s="5">
        <f>208</f>
        <v>208</v>
      </c>
      <c r="U3" s="5">
        <f>208</f>
        <v>208</v>
      </c>
      <c r="V3" s="5">
        <f>208</f>
        <v>208</v>
      </c>
      <c r="W3" s="5">
        <f>208</f>
        <v>208</v>
      </c>
      <c r="X3" s="5">
        <f>W3*1.04</f>
        <v>216.32</v>
      </c>
      <c r="Y3" s="5">
        <f>216</f>
        <v>216</v>
      </c>
      <c r="Z3" s="5">
        <f>216</f>
        <v>216</v>
      </c>
      <c r="AA3" s="6">
        <f>SUM(O3:Z3)</f>
        <v>2520.3200000000002</v>
      </c>
      <c r="AB3" s="5">
        <f>Z3*1.04*12</f>
        <v>2695.6800000000003</v>
      </c>
      <c r="AC3" s="5">
        <f>AB3*1.04</f>
        <v>2803.5072000000005</v>
      </c>
      <c r="AD3" s="5">
        <f>AC3*1.04</f>
        <v>2915.6474880000005</v>
      </c>
      <c r="AE3" s="210"/>
      <c r="AF3" s="194">
        <v>0</v>
      </c>
      <c r="AH3" s="132">
        <v>0</v>
      </c>
      <c r="AI3" s="184">
        <v>0</v>
      </c>
    </row>
    <row r="4" spans="1:35" ht="15" x14ac:dyDescent="0.25">
      <c r="A4" s="196" t="s">
        <v>12</v>
      </c>
      <c r="B4" s="220">
        <f t="shared" ref="B4:M4" si="2">SUM(B3:B3)</f>
        <v>200</v>
      </c>
      <c r="C4" s="220">
        <f t="shared" si="2"/>
        <v>200</v>
      </c>
      <c r="D4" s="220">
        <f t="shared" si="2"/>
        <v>200</v>
      </c>
      <c r="E4" s="220">
        <f t="shared" si="2"/>
        <v>200</v>
      </c>
      <c r="F4" s="220">
        <f t="shared" si="2"/>
        <v>200</v>
      </c>
      <c r="G4" s="220">
        <f t="shared" si="2"/>
        <v>200</v>
      </c>
      <c r="H4" s="220">
        <f t="shared" si="2"/>
        <v>200</v>
      </c>
      <c r="I4" s="220">
        <f t="shared" si="2"/>
        <v>200</v>
      </c>
      <c r="J4" s="220">
        <f t="shared" si="2"/>
        <v>200</v>
      </c>
      <c r="K4" s="220">
        <f t="shared" si="2"/>
        <v>208</v>
      </c>
      <c r="L4" s="220">
        <f t="shared" si="2"/>
        <v>208</v>
      </c>
      <c r="M4" s="220">
        <f t="shared" si="2"/>
        <v>208</v>
      </c>
      <c r="N4" s="220">
        <f>SUM(B4:M4)</f>
        <v>2424</v>
      </c>
      <c r="O4" s="220">
        <f t="shared" ref="O4:Z4" si="3">SUM(O3:O3)</f>
        <v>208</v>
      </c>
      <c r="P4" s="220">
        <f t="shared" si="3"/>
        <v>208</v>
      </c>
      <c r="Q4" s="220">
        <f t="shared" si="3"/>
        <v>208</v>
      </c>
      <c r="R4" s="220">
        <f t="shared" si="3"/>
        <v>208</v>
      </c>
      <c r="S4" s="220">
        <f t="shared" si="3"/>
        <v>208</v>
      </c>
      <c r="T4" s="220">
        <f t="shared" si="3"/>
        <v>208</v>
      </c>
      <c r="U4" s="220">
        <f t="shared" si="3"/>
        <v>208</v>
      </c>
      <c r="V4" s="220">
        <f t="shared" si="3"/>
        <v>208</v>
      </c>
      <c r="W4" s="220">
        <f t="shared" si="3"/>
        <v>208</v>
      </c>
      <c r="X4" s="220">
        <f t="shared" si="3"/>
        <v>216.32</v>
      </c>
      <c r="Y4" s="220">
        <f t="shared" si="3"/>
        <v>216</v>
      </c>
      <c r="Z4" s="220">
        <f t="shared" si="3"/>
        <v>216</v>
      </c>
      <c r="AA4" s="220">
        <f>SUM(O4:Z4)</f>
        <v>2520.3200000000002</v>
      </c>
      <c r="AB4" s="220">
        <f>SUM(AB3:AB3)</f>
        <v>2695.6800000000003</v>
      </c>
      <c r="AC4" s="220">
        <f>SUM(AC3:AC3)</f>
        <v>2803.5072000000005</v>
      </c>
      <c r="AD4" s="220">
        <f>SUM(AD3:AD3)</f>
        <v>2915.6474880000005</v>
      </c>
      <c r="AE4" s="210"/>
    </row>
    <row r="5" spans="1:35" x14ac:dyDescent="0.2"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</row>
    <row r="6" spans="1:35" x14ac:dyDescent="0.2">
      <c r="A6" s="211" t="s">
        <v>14</v>
      </c>
      <c r="B6" s="5">
        <v>200</v>
      </c>
      <c r="C6" s="5">
        <v>200</v>
      </c>
      <c r="D6" s="5">
        <v>200</v>
      </c>
      <c r="E6" s="5">
        <v>200</v>
      </c>
      <c r="F6" s="5">
        <v>200</v>
      </c>
      <c r="G6" s="5">
        <v>200</v>
      </c>
      <c r="H6" s="5">
        <v>200</v>
      </c>
      <c r="I6" s="5">
        <v>200</v>
      </c>
      <c r="J6" s="5">
        <v>200</v>
      </c>
      <c r="K6" s="5">
        <f>J6*1.04</f>
        <v>208</v>
      </c>
      <c r="L6" s="5">
        <f>$K$6</f>
        <v>208</v>
      </c>
      <c r="M6" s="5">
        <f>$K$6</f>
        <v>208</v>
      </c>
      <c r="N6" s="6">
        <f>SUM(B6:M6)</f>
        <v>2424</v>
      </c>
      <c r="O6" s="5">
        <f>$M$6</f>
        <v>208</v>
      </c>
      <c r="P6" s="5">
        <f>$O$6</f>
        <v>208</v>
      </c>
      <c r="Q6" s="5">
        <f t="shared" ref="Q6:W6" si="4">$O$6</f>
        <v>208</v>
      </c>
      <c r="R6" s="5">
        <f t="shared" si="4"/>
        <v>208</v>
      </c>
      <c r="S6" s="5">
        <f t="shared" si="4"/>
        <v>208</v>
      </c>
      <c r="T6" s="5">
        <f t="shared" si="4"/>
        <v>208</v>
      </c>
      <c r="U6" s="5">
        <f t="shared" si="4"/>
        <v>208</v>
      </c>
      <c r="V6" s="5">
        <f t="shared" si="4"/>
        <v>208</v>
      </c>
      <c r="W6" s="5">
        <f t="shared" si="4"/>
        <v>208</v>
      </c>
      <c r="X6" s="5">
        <f>W6*1.04</f>
        <v>216.32</v>
      </c>
      <c r="Y6" s="5">
        <f>$X$6</f>
        <v>216.32</v>
      </c>
      <c r="Z6" s="5">
        <f>$X$6</f>
        <v>216.32</v>
      </c>
      <c r="AA6" s="6">
        <f>SUM(O6:Z6)</f>
        <v>2520.9600000000005</v>
      </c>
      <c r="AB6" s="5">
        <f>AA6*1.04</f>
        <v>2621.7984000000006</v>
      </c>
      <c r="AC6" s="5">
        <f>1.04*AB6</f>
        <v>2726.6703360000006</v>
      </c>
      <c r="AD6" s="5">
        <f>1.04*AC6</f>
        <v>2835.7371494400008</v>
      </c>
      <c r="AE6" s="210"/>
      <c r="AF6" s="194">
        <v>0</v>
      </c>
      <c r="AH6" s="132">
        <v>0</v>
      </c>
      <c r="AI6" s="184">
        <v>0</v>
      </c>
    </row>
    <row r="7" spans="1:35" x14ac:dyDescent="0.2">
      <c r="A7" s="211" t="s">
        <v>59</v>
      </c>
      <c r="B7" s="5">
        <v>389</v>
      </c>
      <c r="C7" s="5">
        <v>389</v>
      </c>
      <c r="D7" s="5">
        <v>389</v>
      </c>
      <c r="E7" s="5">
        <v>389</v>
      </c>
      <c r="F7" s="5">
        <v>389</v>
      </c>
      <c r="G7" s="5">
        <v>389</v>
      </c>
      <c r="H7" s="5">
        <v>389</v>
      </c>
      <c r="I7" s="5">
        <v>389</v>
      </c>
      <c r="J7" s="5">
        <v>389</v>
      </c>
      <c r="K7" s="5">
        <f>J7*1.04</f>
        <v>404.56</v>
      </c>
      <c r="L7" s="5">
        <f>$K$7</f>
        <v>404.56</v>
      </c>
      <c r="M7" s="5">
        <f>$K$7</f>
        <v>404.56</v>
      </c>
      <c r="N7" s="6">
        <f>SUM(B7:M7)</f>
        <v>4714.68</v>
      </c>
      <c r="O7" s="5">
        <f>$M$7</f>
        <v>404.56</v>
      </c>
      <c r="P7" s="5">
        <f t="shared" ref="P7:W7" si="5">$M$7</f>
        <v>404.56</v>
      </c>
      <c r="Q7" s="5">
        <f t="shared" si="5"/>
        <v>404.56</v>
      </c>
      <c r="R7" s="5">
        <f t="shared" si="5"/>
        <v>404.56</v>
      </c>
      <c r="S7" s="5">
        <f t="shared" si="5"/>
        <v>404.56</v>
      </c>
      <c r="T7" s="5">
        <f t="shared" si="5"/>
        <v>404.56</v>
      </c>
      <c r="U7" s="5">
        <f t="shared" si="5"/>
        <v>404.56</v>
      </c>
      <c r="V7" s="5">
        <f t="shared" si="5"/>
        <v>404.56</v>
      </c>
      <c r="W7" s="5">
        <f t="shared" si="5"/>
        <v>404.56</v>
      </c>
      <c r="X7" s="5">
        <f>W7*1.04</f>
        <v>420.74240000000003</v>
      </c>
      <c r="Y7" s="5">
        <f>$X$7</f>
        <v>420.74240000000003</v>
      </c>
      <c r="Z7" s="5">
        <f>$X$7</f>
        <v>420.74240000000003</v>
      </c>
      <c r="AA7" s="6">
        <f>SUM(O7:Z7)</f>
        <v>4903.2672000000002</v>
      </c>
      <c r="AB7" s="5">
        <f>AA7*1.04</f>
        <v>5099.3978880000004</v>
      </c>
      <c r="AC7" s="5">
        <f>1.04*AB7</f>
        <v>5303.3738035200004</v>
      </c>
      <c r="AD7" s="5">
        <f>1.04*AC7</f>
        <v>5515.5087556608005</v>
      </c>
      <c r="AE7" s="210"/>
      <c r="AF7" s="194">
        <v>0</v>
      </c>
      <c r="AH7" s="132">
        <v>0</v>
      </c>
      <c r="AI7" s="184">
        <v>0</v>
      </c>
    </row>
    <row r="8" spans="1:35" ht="15" x14ac:dyDescent="0.25">
      <c r="A8" s="196" t="s">
        <v>194</v>
      </c>
      <c r="B8" s="220">
        <f t="shared" ref="B8:M8" si="6">SUM(B6:B7)</f>
        <v>589</v>
      </c>
      <c r="C8" s="220">
        <f t="shared" si="6"/>
        <v>589</v>
      </c>
      <c r="D8" s="220">
        <f t="shared" si="6"/>
        <v>589</v>
      </c>
      <c r="E8" s="220">
        <f t="shared" si="6"/>
        <v>589</v>
      </c>
      <c r="F8" s="220">
        <f t="shared" si="6"/>
        <v>589</v>
      </c>
      <c r="G8" s="220">
        <f t="shared" si="6"/>
        <v>589</v>
      </c>
      <c r="H8" s="220">
        <f t="shared" si="6"/>
        <v>589</v>
      </c>
      <c r="I8" s="220">
        <f t="shared" si="6"/>
        <v>589</v>
      </c>
      <c r="J8" s="220">
        <f t="shared" si="6"/>
        <v>589</v>
      </c>
      <c r="K8" s="220">
        <f t="shared" si="6"/>
        <v>612.55999999999995</v>
      </c>
      <c r="L8" s="220">
        <f t="shared" si="6"/>
        <v>612.55999999999995</v>
      </c>
      <c r="M8" s="220">
        <f t="shared" si="6"/>
        <v>612.55999999999995</v>
      </c>
      <c r="N8" s="220">
        <f>SUM(B8:M8)</f>
        <v>7138.6799999999985</v>
      </c>
      <c r="O8" s="220">
        <f t="shared" ref="O8:Z8" si="7">SUM(O6:O7)</f>
        <v>612.55999999999995</v>
      </c>
      <c r="P8" s="220">
        <f t="shared" si="7"/>
        <v>612.55999999999995</v>
      </c>
      <c r="Q8" s="220">
        <f t="shared" si="7"/>
        <v>612.55999999999995</v>
      </c>
      <c r="R8" s="220">
        <f t="shared" si="7"/>
        <v>612.55999999999995</v>
      </c>
      <c r="S8" s="220">
        <f t="shared" si="7"/>
        <v>612.55999999999995</v>
      </c>
      <c r="T8" s="220">
        <f t="shared" si="7"/>
        <v>612.55999999999995</v>
      </c>
      <c r="U8" s="220">
        <f t="shared" si="7"/>
        <v>612.55999999999995</v>
      </c>
      <c r="V8" s="220">
        <f t="shared" si="7"/>
        <v>612.55999999999995</v>
      </c>
      <c r="W8" s="220">
        <f t="shared" si="7"/>
        <v>612.55999999999995</v>
      </c>
      <c r="X8" s="220">
        <f t="shared" si="7"/>
        <v>637.06240000000003</v>
      </c>
      <c r="Y8" s="220">
        <f t="shared" si="7"/>
        <v>637.06240000000003</v>
      </c>
      <c r="Z8" s="220">
        <f t="shared" si="7"/>
        <v>637.06240000000003</v>
      </c>
      <c r="AA8" s="220">
        <f>SUM(O8:Z8)</f>
        <v>7424.2271999999984</v>
      </c>
      <c r="AB8" s="220">
        <f>SUM(AB6:AB7)</f>
        <v>7721.196288000001</v>
      </c>
      <c r="AC8" s="220">
        <f>SUM(AC6:AC7)</f>
        <v>8030.0441395200014</v>
      </c>
      <c r="AD8" s="220">
        <f>SUM(AD6:AD7)</f>
        <v>8351.2459051008009</v>
      </c>
      <c r="AE8" s="210"/>
    </row>
    <row r="9" spans="1:35" x14ac:dyDescent="0.2"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</row>
    <row r="10" spans="1:35" x14ac:dyDescent="0.2">
      <c r="A10" s="211" t="s">
        <v>5</v>
      </c>
      <c r="B10" s="5">
        <f>1900+(0.5*'Costo de Ventas'!B3)</f>
        <v>54700</v>
      </c>
      <c r="C10" s="5">
        <f>1900+(0.5*'Costo de Ventas'!C3)</f>
        <v>54700</v>
      </c>
      <c r="D10" s="5">
        <f>1900+(0.5*'Costo de Ventas'!D3)</f>
        <v>54700</v>
      </c>
      <c r="E10" s="5">
        <f>1900+(0.5*'Costo de Ventas'!E3)</f>
        <v>54700</v>
      </c>
      <c r="F10" s="5">
        <f>1900+(0.5*'Costo de Ventas'!F3)</f>
        <v>54700</v>
      </c>
      <c r="G10" s="5">
        <f>1900+(0.5*'Costo de Ventas'!G3)</f>
        <v>54700</v>
      </c>
      <c r="H10" s="5">
        <f>1900+(0.5*'Costo de Ventas'!H3)</f>
        <v>54700</v>
      </c>
      <c r="I10" s="5">
        <f>1900+(0.5*'Costo de Ventas'!I3)</f>
        <v>54700</v>
      </c>
      <c r="J10" s="5">
        <f>1900+(0.5*'Costo de Ventas'!J3)</f>
        <v>54700</v>
      </c>
      <c r="K10" s="5">
        <f>(1900*1.04)+(0.5*'Costo de Ventas'!K3)</f>
        <v>54776</v>
      </c>
      <c r="L10" s="5">
        <f>(1900*1.04)+(0.5*'Costo de Ventas'!L3)</f>
        <v>54776</v>
      </c>
      <c r="M10" s="5">
        <f>(1900*1.04)+(0.5*'Costo de Ventas'!M3)</f>
        <v>54776</v>
      </c>
      <c r="N10" s="6">
        <f>SUM(B10:M10)</f>
        <v>656628</v>
      </c>
      <c r="O10" s="5">
        <f>(1900*1.04)+(0.5*'Costo de Ventas'!Z3)</f>
        <v>81176</v>
      </c>
      <c r="P10" s="5">
        <f>O10</f>
        <v>81176</v>
      </c>
      <c r="Q10" s="5">
        <f>$O$10</f>
        <v>81176</v>
      </c>
      <c r="R10" s="5">
        <f t="shared" ref="R10:W10" si="8">$O$10</f>
        <v>81176</v>
      </c>
      <c r="S10" s="5">
        <f t="shared" si="8"/>
        <v>81176</v>
      </c>
      <c r="T10" s="5">
        <f t="shared" si="8"/>
        <v>81176</v>
      </c>
      <c r="U10" s="5">
        <f t="shared" si="8"/>
        <v>81176</v>
      </c>
      <c r="V10" s="5">
        <f t="shared" si="8"/>
        <v>81176</v>
      </c>
      <c r="W10" s="5">
        <f t="shared" si="8"/>
        <v>81176</v>
      </c>
      <c r="X10" s="5">
        <f>(1900*1.04*1.04)+(0.5*'Costo de Ventas'!Z3)</f>
        <v>81255.039999999994</v>
      </c>
      <c r="Y10" s="5">
        <f>X10</f>
        <v>81255.039999999994</v>
      </c>
      <c r="Z10" s="5">
        <f>X10</f>
        <v>81255.039999999994</v>
      </c>
      <c r="AA10" s="6">
        <f>SUM(O10:Z10)</f>
        <v>974349.12000000011</v>
      </c>
      <c r="AB10" s="5">
        <f>(1900*1.04*1.04*1.04)+(0.5*'Costo de Ventas'!AB3)</f>
        <v>1427737.2416000001</v>
      </c>
      <c r="AC10" s="5">
        <f>(1900*1.04*1.04*1.04*1.04)+(0.5*'Costo de Ventas'!AC3)</f>
        <v>2140622.7312639998</v>
      </c>
      <c r="AD10" s="5">
        <f>(1900*1.04*1.04*1.04*1.04*1.04)+(0.5*'Costo de Ventas'!AD3)</f>
        <v>3209911.64051456</v>
      </c>
      <c r="AE10" s="210"/>
      <c r="AF10" s="194">
        <v>0</v>
      </c>
      <c r="AH10" s="132">
        <v>0</v>
      </c>
      <c r="AI10" s="184">
        <v>0</v>
      </c>
    </row>
    <row r="11" spans="1:35" x14ac:dyDescent="0.2">
      <c r="A11" s="211" t="s">
        <v>21</v>
      </c>
      <c r="B11" s="5">
        <v>30000</v>
      </c>
      <c r="C11" s="5">
        <f>$B$11</f>
        <v>30000</v>
      </c>
      <c r="D11" s="5">
        <f t="shared" ref="D11:J11" si="9">$B$11</f>
        <v>30000</v>
      </c>
      <c r="E11" s="5">
        <f t="shared" si="9"/>
        <v>30000</v>
      </c>
      <c r="F11" s="5">
        <f t="shared" si="9"/>
        <v>30000</v>
      </c>
      <c r="G11" s="5">
        <f t="shared" si="9"/>
        <v>30000</v>
      </c>
      <c r="H11" s="5">
        <f t="shared" si="9"/>
        <v>30000</v>
      </c>
      <c r="I11" s="5">
        <f t="shared" si="9"/>
        <v>30000</v>
      </c>
      <c r="J11" s="5">
        <f t="shared" si="9"/>
        <v>30000</v>
      </c>
      <c r="K11" s="5">
        <f>J11*1.04</f>
        <v>31200</v>
      </c>
      <c r="L11" s="5">
        <f>$K$11</f>
        <v>31200</v>
      </c>
      <c r="M11" s="5">
        <f>$K$11</f>
        <v>31200</v>
      </c>
      <c r="N11" s="6">
        <f>SUM(B11:M11)</f>
        <v>363600</v>
      </c>
      <c r="O11" s="5">
        <f>$M$11</f>
        <v>31200</v>
      </c>
      <c r="P11" s="5">
        <f t="shared" ref="P11:W11" si="10">$M$11</f>
        <v>31200</v>
      </c>
      <c r="Q11" s="5">
        <f t="shared" si="10"/>
        <v>31200</v>
      </c>
      <c r="R11" s="5">
        <f t="shared" si="10"/>
        <v>31200</v>
      </c>
      <c r="S11" s="5">
        <f t="shared" si="10"/>
        <v>31200</v>
      </c>
      <c r="T11" s="5">
        <f t="shared" si="10"/>
        <v>31200</v>
      </c>
      <c r="U11" s="5">
        <f t="shared" si="10"/>
        <v>31200</v>
      </c>
      <c r="V11" s="5">
        <f t="shared" si="10"/>
        <v>31200</v>
      </c>
      <c r="W11" s="5">
        <f t="shared" si="10"/>
        <v>31200</v>
      </c>
      <c r="X11" s="5">
        <f>W11*1.04</f>
        <v>32448</v>
      </c>
      <c r="Y11" s="5">
        <f>$X$11</f>
        <v>32448</v>
      </c>
      <c r="Z11" s="5">
        <f>$X$11</f>
        <v>32448</v>
      </c>
      <c r="AA11" s="6">
        <f>SUM(O11:Z11)</f>
        <v>378144</v>
      </c>
      <c r="AB11" s="5">
        <f>AA11*1.04</f>
        <v>393269.76000000001</v>
      </c>
      <c r="AC11" s="5">
        <f>AB11*1.04</f>
        <v>409000.55040000001</v>
      </c>
      <c r="AD11" s="5">
        <f>AC11*1.04</f>
        <v>425360.57241600001</v>
      </c>
      <c r="AE11" s="210"/>
      <c r="AF11" s="194">
        <v>0</v>
      </c>
      <c r="AH11" s="132">
        <v>0</v>
      </c>
      <c r="AI11" s="184">
        <v>0</v>
      </c>
    </row>
    <row r="12" spans="1:35" x14ac:dyDescent="0.2">
      <c r="A12" s="211" t="s">
        <v>49</v>
      </c>
      <c r="B12" s="5">
        <v>20000</v>
      </c>
      <c r="C12" s="5">
        <f>$B$12</f>
        <v>20000</v>
      </c>
      <c r="D12" s="5">
        <f t="shared" ref="D12:J12" si="11">$B$12</f>
        <v>20000</v>
      </c>
      <c r="E12" s="5">
        <f t="shared" si="11"/>
        <v>20000</v>
      </c>
      <c r="F12" s="5">
        <f t="shared" si="11"/>
        <v>20000</v>
      </c>
      <c r="G12" s="5">
        <f t="shared" si="11"/>
        <v>20000</v>
      </c>
      <c r="H12" s="5">
        <f t="shared" si="11"/>
        <v>20000</v>
      </c>
      <c r="I12" s="5">
        <f t="shared" si="11"/>
        <v>20000</v>
      </c>
      <c r="J12" s="5">
        <f t="shared" si="11"/>
        <v>20000</v>
      </c>
      <c r="K12" s="5">
        <f>J12*1.04</f>
        <v>20800</v>
      </c>
      <c r="L12" s="5">
        <f>$K$12</f>
        <v>20800</v>
      </c>
      <c r="M12" s="5">
        <f>$K$12</f>
        <v>20800</v>
      </c>
      <c r="N12" s="6">
        <f>SUM(B12:M12)</f>
        <v>242400</v>
      </c>
      <c r="O12" s="5">
        <f>$K$12</f>
        <v>20800</v>
      </c>
      <c r="P12" s="5">
        <f t="shared" ref="P12:W12" si="12">$K$12</f>
        <v>20800</v>
      </c>
      <c r="Q12" s="5">
        <f t="shared" si="12"/>
        <v>20800</v>
      </c>
      <c r="R12" s="5">
        <f t="shared" si="12"/>
        <v>20800</v>
      </c>
      <c r="S12" s="5">
        <f t="shared" si="12"/>
        <v>20800</v>
      </c>
      <c r="T12" s="5">
        <f t="shared" si="12"/>
        <v>20800</v>
      </c>
      <c r="U12" s="5">
        <f t="shared" si="12"/>
        <v>20800</v>
      </c>
      <c r="V12" s="5">
        <f t="shared" si="12"/>
        <v>20800</v>
      </c>
      <c r="W12" s="5">
        <f t="shared" si="12"/>
        <v>20800</v>
      </c>
      <c r="X12" s="5">
        <f>W12*1.04</f>
        <v>21632</v>
      </c>
      <c r="Y12" s="5">
        <f>$X$12</f>
        <v>21632</v>
      </c>
      <c r="Z12" s="5">
        <f>$X$12</f>
        <v>21632</v>
      </c>
      <c r="AA12" s="6">
        <f>SUM(O12:Z12)</f>
        <v>252096</v>
      </c>
      <c r="AB12" s="5">
        <f>AA12*1.04</f>
        <v>262179.84000000003</v>
      </c>
      <c r="AC12" s="5">
        <f>AB12*1.04</f>
        <v>272667.03360000002</v>
      </c>
      <c r="AD12" s="5">
        <f>1.04*AC12</f>
        <v>283573.71494400001</v>
      </c>
      <c r="AE12" s="210"/>
      <c r="AF12" s="194">
        <v>0</v>
      </c>
      <c r="AH12" s="132">
        <v>0</v>
      </c>
      <c r="AI12" s="184">
        <v>0</v>
      </c>
    </row>
    <row r="13" spans="1:35" ht="15" x14ac:dyDescent="0.25">
      <c r="A13" s="196" t="s">
        <v>45</v>
      </c>
      <c r="B13" s="220">
        <f t="shared" ref="B13:M13" si="13">SUM(B10:B12)</f>
        <v>104700</v>
      </c>
      <c r="C13" s="220">
        <f t="shared" si="13"/>
        <v>104700</v>
      </c>
      <c r="D13" s="220">
        <f t="shared" si="13"/>
        <v>104700</v>
      </c>
      <c r="E13" s="220">
        <f t="shared" si="13"/>
        <v>104700</v>
      </c>
      <c r="F13" s="220">
        <f t="shared" si="13"/>
        <v>104700</v>
      </c>
      <c r="G13" s="220">
        <f t="shared" si="13"/>
        <v>104700</v>
      </c>
      <c r="H13" s="220">
        <f t="shared" si="13"/>
        <v>104700</v>
      </c>
      <c r="I13" s="220">
        <f t="shared" si="13"/>
        <v>104700</v>
      </c>
      <c r="J13" s="220">
        <f t="shared" si="13"/>
        <v>104700</v>
      </c>
      <c r="K13" s="220">
        <f t="shared" si="13"/>
        <v>106776</v>
      </c>
      <c r="L13" s="220">
        <f t="shared" si="13"/>
        <v>106776</v>
      </c>
      <c r="M13" s="220">
        <f t="shared" si="13"/>
        <v>106776</v>
      </c>
      <c r="N13" s="220">
        <f>SUM(B13:M13)</f>
        <v>1262628</v>
      </c>
      <c r="O13" s="220">
        <f t="shared" ref="O13:Z13" si="14">SUM(O10:O12)</f>
        <v>133176</v>
      </c>
      <c r="P13" s="220">
        <f t="shared" si="14"/>
        <v>133176</v>
      </c>
      <c r="Q13" s="220">
        <f t="shared" si="14"/>
        <v>133176</v>
      </c>
      <c r="R13" s="220">
        <f t="shared" si="14"/>
        <v>133176</v>
      </c>
      <c r="S13" s="220">
        <f t="shared" si="14"/>
        <v>133176</v>
      </c>
      <c r="T13" s="220">
        <f t="shared" si="14"/>
        <v>133176</v>
      </c>
      <c r="U13" s="220">
        <f t="shared" si="14"/>
        <v>133176</v>
      </c>
      <c r="V13" s="220">
        <f t="shared" si="14"/>
        <v>133176</v>
      </c>
      <c r="W13" s="220">
        <f t="shared" si="14"/>
        <v>133176</v>
      </c>
      <c r="X13" s="220">
        <f t="shared" si="14"/>
        <v>135335.03999999998</v>
      </c>
      <c r="Y13" s="220">
        <f t="shared" si="14"/>
        <v>135335.03999999998</v>
      </c>
      <c r="Z13" s="220">
        <f t="shared" si="14"/>
        <v>135335.03999999998</v>
      </c>
      <c r="AA13" s="220">
        <f>SUM(O13:Z13)</f>
        <v>1604589.12</v>
      </c>
      <c r="AB13" s="220">
        <f>SUM(AB10:AB12)</f>
        <v>2083186.8416000002</v>
      </c>
      <c r="AC13" s="220">
        <f>SUM(AC10:AC12)</f>
        <v>2822290.3152640001</v>
      </c>
      <c r="AD13" s="220">
        <f>SUM(AD10:AD12)</f>
        <v>3918845.92787456</v>
      </c>
      <c r="AE13" s="210"/>
    </row>
    <row r="14" spans="1:35" x14ac:dyDescent="0.2"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</row>
    <row r="15" spans="1:35" ht="15" x14ac:dyDescent="0.25">
      <c r="A15" s="55" t="s">
        <v>90</v>
      </c>
      <c r="B15" s="106">
        <f t="shared" ref="B15:M15" si="15">B4+B8+B13</f>
        <v>105489</v>
      </c>
      <c r="C15" s="106">
        <f t="shared" si="15"/>
        <v>105489</v>
      </c>
      <c r="D15" s="106">
        <f t="shared" si="15"/>
        <v>105489</v>
      </c>
      <c r="E15" s="106">
        <f t="shared" si="15"/>
        <v>105489</v>
      </c>
      <c r="F15" s="106">
        <f t="shared" si="15"/>
        <v>105489</v>
      </c>
      <c r="G15" s="106">
        <f t="shared" si="15"/>
        <v>105489</v>
      </c>
      <c r="H15" s="106">
        <f t="shared" si="15"/>
        <v>105489</v>
      </c>
      <c r="I15" s="106">
        <f t="shared" si="15"/>
        <v>105489</v>
      </c>
      <c r="J15" s="106">
        <f t="shared" si="15"/>
        <v>105489</v>
      </c>
      <c r="K15" s="106">
        <f t="shared" si="15"/>
        <v>107596.56</v>
      </c>
      <c r="L15" s="106">
        <f t="shared" si="15"/>
        <v>107596.56</v>
      </c>
      <c r="M15" s="106">
        <f t="shared" si="15"/>
        <v>107596.56</v>
      </c>
      <c r="N15" s="106">
        <f>SUM(B15:M15)</f>
        <v>1272190.6800000002</v>
      </c>
      <c r="O15" s="106">
        <f t="shared" ref="O15:Z15" si="16">O4+O8+O13</f>
        <v>133996.56</v>
      </c>
      <c r="P15" s="106">
        <f t="shared" si="16"/>
        <v>133996.56</v>
      </c>
      <c r="Q15" s="106">
        <f t="shared" si="16"/>
        <v>133996.56</v>
      </c>
      <c r="R15" s="106">
        <f t="shared" si="16"/>
        <v>133996.56</v>
      </c>
      <c r="S15" s="106">
        <f t="shared" si="16"/>
        <v>133996.56</v>
      </c>
      <c r="T15" s="106">
        <f t="shared" si="16"/>
        <v>133996.56</v>
      </c>
      <c r="U15" s="106">
        <f t="shared" si="16"/>
        <v>133996.56</v>
      </c>
      <c r="V15" s="106">
        <f t="shared" si="16"/>
        <v>133996.56</v>
      </c>
      <c r="W15" s="106">
        <f t="shared" si="16"/>
        <v>133996.56</v>
      </c>
      <c r="X15" s="106">
        <f t="shared" si="16"/>
        <v>136188.42239999998</v>
      </c>
      <c r="Y15" s="106">
        <f t="shared" si="16"/>
        <v>136188.10239999997</v>
      </c>
      <c r="Z15" s="106">
        <f t="shared" si="16"/>
        <v>136188.10239999997</v>
      </c>
      <c r="AA15" s="106">
        <f>SUM(O15:Z15)</f>
        <v>1614533.6672000003</v>
      </c>
      <c r="AB15" s="106">
        <f>AB4+AB8+AB13</f>
        <v>2093603.7178880002</v>
      </c>
      <c r="AC15" s="106">
        <f>AC4+AC8+AC13</f>
        <v>2833123.8666035202</v>
      </c>
      <c r="AD15" s="106">
        <f>AD4+AD8+AD13</f>
        <v>3930112.8212676607</v>
      </c>
      <c r="AF15" s="18"/>
      <c r="AH15" s="18"/>
      <c r="AI15" s="64"/>
    </row>
    <row r="16" spans="1:35" x14ac:dyDescent="0.2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F16" s="18"/>
      <c r="AH16" s="18"/>
      <c r="AI16" s="64"/>
    </row>
    <row r="17" spans="1:35" hidden="1" x14ac:dyDescent="0.2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F17" s="64"/>
    </row>
    <row r="18" spans="1:35" s="68" customFormat="1" ht="11.25" hidden="1" x14ac:dyDescent="0.2">
      <c r="A18" s="68" t="s">
        <v>39</v>
      </c>
      <c r="B18" s="68">
        <f t="shared" ref="B18:M18" si="17">SUMPRODUCT(B2:B15,$AF2:$AF15)</f>
        <v>0</v>
      </c>
      <c r="C18" s="68">
        <f t="shared" si="17"/>
        <v>0</v>
      </c>
      <c r="D18" s="68">
        <f t="shared" si="17"/>
        <v>0</v>
      </c>
      <c r="E18" s="68">
        <f t="shared" si="17"/>
        <v>0</v>
      </c>
      <c r="F18" s="68">
        <f t="shared" si="17"/>
        <v>0</v>
      </c>
      <c r="G18" s="68">
        <f t="shared" si="17"/>
        <v>0</v>
      </c>
      <c r="H18" s="68">
        <f t="shared" si="17"/>
        <v>0</v>
      </c>
      <c r="I18" s="68">
        <f t="shared" si="17"/>
        <v>0</v>
      </c>
      <c r="J18" s="68">
        <f t="shared" si="17"/>
        <v>0</v>
      </c>
      <c r="K18" s="68">
        <f t="shared" si="17"/>
        <v>0</v>
      </c>
      <c r="L18" s="68">
        <f t="shared" si="17"/>
        <v>0</v>
      </c>
      <c r="M18" s="68">
        <f t="shared" si="17"/>
        <v>0</v>
      </c>
      <c r="O18" s="68">
        <f t="shared" ref="O18:Z18" si="18">SUMPRODUCT(O2:O15,$AF2:$AF15)</f>
        <v>0</v>
      </c>
      <c r="P18" s="68">
        <f t="shared" si="18"/>
        <v>0</v>
      </c>
      <c r="Q18" s="68">
        <f t="shared" si="18"/>
        <v>0</v>
      </c>
      <c r="R18" s="68">
        <f t="shared" si="18"/>
        <v>0</v>
      </c>
      <c r="S18" s="68">
        <f t="shared" si="18"/>
        <v>0</v>
      </c>
      <c r="T18" s="68">
        <f t="shared" si="18"/>
        <v>0</v>
      </c>
      <c r="U18" s="68">
        <f t="shared" si="18"/>
        <v>0</v>
      </c>
      <c r="V18" s="68">
        <f t="shared" si="18"/>
        <v>0</v>
      </c>
      <c r="W18" s="68">
        <f t="shared" si="18"/>
        <v>0</v>
      </c>
      <c r="X18" s="68">
        <f t="shared" si="18"/>
        <v>0</v>
      </c>
      <c r="Y18" s="68">
        <f t="shared" si="18"/>
        <v>0</v>
      </c>
      <c r="Z18" s="68">
        <f t="shared" si="18"/>
        <v>0</v>
      </c>
      <c r="AB18" s="68">
        <f>SUMPRODUCT(AB2:AB15,$AF2:$AF15)</f>
        <v>0</v>
      </c>
      <c r="AC18" s="68">
        <f>SUMPRODUCT(AC2:AC15,$AF2:$AF15)</f>
        <v>0</v>
      </c>
      <c r="AD18" s="68">
        <f>SUMPRODUCT(AD2:AD15,$AF2:$AF15)</f>
        <v>0</v>
      </c>
      <c r="AF18" s="64"/>
      <c r="AG18" s="184"/>
      <c r="AH18" s="184"/>
      <c r="AI18" s="184"/>
    </row>
    <row r="19" spans="1:35" s="228" customFormat="1" ht="11.25" hidden="1" x14ac:dyDescent="0.2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F19" s="18"/>
      <c r="AG19" s="184"/>
      <c r="AH19" s="18"/>
      <c r="AI19" s="64"/>
    </row>
    <row r="20" spans="1:35" s="68" customFormat="1" ht="11.25" hidden="1" x14ac:dyDescent="0.2">
      <c r="A20" s="68" t="s">
        <v>54</v>
      </c>
      <c r="B20" s="68">
        <f t="shared" ref="B20:M20" si="19">B15-B21</f>
        <v>105489</v>
      </c>
      <c r="C20" s="68">
        <f t="shared" si="19"/>
        <v>105489</v>
      </c>
      <c r="D20" s="68">
        <f t="shared" si="19"/>
        <v>105489</v>
      </c>
      <c r="E20" s="68">
        <f t="shared" si="19"/>
        <v>105489</v>
      </c>
      <c r="F20" s="68">
        <f t="shared" si="19"/>
        <v>105489</v>
      </c>
      <c r="G20" s="68">
        <f t="shared" si="19"/>
        <v>105489</v>
      </c>
      <c r="H20" s="68">
        <f t="shared" si="19"/>
        <v>105489</v>
      </c>
      <c r="I20" s="68">
        <f t="shared" si="19"/>
        <v>105489</v>
      </c>
      <c r="J20" s="68">
        <f t="shared" si="19"/>
        <v>105489</v>
      </c>
      <c r="K20" s="68">
        <f t="shared" si="19"/>
        <v>107596.56</v>
      </c>
      <c r="L20" s="68">
        <f t="shared" si="19"/>
        <v>107596.56</v>
      </c>
      <c r="M20" s="68">
        <f t="shared" si="19"/>
        <v>107596.56</v>
      </c>
      <c r="O20" s="68">
        <f t="shared" ref="O20:Z20" si="20">O15-O21</f>
        <v>133996.56</v>
      </c>
      <c r="P20" s="68">
        <f t="shared" si="20"/>
        <v>133996.56</v>
      </c>
      <c r="Q20" s="68">
        <f t="shared" si="20"/>
        <v>133996.56</v>
      </c>
      <c r="R20" s="68">
        <f t="shared" si="20"/>
        <v>133996.56</v>
      </c>
      <c r="S20" s="68">
        <f t="shared" si="20"/>
        <v>133996.56</v>
      </c>
      <c r="T20" s="68">
        <f t="shared" si="20"/>
        <v>133996.56</v>
      </c>
      <c r="U20" s="68">
        <f t="shared" si="20"/>
        <v>133996.56</v>
      </c>
      <c r="V20" s="68">
        <f t="shared" si="20"/>
        <v>133996.56</v>
      </c>
      <c r="W20" s="68">
        <f t="shared" si="20"/>
        <v>133996.56</v>
      </c>
      <c r="X20" s="68">
        <f t="shared" si="20"/>
        <v>136188.42239999998</v>
      </c>
      <c r="Y20" s="68">
        <f t="shared" si="20"/>
        <v>136188.10239999997</v>
      </c>
      <c r="Z20" s="68">
        <f t="shared" si="20"/>
        <v>136188.10239999997</v>
      </c>
      <c r="AB20" s="68">
        <f>AB15-AB21</f>
        <v>2093603.7178880002</v>
      </c>
      <c r="AC20" s="68">
        <f>AC15-AC21</f>
        <v>2833123.8666035202</v>
      </c>
      <c r="AD20" s="68">
        <f>AD15-AD21</f>
        <v>3930112.8212676607</v>
      </c>
      <c r="AF20" s="18"/>
      <c r="AG20" s="184"/>
      <c r="AH20" s="18"/>
      <c r="AI20" s="64"/>
    </row>
    <row r="21" spans="1:35" s="68" customFormat="1" ht="11.25" hidden="1" x14ac:dyDescent="0.2">
      <c r="A21" s="68" t="s">
        <v>158</v>
      </c>
      <c r="B21" s="68">
        <f t="shared" ref="B21:M21" si="21">SUMPRODUCT(B2:B15,$AH2:$AH15)</f>
        <v>0</v>
      </c>
      <c r="C21" s="68">
        <f t="shared" si="21"/>
        <v>0</v>
      </c>
      <c r="D21" s="68">
        <f t="shared" si="21"/>
        <v>0</v>
      </c>
      <c r="E21" s="68">
        <f t="shared" si="21"/>
        <v>0</v>
      </c>
      <c r="F21" s="68">
        <f t="shared" si="21"/>
        <v>0</v>
      </c>
      <c r="G21" s="68">
        <f t="shared" si="21"/>
        <v>0</v>
      </c>
      <c r="H21" s="68">
        <f t="shared" si="21"/>
        <v>0</v>
      </c>
      <c r="I21" s="68">
        <f t="shared" si="21"/>
        <v>0</v>
      </c>
      <c r="J21" s="68">
        <f t="shared" si="21"/>
        <v>0</v>
      </c>
      <c r="K21" s="68">
        <f t="shared" si="21"/>
        <v>0</v>
      </c>
      <c r="L21" s="68">
        <f t="shared" si="21"/>
        <v>0</v>
      </c>
      <c r="M21" s="68">
        <f t="shared" si="21"/>
        <v>0</v>
      </c>
      <c r="O21" s="68">
        <f t="shared" ref="O21:Z21" si="22">SUMPRODUCT(O2:O15,$AH2:$AH15)</f>
        <v>0</v>
      </c>
      <c r="P21" s="68">
        <f t="shared" si="22"/>
        <v>0</v>
      </c>
      <c r="Q21" s="68">
        <f t="shared" si="22"/>
        <v>0</v>
      </c>
      <c r="R21" s="68">
        <f t="shared" si="22"/>
        <v>0</v>
      </c>
      <c r="S21" s="68">
        <f t="shared" si="22"/>
        <v>0</v>
      </c>
      <c r="T21" s="68">
        <f t="shared" si="22"/>
        <v>0</v>
      </c>
      <c r="U21" s="68">
        <f t="shared" si="22"/>
        <v>0</v>
      </c>
      <c r="V21" s="68">
        <f t="shared" si="22"/>
        <v>0</v>
      </c>
      <c r="W21" s="68">
        <f t="shared" si="22"/>
        <v>0</v>
      </c>
      <c r="X21" s="68">
        <f t="shared" si="22"/>
        <v>0</v>
      </c>
      <c r="Y21" s="68">
        <f t="shared" si="22"/>
        <v>0</v>
      </c>
      <c r="Z21" s="68">
        <f t="shared" si="22"/>
        <v>0</v>
      </c>
      <c r="AB21" s="68">
        <f>SUMPRODUCT(AB2:AB15,$AH2:$AH15)</f>
        <v>0</v>
      </c>
      <c r="AC21" s="68">
        <f>SUMPRODUCT(AC2:AC15,$AH2:$AH15)</f>
        <v>0</v>
      </c>
      <c r="AD21" s="68">
        <f>SUMPRODUCT(AD2:AD15,$AH2:$AH15)</f>
        <v>0</v>
      </c>
      <c r="AF21" s="18"/>
      <c r="AG21" s="184"/>
      <c r="AH21" s="184"/>
      <c r="AI21" s="184"/>
    </row>
    <row r="22" spans="1:35" s="228" customFormat="1" ht="11.25" hidden="1" x14ac:dyDescent="0.2">
      <c r="A22" s="228" t="s">
        <v>102</v>
      </c>
      <c r="B22" s="228">
        <f t="shared" ref="B22:M22" si="23">IF(B21=0,0,SUMPRODUCT(B2:B15,$AH2:$AH15,$AI2:$AI15)/B21)</f>
        <v>0</v>
      </c>
      <c r="C22" s="228">
        <f t="shared" si="23"/>
        <v>0</v>
      </c>
      <c r="D22" s="228">
        <f t="shared" si="23"/>
        <v>0</v>
      </c>
      <c r="E22" s="228">
        <f t="shared" si="23"/>
        <v>0</v>
      </c>
      <c r="F22" s="228">
        <f t="shared" si="23"/>
        <v>0</v>
      </c>
      <c r="G22" s="228">
        <f t="shared" si="23"/>
        <v>0</v>
      </c>
      <c r="H22" s="228">
        <f t="shared" si="23"/>
        <v>0</v>
      </c>
      <c r="I22" s="228">
        <f t="shared" si="23"/>
        <v>0</v>
      </c>
      <c r="J22" s="228">
        <f t="shared" si="23"/>
        <v>0</v>
      </c>
      <c r="K22" s="228">
        <f t="shared" si="23"/>
        <v>0</v>
      </c>
      <c r="L22" s="228">
        <f t="shared" si="23"/>
        <v>0</v>
      </c>
      <c r="M22" s="228">
        <f t="shared" si="23"/>
        <v>0</v>
      </c>
      <c r="O22" s="228">
        <f t="shared" ref="O22:Z22" si="24">IF(O21=0,0,SUMPRODUCT(O2:O15,$AH2:$AH15,$AI2:$AI15)/O21)</f>
        <v>0</v>
      </c>
      <c r="P22" s="228">
        <f t="shared" si="24"/>
        <v>0</v>
      </c>
      <c r="Q22" s="228">
        <f t="shared" si="24"/>
        <v>0</v>
      </c>
      <c r="R22" s="228">
        <f t="shared" si="24"/>
        <v>0</v>
      </c>
      <c r="S22" s="228">
        <f t="shared" si="24"/>
        <v>0</v>
      </c>
      <c r="T22" s="228">
        <f t="shared" si="24"/>
        <v>0</v>
      </c>
      <c r="U22" s="228">
        <f t="shared" si="24"/>
        <v>0</v>
      </c>
      <c r="V22" s="228">
        <f t="shared" si="24"/>
        <v>0</v>
      </c>
      <c r="W22" s="228">
        <f t="shared" si="24"/>
        <v>0</v>
      </c>
      <c r="X22" s="228">
        <f t="shared" si="24"/>
        <v>0</v>
      </c>
      <c r="Y22" s="228">
        <f t="shared" si="24"/>
        <v>0</v>
      </c>
      <c r="Z22" s="228">
        <f t="shared" si="24"/>
        <v>0</v>
      </c>
      <c r="AB22" s="228">
        <f>IF(AB21=0,0,SUMPRODUCT(AB2:AB15,$AH2:$AH15,$AI2:$AI15)/AB21)</f>
        <v>0</v>
      </c>
      <c r="AC22" s="228">
        <f>IF(AC21=0,0,SUMPRODUCT(AC2:AC15,$AH2:$AH15,$AI2:$AI15)/AC21)</f>
        <v>0</v>
      </c>
      <c r="AD22" s="228">
        <f>IF(AD21=0,0,SUMPRODUCT(AD2:AD15,$AH2:$AH15,$AI2:$AI15)/AD21)</f>
        <v>0</v>
      </c>
      <c r="AF22" s="18"/>
      <c r="AG22" s="184"/>
      <c r="AH22" s="184"/>
      <c r="AI22" s="184"/>
    </row>
    <row r="23" spans="1:35" hidden="1" x14ac:dyDescent="0.2">
      <c r="AF23" s="18"/>
      <c r="AH23" s="18"/>
      <c r="AI23" s="64"/>
    </row>
    <row r="24" spans="1:35" x14ac:dyDescent="0.2">
      <c r="AF24" s="18"/>
      <c r="AH24" s="18"/>
      <c r="AI24" s="64"/>
    </row>
    <row r="25" spans="1:35" x14ac:dyDescent="0.2">
      <c r="AF25" s="18"/>
    </row>
    <row r="26" spans="1:35" x14ac:dyDescent="0.2">
      <c r="AF26" s="132"/>
    </row>
    <row r="30" spans="1:35" x14ac:dyDescent="0.2">
      <c r="AF30" s="222"/>
      <c r="AG30" s="222"/>
      <c r="AH30" s="222"/>
      <c r="AI30" s="222"/>
    </row>
    <row r="32" spans="1:35" x14ac:dyDescent="0.2">
      <c r="AF32" s="222"/>
      <c r="AG32" s="222"/>
      <c r="AH32" s="222"/>
      <c r="AI32" s="222"/>
    </row>
    <row r="33" spans="32:35" x14ac:dyDescent="0.2">
      <c r="AF33" s="222"/>
      <c r="AG33" s="222"/>
      <c r="AH33" s="222"/>
      <c r="AI33" s="222"/>
    </row>
  </sheetData>
  <pageMargins left="0.75" right="0.75" top="1" bottom="1" header="0.5" footer="0.5"/>
  <pageSetup paperSize="9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2"/>
  <sheetViews>
    <sheetView showGridLines="0" workbookViewId="0">
      <pane xSplit="1" ySplit="1" topLeftCell="U9" activePane="bottomRight" state="frozen"/>
      <selection activeCell="G19" sqref="G19"/>
      <selection pane="topRight" activeCell="G19" sqref="G19"/>
      <selection pane="bottomLeft" activeCell="G19" sqref="G19"/>
      <selection pane="bottomRight" activeCell="AD14" sqref="AD14"/>
    </sheetView>
  </sheetViews>
  <sheetFormatPr baseColWidth="10" defaultColWidth="11.7109375" defaultRowHeight="12.75" outlineLevelCol="1" x14ac:dyDescent="0.2"/>
  <cols>
    <col min="1" max="1" width="42.85546875" customWidth="1"/>
    <col min="2" max="13" width="13.28515625" customWidth="1" outlineLevel="1"/>
    <col min="14" max="14" width="13.28515625" customWidth="1"/>
    <col min="15" max="26" width="13.28515625" customWidth="1" outlineLevel="1"/>
    <col min="27" max="30" width="13.28515625" customWidth="1"/>
    <col min="31" max="31" width="11.7109375" customWidth="1"/>
    <col min="32" max="33" width="11.7109375" style="184" hidden="1" customWidth="1"/>
    <col min="34" max="37" width="11.7109375" customWidth="1"/>
  </cols>
  <sheetData>
    <row r="1" spans="1:33" ht="15.75" customHeight="1" x14ac:dyDescent="0.25">
      <c r="A1" s="213" t="str">
        <f>"SALARIOS (" &amp; Introducción!E17 &amp; ")"</f>
        <v>SALARIOS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  <c r="AF1" t="s">
        <v>188</v>
      </c>
      <c r="AG1" t="s">
        <v>213</v>
      </c>
    </row>
    <row r="2" spans="1:33" x14ac:dyDescent="0.2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33" x14ac:dyDescent="0.2">
      <c r="A3" s="211" t="s">
        <v>174</v>
      </c>
      <c r="B3" s="161">
        <v>2</v>
      </c>
      <c r="C3" s="161">
        <v>2</v>
      </c>
      <c r="D3" s="161">
        <v>2</v>
      </c>
      <c r="E3" s="161">
        <v>2</v>
      </c>
      <c r="F3" s="161">
        <v>2</v>
      </c>
      <c r="G3" s="161">
        <v>2</v>
      </c>
      <c r="H3" s="161">
        <v>2</v>
      </c>
      <c r="I3" s="161">
        <v>2</v>
      </c>
      <c r="J3" s="161">
        <v>2</v>
      </c>
      <c r="K3" s="161">
        <v>2</v>
      </c>
      <c r="L3" s="161">
        <v>2</v>
      </c>
      <c r="M3" s="161">
        <v>2</v>
      </c>
      <c r="N3" s="47">
        <f>SUM(B3:M3) / 12</f>
        <v>2</v>
      </c>
      <c r="O3" s="161">
        <v>2</v>
      </c>
      <c r="P3" s="161">
        <v>2</v>
      </c>
      <c r="Q3" s="161">
        <v>2</v>
      </c>
      <c r="R3" s="161">
        <v>2</v>
      </c>
      <c r="S3" s="161">
        <v>2</v>
      </c>
      <c r="T3" s="161">
        <v>2</v>
      </c>
      <c r="U3" s="161">
        <v>2</v>
      </c>
      <c r="V3" s="161">
        <v>2</v>
      </c>
      <c r="W3" s="161">
        <v>2</v>
      </c>
      <c r="X3" s="161">
        <v>2</v>
      </c>
      <c r="Y3" s="161">
        <v>2</v>
      </c>
      <c r="Z3" s="161">
        <v>2</v>
      </c>
      <c r="AA3" s="47">
        <f>SUM(O3:Z3) / 12</f>
        <v>2</v>
      </c>
      <c r="AB3" s="161">
        <v>2</v>
      </c>
      <c r="AC3" s="161">
        <v>2</v>
      </c>
      <c r="AD3" s="161">
        <v>2</v>
      </c>
      <c r="AE3" s="210"/>
    </row>
    <row r="4" spans="1:33" x14ac:dyDescent="0.2">
      <c r="A4" s="211" t="s">
        <v>84</v>
      </c>
      <c r="B4" s="5">
        <v>4251</v>
      </c>
      <c r="C4" s="5">
        <v>4251</v>
      </c>
      <c r="D4" s="5">
        <v>4251</v>
      </c>
      <c r="E4" s="5">
        <v>4251</v>
      </c>
      <c r="F4" s="5">
        <v>4251</v>
      </c>
      <c r="G4" s="5">
        <v>4251</v>
      </c>
      <c r="H4" s="5">
        <v>4251</v>
      </c>
      <c r="I4" s="5">
        <v>4251</v>
      </c>
      <c r="J4" s="5">
        <v>4251</v>
      </c>
      <c r="K4" s="5">
        <f>J4*1.15</f>
        <v>4888.6499999999996</v>
      </c>
      <c r="L4" s="5">
        <f>$K$4</f>
        <v>4888.6499999999996</v>
      </c>
      <c r="M4" s="5">
        <f>$K$4</f>
        <v>4888.6499999999996</v>
      </c>
      <c r="N4" s="6">
        <f>SUM(B4:M4)</f>
        <v>52924.950000000004</v>
      </c>
      <c r="O4" s="5">
        <f>$M$4</f>
        <v>4888.6499999999996</v>
      </c>
      <c r="P4" s="5">
        <f t="shared" ref="P4:W4" si="2">$M$4</f>
        <v>4888.6499999999996</v>
      </c>
      <c r="Q4" s="5">
        <f t="shared" si="2"/>
        <v>4888.6499999999996</v>
      </c>
      <c r="R4" s="5">
        <f t="shared" si="2"/>
        <v>4888.6499999999996</v>
      </c>
      <c r="S4" s="5">
        <f t="shared" si="2"/>
        <v>4888.6499999999996</v>
      </c>
      <c r="T4" s="5">
        <f t="shared" si="2"/>
        <v>4888.6499999999996</v>
      </c>
      <c r="U4" s="5">
        <f t="shared" si="2"/>
        <v>4888.6499999999996</v>
      </c>
      <c r="V4" s="5">
        <f t="shared" si="2"/>
        <v>4888.6499999999996</v>
      </c>
      <c r="W4" s="5">
        <f t="shared" si="2"/>
        <v>4888.6499999999996</v>
      </c>
      <c r="X4" s="5">
        <f>W4*1.15</f>
        <v>5621.9474999999993</v>
      </c>
      <c r="Y4" s="5">
        <f>$X$4</f>
        <v>5621.9474999999993</v>
      </c>
      <c r="Z4" s="5">
        <f>$X$4</f>
        <v>5621.9474999999993</v>
      </c>
      <c r="AA4" s="6">
        <f>SUM(O4:Z4)</f>
        <v>60863.692500000012</v>
      </c>
      <c r="AB4" s="5">
        <f>AA4*1.15</f>
        <v>69993.246375000002</v>
      </c>
      <c r="AC4" s="5">
        <f>AB4*1.15</f>
        <v>80492.233331249998</v>
      </c>
      <c r="AD4" s="5">
        <f>1.15*AC4</f>
        <v>92566.068330937487</v>
      </c>
      <c r="AE4" s="210"/>
    </row>
    <row r="5" spans="1:33" x14ac:dyDescent="0.2">
      <c r="A5" s="127" t="s">
        <v>250</v>
      </c>
      <c r="B5" s="181">
        <f t="shared" ref="B5:M5" si="3">B3*B4</f>
        <v>8502</v>
      </c>
      <c r="C5" s="181">
        <f t="shared" si="3"/>
        <v>8502</v>
      </c>
      <c r="D5" s="181">
        <f t="shared" si="3"/>
        <v>8502</v>
      </c>
      <c r="E5" s="181">
        <f t="shared" si="3"/>
        <v>8502</v>
      </c>
      <c r="F5" s="181">
        <f t="shared" si="3"/>
        <v>8502</v>
      </c>
      <c r="G5" s="181">
        <f t="shared" si="3"/>
        <v>8502</v>
      </c>
      <c r="H5" s="181">
        <f t="shared" si="3"/>
        <v>8502</v>
      </c>
      <c r="I5" s="181">
        <f t="shared" si="3"/>
        <v>8502</v>
      </c>
      <c r="J5" s="181">
        <f t="shared" si="3"/>
        <v>8502</v>
      </c>
      <c r="K5" s="181">
        <f t="shared" si="3"/>
        <v>9777.2999999999993</v>
      </c>
      <c r="L5" s="181">
        <f t="shared" si="3"/>
        <v>9777.2999999999993</v>
      </c>
      <c r="M5" s="181">
        <f t="shared" si="3"/>
        <v>9777.2999999999993</v>
      </c>
      <c r="N5" s="181">
        <f>SUM(B5:M5)</f>
        <v>105849.90000000001</v>
      </c>
      <c r="O5" s="181">
        <f t="shared" ref="O5:Z5" si="4">O3*O4</f>
        <v>9777.2999999999993</v>
      </c>
      <c r="P5" s="181">
        <f t="shared" si="4"/>
        <v>9777.2999999999993</v>
      </c>
      <c r="Q5" s="181">
        <f t="shared" si="4"/>
        <v>9777.2999999999993</v>
      </c>
      <c r="R5" s="181">
        <f t="shared" si="4"/>
        <v>9777.2999999999993</v>
      </c>
      <c r="S5" s="181">
        <f t="shared" si="4"/>
        <v>9777.2999999999993</v>
      </c>
      <c r="T5" s="181">
        <f t="shared" si="4"/>
        <v>9777.2999999999993</v>
      </c>
      <c r="U5" s="181">
        <f t="shared" si="4"/>
        <v>9777.2999999999993</v>
      </c>
      <c r="V5" s="181">
        <f t="shared" si="4"/>
        <v>9777.2999999999993</v>
      </c>
      <c r="W5" s="181">
        <f t="shared" si="4"/>
        <v>9777.2999999999993</v>
      </c>
      <c r="X5" s="181">
        <f t="shared" si="4"/>
        <v>11243.894999999999</v>
      </c>
      <c r="Y5" s="181">
        <f t="shared" si="4"/>
        <v>11243.894999999999</v>
      </c>
      <c r="Z5" s="181">
        <f t="shared" si="4"/>
        <v>11243.894999999999</v>
      </c>
      <c r="AA5" s="181">
        <f>SUM(O5:Z5)</f>
        <v>121727.38500000002</v>
      </c>
      <c r="AB5" s="181">
        <f>AB3*AB4</f>
        <v>139986.49275</v>
      </c>
      <c r="AC5" s="181">
        <f>AC3*AC4</f>
        <v>160984.4666625</v>
      </c>
      <c r="AD5" s="181">
        <f>AD3*AD4</f>
        <v>185132.13666187497</v>
      </c>
      <c r="AE5" s="210"/>
      <c r="AF5" s="132">
        <v>0</v>
      </c>
      <c r="AG5" s="184">
        <v>0</v>
      </c>
    </row>
    <row r="6" spans="1:33" x14ac:dyDescent="0.2">
      <c r="A6" s="179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210"/>
    </row>
    <row r="7" spans="1:33" ht="15" x14ac:dyDescent="0.25">
      <c r="A7" s="196" t="s">
        <v>97</v>
      </c>
      <c r="B7" s="220">
        <f t="shared" ref="B7:M7" si="5">B5</f>
        <v>8502</v>
      </c>
      <c r="C7" s="220">
        <f t="shared" si="5"/>
        <v>8502</v>
      </c>
      <c r="D7" s="220">
        <f t="shared" si="5"/>
        <v>8502</v>
      </c>
      <c r="E7" s="220">
        <f t="shared" si="5"/>
        <v>8502</v>
      </c>
      <c r="F7" s="220">
        <f t="shared" si="5"/>
        <v>8502</v>
      </c>
      <c r="G7" s="220">
        <f t="shared" si="5"/>
        <v>8502</v>
      </c>
      <c r="H7" s="220">
        <f t="shared" si="5"/>
        <v>8502</v>
      </c>
      <c r="I7" s="220">
        <f t="shared" si="5"/>
        <v>8502</v>
      </c>
      <c r="J7" s="220">
        <f t="shared" si="5"/>
        <v>8502</v>
      </c>
      <c r="K7" s="220">
        <f t="shared" si="5"/>
        <v>9777.2999999999993</v>
      </c>
      <c r="L7" s="220">
        <f t="shared" si="5"/>
        <v>9777.2999999999993</v>
      </c>
      <c r="M7" s="220">
        <f t="shared" si="5"/>
        <v>9777.2999999999993</v>
      </c>
      <c r="N7" s="220">
        <f>SUM(B7:M7)</f>
        <v>105849.90000000001</v>
      </c>
      <c r="O7" s="220">
        <f t="shared" ref="O7:Z7" si="6">O5</f>
        <v>9777.2999999999993</v>
      </c>
      <c r="P7" s="220">
        <f t="shared" si="6"/>
        <v>9777.2999999999993</v>
      </c>
      <c r="Q7" s="220">
        <f t="shared" si="6"/>
        <v>9777.2999999999993</v>
      </c>
      <c r="R7" s="220">
        <f t="shared" si="6"/>
        <v>9777.2999999999993</v>
      </c>
      <c r="S7" s="220">
        <f t="shared" si="6"/>
        <v>9777.2999999999993</v>
      </c>
      <c r="T7" s="220">
        <f t="shared" si="6"/>
        <v>9777.2999999999993</v>
      </c>
      <c r="U7" s="220">
        <f t="shared" si="6"/>
        <v>9777.2999999999993</v>
      </c>
      <c r="V7" s="220">
        <f t="shared" si="6"/>
        <v>9777.2999999999993</v>
      </c>
      <c r="W7" s="220">
        <f t="shared" si="6"/>
        <v>9777.2999999999993</v>
      </c>
      <c r="X7" s="220">
        <f t="shared" si="6"/>
        <v>11243.894999999999</v>
      </c>
      <c r="Y7" s="220">
        <f t="shared" si="6"/>
        <v>11243.894999999999</v>
      </c>
      <c r="Z7" s="220">
        <f t="shared" si="6"/>
        <v>11243.894999999999</v>
      </c>
      <c r="AA7" s="220">
        <f>SUM(O7:Z7)</f>
        <v>121727.38500000002</v>
      </c>
      <c r="AB7" s="220">
        <f>AB5</f>
        <v>139986.49275</v>
      </c>
      <c r="AC7" s="220">
        <f>AC5</f>
        <v>160984.4666625</v>
      </c>
      <c r="AD7" s="220">
        <f>AD5</f>
        <v>185132.13666187497</v>
      </c>
      <c r="AE7" s="210"/>
    </row>
    <row r="8" spans="1:33" x14ac:dyDescent="0.2"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</row>
    <row r="9" spans="1:33" x14ac:dyDescent="0.2">
      <c r="A9" s="211" t="s">
        <v>174</v>
      </c>
      <c r="B9" s="161">
        <v>1</v>
      </c>
      <c r="C9" s="161">
        <f>B9</f>
        <v>1</v>
      </c>
      <c r="D9" s="161">
        <f t="shared" ref="D9:Z9" si="7">C9</f>
        <v>1</v>
      </c>
      <c r="E9" s="161">
        <f t="shared" si="7"/>
        <v>1</v>
      </c>
      <c r="F9" s="161">
        <f t="shared" si="7"/>
        <v>1</v>
      </c>
      <c r="G9" s="161">
        <f t="shared" si="7"/>
        <v>1</v>
      </c>
      <c r="H9" s="161">
        <f t="shared" si="7"/>
        <v>1</v>
      </c>
      <c r="I9" s="161">
        <f t="shared" si="7"/>
        <v>1</v>
      </c>
      <c r="J9" s="161">
        <f t="shared" si="7"/>
        <v>1</v>
      </c>
      <c r="K9" s="161">
        <f t="shared" si="7"/>
        <v>1</v>
      </c>
      <c r="L9" s="161">
        <f t="shared" si="7"/>
        <v>1</v>
      </c>
      <c r="M9" s="161">
        <f t="shared" si="7"/>
        <v>1</v>
      </c>
      <c r="N9" s="161">
        <f t="shared" si="7"/>
        <v>1</v>
      </c>
      <c r="O9" s="161">
        <f t="shared" si="7"/>
        <v>1</v>
      </c>
      <c r="P9" s="161">
        <f t="shared" si="7"/>
        <v>1</v>
      </c>
      <c r="Q9" s="161">
        <f t="shared" si="7"/>
        <v>1</v>
      </c>
      <c r="R9" s="161">
        <f t="shared" si="7"/>
        <v>1</v>
      </c>
      <c r="S9" s="161">
        <f t="shared" si="7"/>
        <v>1</v>
      </c>
      <c r="T9" s="161">
        <f t="shared" si="7"/>
        <v>1</v>
      </c>
      <c r="U9" s="161">
        <f t="shared" si="7"/>
        <v>1</v>
      </c>
      <c r="V9" s="161">
        <f t="shared" si="7"/>
        <v>1</v>
      </c>
      <c r="W9" s="161">
        <f t="shared" si="7"/>
        <v>1</v>
      </c>
      <c r="X9" s="161">
        <f t="shared" si="7"/>
        <v>1</v>
      </c>
      <c r="Y9" s="161">
        <f t="shared" si="7"/>
        <v>1</v>
      </c>
      <c r="Z9" s="161">
        <f t="shared" si="7"/>
        <v>1</v>
      </c>
      <c r="AA9" s="161">
        <f>SUM(O9:Z9)/12</f>
        <v>1</v>
      </c>
      <c r="AB9" s="161">
        <v>2</v>
      </c>
      <c r="AC9" s="161">
        <v>2</v>
      </c>
      <c r="AD9" s="161">
        <v>2</v>
      </c>
      <c r="AE9" s="210"/>
    </row>
    <row r="10" spans="1:33" x14ac:dyDescent="0.2">
      <c r="A10" s="211" t="s">
        <v>84</v>
      </c>
      <c r="B10" s="5">
        <f>B4</f>
        <v>4251</v>
      </c>
      <c r="C10" s="5">
        <f t="shared" ref="C10:M10" si="8">C4</f>
        <v>4251</v>
      </c>
      <c r="D10" s="5">
        <f t="shared" si="8"/>
        <v>4251</v>
      </c>
      <c r="E10" s="5">
        <f t="shared" si="8"/>
        <v>4251</v>
      </c>
      <c r="F10" s="5">
        <f t="shared" si="8"/>
        <v>4251</v>
      </c>
      <c r="G10" s="5">
        <f t="shared" si="8"/>
        <v>4251</v>
      </c>
      <c r="H10" s="5">
        <f t="shared" si="8"/>
        <v>4251</v>
      </c>
      <c r="I10" s="5">
        <f t="shared" si="8"/>
        <v>4251</v>
      </c>
      <c r="J10" s="5">
        <f t="shared" si="8"/>
        <v>4251</v>
      </c>
      <c r="K10" s="5">
        <f t="shared" si="8"/>
        <v>4888.6499999999996</v>
      </c>
      <c r="L10" s="5">
        <f>L4</f>
        <v>4888.6499999999996</v>
      </c>
      <c r="M10" s="5">
        <f t="shared" si="8"/>
        <v>4888.6499999999996</v>
      </c>
      <c r="N10" s="6">
        <f>SUM(B10:M10)</f>
        <v>52924.950000000004</v>
      </c>
      <c r="O10" s="5">
        <f>O4</f>
        <v>4888.6499999999996</v>
      </c>
      <c r="P10" s="5">
        <f t="shared" ref="P10:Z10" si="9">P4</f>
        <v>4888.6499999999996</v>
      </c>
      <c r="Q10" s="5">
        <f t="shared" si="9"/>
        <v>4888.6499999999996</v>
      </c>
      <c r="R10" s="5">
        <f t="shared" si="9"/>
        <v>4888.6499999999996</v>
      </c>
      <c r="S10" s="5">
        <f t="shared" si="9"/>
        <v>4888.6499999999996</v>
      </c>
      <c r="T10" s="5">
        <f t="shared" si="9"/>
        <v>4888.6499999999996</v>
      </c>
      <c r="U10" s="5">
        <f t="shared" si="9"/>
        <v>4888.6499999999996</v>
      </c>
      <c r="V10" s="5">
        <f t="shared" si="9"/>
        <v>4888.6499999999996</v>
      </c>
      <c r="W10" s="5">
        <f t="shared" si="9"/>
        <v>4888.6499999999996</v>
      </c>
      <c r="X10" s="5">
        <f t="shared" si="9"/>
        <v>5621.9474999999993</v>
      </c>
      <c r="Y10" s="5">
        <f t="shared" si="9"/>
        <v>5621.9474999999993</v>
      </c>
      <c r="Z10" s="5">
        <f t="shared" si="9"/>
        <v>5621.9474999999993</v>
      </c>
      <c r="AA10" s="6">
        <f>SUM(O10:Z10)</f>
        <v>60863.692500000012</v>
      </c>
      <c r="AB10" s="5">
        <f>AB4</f>
        <v>69993.246375000002</v>
      </c>
      <c r="AC10" s="5">
        <f t="shared" ref="AC10:AD10" si="10">AC4</f>
        <v>80492.233331249998</v>
      </c>
      <c r="AD10" s="5">
        <f t="shared" si="10"/>
        <v>92566.068330937487</v>
      </c>
      <c r="AE10" s="210"/>
    </row>
    <row r="11" spans="1:33" x14ac:dyDescent="0.2">
      <c r="A11" s="127" t="s">
        <v>203</v>
      </c>
      <c r="B11" s="181">
        <f>B9*B10</f>
        <v>4251</v>
      </c>
      <c r="C11" s="181">
        <f t="shared" ref="C11:M11" si="11">C9*C10</f>
        <v>4251</v>
      </c>
      <c r="D11" s="181">
        <f t="shared" si="11"/>
        <v>4251</v>
      </c>
      <c r="E11" s="181">
        <f t="shared" si="11"/>
        <v>4251</v>
      </c>
      <c r="F11" s="181">
        <f t="shared" si="11"/>
        <v>4251</v>
      </c>
      <c r="G11" s="181">
        <f t="shared" si="11"/>
        <v>4251</v>
      </c>
      <c r="H11" s="181">
        <f t="shared" si="11"/>
        <v>4251</v>
      </c>
      <c r="I11" s="181">
        <f t="shared" si="11"/>
        <v>4251</v>
      </c>
      <c r="J11" s="181">
        <f t="shared" si="11"/>
        <v>4251</v>
      </c>
      <c r="K11" s="181">
        <f t="shared" si="11"/>
        <v>4888.6499999999996</v>
      </c>
      <c r="L11" s="181">
        <f t="shared" si="11"/>
        <v>4888.6499999999996</v>
      </c>
      <c r="M11" s="181">
        <f t="shared" si="11"/>
        <v>4888.6499999999996</v>
      </c>
      <c r="N11" s="181">
        <f>SUM(B11:M11)</f>
        <v>52924.950000000004</v>
      </c>
      <c r="O11" s="181">
        <f t="shared" ref="O11:Z11" si="12">O9*O10</f>
        <v>4888.6499999999996</v>
      </c>
      <c r="P11" s="181">
        <f t="shared" si="12"/>
        <v>4888.6499999999996</v>
      </c>
      <c r="Q11" s="181">
        <f t="shared" si="12"/>
        <v>4888.6499999999996</v>
      </c>
      <c r="R11" s="181">
        <f t="shared" si="12"/>
        <v>4888.6499999999996</v>
      </c>
      <c r="S11" s="181">
        <f t="shared" si="12"/>
        <v>4888.6499999999996</v>
      </c>
      <c r="T11" s="181">
        <f t="shared" si="12"/>
        <v>4888.6499999999996</v>
      </c>
      <c r="U11" s="181">
        <f t="shared" si="12"/>
        <v>4888.6499999999996</v>
      </c>
      <c r="V11" s="181">
        <f t="shared" si="12"/>
        <v>4888.6499999999996</v>
      </c>
      <c r="W11" s="181">
        <f t="shared" si="12"/>
        <v>4888.6499999999996</v>
      </c>
      <c r="X11" s="181">
        <f t="shared" si="12"/>
        <v>5621.9474999999993</v>
      </c>
      <c r="Y11" s="181">
        <f t="shared" si="12"/>
        <v>5621.9474999999993</v>
      </c>
      <c r="Z11" s="181">
        <f t="shared" si="12"/>
        <v>5621.9474999999993</v>
      </c>
      <c r="AA11" s="181">
        <f>SUM(O11:Z11)</f>
        <v>60863.692500000012</v>
      </c>
      <c r="AB11" s="181">
        <f>AB9*AB10</f>
        <v>139986.49275</v>
      </c>
      <c r="AC11" s="181">
        <f>AC9*AC10</f>
        <v>160984.4666625</v>
      </c>
      <c r="AD11" s="181">
        <f>AD9*AD10</f>
        <v>185132.13666187497</v>
      </c>
      <c r="AE11" s="210"/>
      <c r="AF11" s="132">
        <v>0</v>
      </c>
      <c r="AG11" s="184">
        <v>0</v>
      </c>
    </row>
    <row r="12" spans="1:33" x14ac:dyDescent="0.2">
      <c r="A12" s="179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210"/>
    </row>
    <row r="13" spans="1:33" x14ac:dyDescent="0.2">
      <c r="A13" s="211" t="s">
        <v>174</v>
      </c>
      <c r="B13" s="161">
        <v>4</v>
      </c>
      <c r="C13" s="161">
        <f>$B$13</f>
        <v>4</v>
      </c>
      <c r="D13" s="161">
        <f t="shared" ref="D13:Z13" si="13">$B$13</f>
        <v>4</v>
      </c>
      <c r="E13" s="161">
        <f t="shared" si="13"/>
        <v>4</v>
      </c>
      <c r="F13" s="161">
        <f t="shared" si="13"/>
        <v>4</v>
      </c>
      <c r="G13" s="161">
        <f t="shared" si="13"/>
        <v>4</v>
      </c>
      <c r="H13" s="161">
        <f t="shared" si="13"/>
        <v>4</v>
      </c>
      <c r="I13" s="161">
        <f t="shared" si="13"/>
        <v>4</v>
      </c>
      <c r="J13" s="161">
        <f t="shared" si="13"/>
        <v>4</v>
      </c>
      <c r="K13" s="161">
        <f t="shared" si="13"/>
        <v>4</v>
      </c>
      <c r="L13" s="161">
        <f t="shared" si="13"/>
        <v>4</v>
      </c>
      <c r="M13" s="161">
        <f t="shared" si="13"/>
        <v>4</v>
      </c>
      <c r="N13" s="161">
        <f t="shared" si="13"/>
        <v>4</v>
      </c>
      <c r="O13" s="161">
        <f t="shared" si="13"/>
        <v>4</v>
      </c>
      <c r="P13" s="161">
        <f t="shared" si="13"/>
        <v>4</v>
      </c>
      <c r="Q13" s="161">
        <f t="shared" si="13"/>
        <v>4</v>
      </c>
      <c r="R13" s="161">
        <f t="shared" si="13"/>
        <v>4</v>
      </c>
      <c r="S13" s="161">
        <f t="shared" si="13"/>
        <v>4</v>
      </c>
      <c r="T13" s="161">
        <f t="shared" si="13"/>
        <v>4</v>
      </c>
      <c r="U13" s="161">
        <f t="shared" si="13"/>
        <v>4</v>
      </c>
      <c r="V13" s="161">
        <f t="shared" si="13"/>
        <v>4</v>
      </c>
      <c r="W13" s="161">
        <f t="shared" si="13"/>
        <v>4</v>
      </c>
      <c r="X13" s="161">
        <f t="shared" si="13"/>
        <v>4</v>
      </c>
      <c r="Y13" s="161">
        <f t="shared" si="13"/>
        <v>4</v>
      </c>
      <c r="Z13" s="161">
        <f t="shared" si="13"/>
        <v>4</v>
      </c>
      <c r="AA13" s="161">
        <f>SUM(O13:Z13)/12</f>
        <v>4</v>
      </c>
      <c r="AB13" s="161">
        <v>6</v>
      </c>
      <c r="AC13" s="161">
        <v>6</v>
      </c>
      <c r="AD13" s="161">
        <v>6</v>
      </c>
      <c r="AE13" s="210"/>
    </row>
    <row r="14" spans="1:33" x14ac:dyDescent="0.2">
      <c r="A14" s="211" t="s">
        <v>84</v>
      </c>
      <c r="B14" s="5">
        <f>B4*3</f>
        <v>12753</v>
      </c>
      <c r="C14" s="5">
        <f t="shared" ref="C14:J14" si="14">C4*3</f>
        <v>12753</v>
      </c>
      <c r="D14" s="5">
        <f t="shared" si="14"/>
        <v>12753</v>
      </c>
      <c r="E14" s="5">
        <f t="shared" si="14"/>
        <v>12753</v>
      </c>
      <c r="F14" s="5">
        <f t="shared" si="14"/>
        <v>12753</v>
      </c>
      <c r="G14" s="5">
        <f t="shared" si="14"/>
        <v>12753</v>
      </c>
      <c r="H14" s="5">
        <f t="shared" si="14"/>
        <v>12753</v>
      </c>
      <c r="I14" s="5">
        <f t="shared" si="14"/>
        <v>12753</v>
      </c>
      <c r="J14" s="5">
        <f t="shared" si="14"/>
        <v>12753</v>
      </c>
      <c r="K14" s="5">
        <f>K4*3</f>
        <v>14665.949999999999</v>
      </c>
      <c r="L14" s="5">
        <f t="shared" ref="L14:M14" si="15">L4*3</f>
        <v>14665.949999999999</v>
      </c>
      <c r="M14" s="5">
        <f t="shared" si="15"/>
        <v>14665.949999999999</v>
      </c>
      <c r="N14" s="6">
        <f>SUM(B14:M14)</f>
        <v>158774.85</v>
      </c>
      <c r="O14" s="5">
        <f>O4*3</f>
        <v>14665.949999999999</v>
      </c>
      <c r="P14" s="5">
        <f t="shared" ref="P14:Z14" si="16">P4*3</f>
        <v>14665.949999999999</v>
      </c>
      <c r="Q14" s="5">
        <f t="shared" si="16"/>
        <v>14665.949999999999</v>
      </c>
      <c r="R14" s="5">
        <f t="shared" si="16"/>
        <v>14665.949999999999</v>
      </c>
      <c r="S14" s="5">
        <f t="shared" si="16"/>
        <v>14665.949999999999</v>
      </c>
      <c r="T14" s="5">
        <f t="shared" si="16"/>
        <v>14665.949999999999</v>
      </c>
      <c r="U14" s="5">
        <f t="shared" si="16"/>
        <v>14665.949999999999</v>
      </c>
      <c r="V14" s="5">
        <f t="shared" si="16"/>
        <v>14665.949999999999</v>
      </c>
      <c r="W14" s="5">
        <f t="shared" si="16"/>
        <v>14665.949999999999</v>
      </c>
      <c r="X14" s="5">
        <f t="shared" si="16"/>
        <v>16865.842499999999</v>
      </c>
      <c r="Y14" s="5">
        <f t="shared" si="16"/>
        <v>16865.842499999999</v>
      </c>
      <c r="Z14" s="5">
        <f t="shared" si="16"/>
        <v>16865.842499999999</v>
      </c>
      <c r="AA14" s="6">
        <f>SUM(O14:Z14)</f>
        <v>182591.07749999998</v>
      </c>
      <c r="AB14" s="5">
        <f>AB4*3</f>
        <v>209979.73912500002</v>
      </c>
      <c r="AC14" s="5">
        <f>AC4*3</f>
        <v>241476.69999374999</v>
      </c>
      <c r="AD14" s="5">
        <f>AD4*3</f>
        <v>277698.20499281248</v>
      </c>
      <c r="AE14" s="210"/>
    </row>
    <row r="15" spans="1:33" x14ac:dyDescent="0.2">
      <c r="A15" s="127" t="s">
        <v>116</v>
      </c>
      <c r="B15" s="181">
        <f t="shared" ref="B15:M15" si="17">B13*B14</f>
        <v>51012</v>
      </c>
      <c r="C15" s="181">
        <f t="shared" si="17"/>
        <v>51012</v>
      </c>
      <c r="D15" s="181">
        <f t="shared" si="17"/>
        <v>51012</v>
      </c>
      <c r="E15" s="181">
        <f t="shared" si="17"/>
        <v>51012</v>
      </c>
      <c r="F15" s="181">
        <f t="shared" si="17"/>
        <v>51012</v>
      </c>
      <c r="G15" s="181">
        <f t="shared" si="17"/>
        <v>51012</v>
      </c>
      <c r="H15" s="181">
        <f t="shared" si="17"/>
        <v>51012</v>
      </c>
      <c r="I15" s="181">
        <f t="shared" si="17"/>
        <v>51012</v>
      </c>
      <c r="J15" s="181">
        <f t="shared" si="17"/>
        <v>51012</v>
      </c>
      <c r="K15" s="181">
        <f t="shared" si="17"/>
        <v>58663.799999999996</v>
      </c>
      <c r="L15" s="181">
        <f t="shared" si="17"/>
        <v>58663.799999999996</v>
      </c>
      <c r="M15" s="181">
        <f t="shared" si="17"/>
        <v>58663.799999999996</v>
      </c>
      <c r="N15" s="181">
        <f>SUM(B15:M15)</f>
        <v>635099.4</v>
      </c>
      <c r="O15" s="181">
        <f t="shared" ref="O15:Z15" si="18">O13*O14</f>
        <v>58663.799999999996</v>
      </c>
      <c r="P15" s="181">
        <f t="shared" si="18"/>
        <v>58663.799999999996</v>
      </c>
      <c r="Q15" s="181">
        <f t="shared" si="18"/>
        <v>58663.799999999996</v>
      </c>
      <c r="R15" s="181">
        <f t="shared" si="18"/>
        <v>58663.799999999996</v>
      </c>
      <c r="S15" s="181">
        <f t="shared" si="18"/>
        <v>58663.799999999996</v>
      </c>
      <c r="T15" s="181">
        <f t="shared" si="18"/>
        <v>58663.799999999996</v>
      </c>
      <c r="U15" s="181">
        <f t="shared" si="18"/>
        <v>58663.799999999996</v>
      </c>
      <c r="V15" s="181">
        <f t="shared" si="18"/>
        <v>58663.799999999996</v>
      </c>
      <c r="W15" s="181">
        <f t="shared" si="18"/>
        <v>58663.799999999996</v>
      </c>
      <c r="X15" s="181">
        <f t="shared" si="18"/>
        <v>67463.37</v>
      </c>
      <c r="Y15" s="181">
        <f t="shared" si="18"/>
        <v>67463.37</v>
      </c>
      <c r="Z15" s="181">
        <f t="shared" si="18"/>
        <v>67463.37</v>
      </c>
      <c r="AA15" s="181">
        <f>SUM(O15:Z15)</f>
        <v>730364.30999999994</v>
      </c>
      <c r="AB15" s="181">
        <f>AB13*AB14</f>
        <v>1259878.43475</v>
      </c>
      <c r="AC15" s="181">
        <f>AC13*AC14</f>
        <v>1448860.1999625</v>
      </c>
      <c r="AD15" s="181">
        <f>AD13*AD14</f>
        <v>1666189.2299568749</v>
      </c>
      <c r="AE15" s="210"/>
      <c r="AF15" s="132">
        <v>0</v>
      </c>
      <c r="AG15" s="184">
        <v>0</v>
      </c>
    </row>
    <row r="16" spans="1:33" x14ac:dyDescent="0.2">
      <c r="A16" s="179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210"/>
    </row>
    <row r="17" spans="1:33" ht="15" x14ac:dyDescent="0.25">
      <c r="A17" s="196" t="s">
        <v>212</v>
      </c>
      <c r="B17" s="220">
        <f t="shared" ref="B17:M17" si="19">B15+B11</f>
        <v>55263</v>
      </c>
      <c r="C17" s="220">
        <f t="shared" si="19"/>
        <v>55263</v>
      </c>
      <c r="D17" s="220">
        <f t="shared" si="19"/>
        <v>55263</v>
      </c>
      <c r="E17" s="220">
        <f t="shared" si="19"/>
        <v>55263</v>
      </c>
      <c r="F17" s="220">
        <f t="shared" si="19"/>
        <v>55263</v>
      </c>
      <c r="G17" s="220">
        <f t="shared" si="19"/>
        <v>55263</v>
      </c>
      <c r="H17" s="220">
        <f t="shared" si="19"/>
        <v>55263</v>
      </c>
      <c r="I17" s="220">
        <f t="shared" si="19"/>
        <v>55263</v>
      </c>
      <c r="J17" s="220">
        <f t="shared" si="19"/>
        <v>55263</v>
      </c>
      <c r="K17" s="220">
        <f t="shared" si="19"/>
        <v>63552.45</v>
      </c>
      <c r="L17" s="220">
        <f t="shared" si="19"/>
        <v>63552.45</v>
      </c>
      <c r="M17" s="220">
        <f t="shared" si="19"/>
        <v>63552.45</v>
      </c>
      <c r="N17" s="220">
        <f>SUM(B17:M17)</f>
        <v>688024.34999999986</v>
      </c>
      <c r="O17" s="220">
        <f t="shared" ref="O17:Z17" si="20">O15+O11</f>
        <v>63552.45</v>
      </c>
      <c r="P17" s="220">
        <f t="shared" si="20"/>
        <v>63552.45</v>
      </c>
      <c r="Q17" s="220">
        <f t="shared" si="20"/>
        <v>63552.45</v>
      </c>
      <c r="R17" s="220">
        <f t="shared" si="20"/>
        <v>63552.45</v>
      </c>
      <c r="S17" s="220">
        <f t="shared" si="20"/>
        <v>63552.45</v>
      </c>
      <c r="T17" s="220">
        <f t="shared" si="20"/>
        <v>63552.45</v>
      </c>
      <c r="U17" s="220">
        <f t="shared" si="20"/>
        <v>63552.45</v>
      </c>
      <c r="V17" s="220">
        <f t="shared" si="20"/>
        <v>63552.45</v>
      </c>
      <c r="W17" s="220">
        <f t="shared" si="20"/>
        <v>63552.45</v>
      </c>
      <c r="X17" s="220">
        <f t="shared" si="20"/>
        <v>73085.31749999999</v>
      </c>
      <c r="Y17" s="220">
        <f t="shared" si="20"/>
        <v>73085.31749999999</v>
      </c>
      <c r="Z17" s="220">
        <f t="shared" si="20"/>
        <v>73085.31749999999</v>
      </c>
      <c r="AA17" s="220">
        <f>SUM(O17:Z17)</f>
        <v>791228.00250000006</v>
      </c>
      <c r="AB17" s="220">
        <f>AB15+AB11</f>
        <v>1399864.9275</v>
      </c>
      <c r="AC17" s="220">
        <f>AC15+AC11</f>
        <v>1609844.6666250001</v>
      </c>
      <c r="AD17" s="220">
        <f>AD15+AD11</f>
        <v>1851321.3666187499</v>
      </c>
      <c r="AE17" s="210"/>
    </row>
    <row r="18" spans="1:33" x14ac:dyDescent="0.2"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</row>
    <row r="20" spans="1:33" s="102" customFormat="1" ht="15" x14ac:dyDescent="0.25">
      <c r="A20" s="55" t="s">
        <v>223</v>
      </c>
      <c r="B20" s="106">
        <f t="shared" ref="B20:M20" si="21">B7+B17</f>
        <v>63765</v>
      </c>
      <c r="C20" s="106">
        <f t="shared" si="21"/>
        <v>63765</v>
      </c>
      <c r="D20" s="106">
        <f t="shared" si="21"/>
        <v>63765</v>
      </c>
      <c r="E20" s="106">
        <f t="shared" si="21"/>
        <v>63765</v>
      </c>
      <c r="F20" s="106">
        <f t="shared" si="21"/>
        <v>63765</v>
      </c>
      <c r="G20" s="106">
        <f t="shared" si="21"/>
        <v>63765</v>
      </c>
      <c r="H20" s="106">
        <f t="shared" si="21"/>
        <v>63765</v>
      </c>
      <c r="I20" s="106">
        <f t="shared" si="21"/>
        <v>63765</v>
      </c>
      <c r="J20" s="106">
        <f t="shared" si="21"/>
        <v>63765</v>
      </c>
      <c r="K20" s="106">
        <f t="shared" si="21"/>
        <v>73329.75</v>
      </c>
      <c r="L20" s="106">
        <f t="shared" si="21"/>
        <v>73329.75</v>
      </c>
      <c r="M20" s="106">
        <f t="shared" si="21"/>
        <v>73329.75</v>
      </c>
      <c r="N20" s="106">
        <f>SUM(B20:M20)</f>
        <v>793874.25</v>
      </c>
      <c r="O20" s="106">
        <f t="shared" ref="O20:Z20" si="22">O7+O17</f>
        <v>73329.75</v>
      </c>
      <c r="P20" s="106">
        <f t="shared" si="22"/>
        <v>73329.75</v>
      </c>
      <c r="Q20" s="106">
        <f t="shared" si="22"/>
        <v>73329.75</v>
      </c>
      <c r="R20" s="106">
        <f t="shared" si="22"/>
        <v>73329.75</v>
      </c>
      <c r="S20" s="106">
        <f t="shared" si="22"/>
        <v>73329.75</v>
      </c>
      <c r="T20" s="106">
        <f t="shared" si="22"/>
        <v>73329.75</v>
      </c>
      <c r="U20" s="106">
        <f t="shared" si="22"/>
        <v>73329.75</v>
      </c>
      <c r="V20" s="106">
        <f t="shared" si="22"/>
        <v>73329.75</v>
      </c>
      <c r="W20" s="106">
        <f t="shared" si="22"/>
        <v>73329.75</v>
      </c>
      <c r="X20" s="106">
        <f t="shared" si="22"/>
        <v>84329.212499999994</v>
      </c>
      <c r="Y20" s="106">
        <f t="shared" si="22"/>
        <v>84329.212499999994</v>
      </c>
      <c r="Z20" s="106">
        <f t="shared" si="22"/>
        <v>84329.212499999994</v>
      </c>
      <c r="AA20" s="106">
        <f>SUM(O20:Z20)</f>
        <v>912955.38750000007</v>
      </c>
      <c r="AB20" s="106">
        <f>AB7+AB17</f>
        <v>1539851.42025</v>
      </c>
      <c r="AC20" s="106">
        <f>AC7+AC17</f>
        <v>1770829.1332875001</v>
      </c>
      <c r="AD20" s="106">
        <f>AD7+AD17</f>
        <v>2036453.503280625</v>
      </c>
      <c r="AF20" s="184"/>
      <c r="AG20" s="184"/>
    </row>
    <row r="21" spans="1:33" x14ac:dyDescent="0.2">
      <c r="AF21" s="18"/>
      <c r="AG21" s="64"/>
    </row>
    <row r="22" spans="1:33" x14ac:dyDescent="0.2">
      <c r="AF22" s="18"/>
      <c r="AG22" s="64"/>
    </row>
    <row r="23" spans="1:33" x14ac:dyDescent="0.2">
      <c r="A23" t="s">
        <v>97</v>
      </c>
      <c r="B23" s="73">
        <f t="shared" ref="B23:M23" si="23">B3</f>
        <v>2</v>
      </c>
      <c r="C23" s="73">
        <f t="shared" si="23"/>
        <v>2</v>
      </c>
      <c r="D23" s="73">
        <f t="shared" si="23"/>
        <v>2</v>
      </c>
      <c r="E23" s="73">
        <f t="shared" si="23"/>
        <v>2</v>
      </c>
      <c r="F23" s="73">
        <f t="shared" si="23"/>
        <v>2</v>
      </c>
      <c r="G23" s="73">
        <f t="shared" si="23"/>
        <v>2</v>
      </c>
      <c r="H23" s="73">
        <f t="shared" si="23"/>
        <v>2</v>
      </c>
      <c r="I23" s="73">
        <f t="shared" si="23"/>
        <v>2</v>
      </c>
      <c r="J23" s="73">
        <f t="shared" si="23"/>
        <v>2</v>
      </c>
      <c r="K23" s="73">
        <f t="shared" si="23"/>
        <v>2</v>
      </c>
      <c r="L23" s="73">
        <f t="shared" si="23"/>
        <v>2</v>
      </c>
      <c r="M23" s="73">
        <f t="shared" si="23"/>
        <v>2</v>
      </c>
      <c r="N23" s="73">
        <f>SUM(B23:M23) / 12</f>
        <v>2</v>
      </c>
      <c r="O23" s="73">
        <f t="shared" ref="O23:Z23" si="24">O3</f>
        <v>2</v>
      </c>
      <c r="P23" s="73">
        <f t="shared" si="24"/>
        <v>2</v>
      </c>
      <c r="Q23" s="73">
        <f t="shared" si="24"/>
        <v>2</v>
      </c>
      <c r="R23" s="73">
        <f t="shared" si="24"/>
        <v>2</v>
      </c>
      <c r="S23" s="73">
        <f t="shared" si="24"/>
        <v>2</v>
      </c>
      <c r="T23" s="73">
        <f t="shared" si="24"/>
        <v>2</v>
      </c>
      <c r="U23" s="73">
        <f t="shared" si="24"/>
        <v>2</v>
      </c>
      <c r="V23" s="73">
        <f t="shared" si="24"/>
        <v>2</v>
      </c>
      <c r="W23" s="73">
        <f t="shared" si="24"/>
        <v>2</v>
      </c>
      <c r="X23" s="73">
        <f t="shared" si="24"/>
        <v>2</v>
      </c>
      <c r="Y23" s="73">
        <f t="shared" si="24"/>
        <v>2</v>
      </c>
      <c r="Z23" s="73">
        <f t="shared" si="24"/>
        <v>2</v>
      </c>
      <c r="AA23" s="73">
        <f>SUM(O23:Z23) / 12</f>
        <v>2</v>
      </c>
      <c r="AB23" s="73">
        <f>AB3</f>
        <v>2</v>
      </c>
      <c r="AC23" s="73">
        <f>AC3</f>
        <v>2</v>
      </c>
      <c r="AD23" s="73">
        <f>AD3</f>
        <v>2</v>
      </c>
      <c r="AF23" s="18"/>
      <c r="AG23" s="64"/>
    </row>
    <row r="24" spans="1:33" x14ac:dyDescent="0.2">
      <c r="A24" t="s">
        <v>212</v>
      </c>
      <c r="B24" s="73">
        <f>B9+B13</f>
        <v>5</v>
      </c>
      <c r="C24" s="73">
        <f t="shared" ref="C24:M24" si="25">C9+C13</f>
        <v>5</v>
      </c>
      <c r="D24" s="73">
        <f t="shared" si="25"/>
        <v>5</v>
      </c>
      <c r="E24" s="73">
        <f t="shared" si="25"/>
        <v>5</v>
      </c>
      <c r="F24" s="73">
        <f t="shared" si="25"/>
        <v>5</v>
      </c>
      <c r="G24" s="73">
        <f t="shared" si="25"/>
        <v>5</v>
      </c>
      <c r="H24" s="73">
        <f t="shared" si="25"/>
        <v>5</v>
      </c>
      <c r="I24" s="73">
        <f t="shared" si="25"/>
        <v>5</v>
      </c>
      <c r="J24" s="73">
        <f t="shared" si="25"/>
        <v>5</v>
      </c>
      <c r="K24" s="73">
        <f t="shared" si="25"/>
        <v>5</v>
      </c>
      <c r="L24" s="73">
        <f t="shared" si="25"/>
        <v>5</v>
      </c>
      <c r="M24" s="73">
        <f t="shared" si="25"/>
        <v>5</v>
      </c>
      <c r="N24" s="73">
        <f>SUM(B24:M24) / 12</f>
        <v>5</v>
      </c>
      <c r="O24" s="73">
        <f t="shared" ref="O24:Z24" si="26">O9+O13</f>
        <v>5</v>
      </c>
      <c r="P24" s="73">
        <f t="shared" si="26"/>
        <v>5</v>
      </c>
      <c r="Q24" s="73">
        <f t="shared" si="26"/>
        <v>5</v>
      </c>
      <c r="R24" s="73">
        <f t="shared" si="26"/>
        <v>5</v>
      </c>
      <c r="S24" s="73">
        <f t="shared" si="26"/>
        <v>5</v>
      </c>
      <c r="T24" s="73">
        <f t="shared" si="26"/>
        <v>5</v>
      </c>
      <c r="U24" s="73">
        <f t="shared" si="26"/>
        <v>5</v>
      </c>
      <c r="V24" s="73">
        <f t="shared" si="26"/>
        <v>5</v>
      </c>
      <c r="W24" s="73">
        <f t="shared" si="26"/>
        <v>5</v>
      </c>
      <c r="X24" s="73">
        <f t="shared" si="26"/>
        <v>5</v>
      </c>
      <c r="Y24" s="73">
        <f t="shared" si="26"/>
        <v>5</v>
      </c>
      <c r="Z24" s="73">
        <f t="shared" si="26"/>
        <v>5</v>
      </c>
      <c r="AA24" s="73">
        <f>SUM(O24:Z24) / 12</f>
        <v>5</v>
      </c>
      <c r="AB24" s="73">
        <f>AB9+AB13</f>
        <v>8</v>
      </c>
      <c r="AC24" s="73">
        <f>AC9+AC13</f>
        <v>8</v>
      </c>
      <c r="AD24" s="73">
        <f>AD9+AD13</f>
        <v>8</v>
      </c>
    </row>
    <row r="25" spans="1:33" x14ac:dyDescent="0.2">
      <c r="A25" s="127" t="s">
        <v>29</v>
      </c>
      <c r="B25" s="153">
        <f t="shared" ref="B25:M25" si="27">SUM(B21:B24)</f>
        <v>7</v>
      </c>
      <c r="C25" s="153">
        <f t="shared" si="27"/>
        <v>7</v>
      </c>
      <c r="D25" s="153">
        <f t="shared" si="27"/>
        <v>7</v>
      </c>
      <c r="E25" s="153">
        <f t="shared" si="27"/>
        <v>7</v>
      </c>
      <c r="F25" s="153">
        <f t="shared" si="27"/>
        <v>7</v>
      </c>
      <c r="G25" s="153">
        <f t="shared" si="27"/>
        <v>7</v>
      </c>
      <c r="H25" s="153">
        <f t="shared" si="27"/>
        <v>7</v>
      </c>
      <c r="I25" s="153">
        <f t="shared" si="27"/>
        <v>7</v>
      </c>
      <c r="J25" s="153">
        <f t="shared" si="27"/>
        <v>7</v>
      </c>
      <c r="K25" s="153">
        <f t="shared" si="27"/>
        <v>7</v>
      </c>
      <c r="L25" s="153">
        <f t="shared" si="27"/>
        <v>7</v>
      </c>
      <c r="M25" s="153">
        <f t="shared" si="27"/>
        <v>7</v>
      </c>
      <c r="N25" s="153">
        <f>SUM(B25:M25) / 12</f>
        <v>7</v>
      </c>
      <c r="O25" s="153">
        <f t="shared" ref="O25:Z25" si="28">SUM(O21:O24)</f>
        <v>7</v>
      </c>
      <c r="P25" s="153">
        <f t="shared" si="28"/>
        <v>7</v>
      </c>
      <c r="Q25" s="153">
        <f t="shared" si="28"/>
        <v>7</v>
      </c>
      <c r="R25" s="153">
        <f t="shared" si="28"/>
        <v>7</v>
      </c>
      <c r="S25" s="153">
        <f t="shared" si="28"/>
        <v>7</v>
      </c>
      <c r="T25" s="153">
        <f t="shared" si="28"/>
        <v>7</v>
      </c>
      <c r="U25" s="153">
        <f t="shared" si="28"/>
        <v>7</v>
      </c>
      <c r="V25" s="153">
        <f t="shared" si="28"/>
        <v>7</v>
      </c>
      <c r="W25" s="153">
        <f t="shared" si="28"/>
        <v>7</v>
      </c>
      <c r="X25" s="153">
        <f t="shared" si="28"/>
        <v>7</v>
      </c>
      <c r="Y25" s="153">
        <f t="shared" si="28"/>
        <v>7</v>
      </c>
      <c r="Z25" s="153">
        <f t="shared" si="28"/>
        <v>7</v>
      </c>
      <c r="AA25" s="153">
        <f>SUM(O25:Z25) / 12</f>
        <v>7</v>
      </c>
      <c r="AB25" s="153">
        <f>SUM(AB21:AB24)</f>
        <v>10</v>
      </c>
      <c r="AC25" s="153">
        <f>SUM(AC21:AC24)</f>
        <v>10</v>
      </c>
      <c r="AD25" s="153">
        <f>SUM(AD21:AD24)</f>
        <v>10</v>
      </c>
    </row>
    <row r="26" spans="1:33" s="68" customFormat="1" ht="11.25" x14ac:dyDescent="0.2">
      <c r="AF26" s="184"/>
      <c r="AG26" s="184"/>
    </row>
    <row r="27" spans="1:33" s="68" customFormat="1" ht="11.25" x14ac:dyDescent="0.2">
      <c r="AF27" s="18"/>
      <c r="AG27" s="64"/>
    </row>
    <row r="28" spans="1:33" s="68" customFormat="1" ht="11.25" hidden="1" x14ac:dyDescent="0.2">
      <c r="A28" s="68" t="s">
        <v>11</v>
      </c>
      <c r="B28" s="68">
        <f t="shared" ref="B28:M28" si="29">B20-B29</f>
        <v>63765</v>
      </c>
      <c r="C28" s="68">
        <f t="shared" si="29"/>
        <v>63765</v>
      </c>
      <c r="D28" s="68">
        <f t="shared" si="29"/>
        <v>63765</v>
      </c>
      <c r="E28" s="68">
        <f t="shared" si="29"/>
        <v>63765</v>
      </c>
      <c r="F28" s="68">
        <f t="shared" si="29"/>
        <v>63765</v>
      </c>
      <c r="G28" s="68">
        <f t="shared" si="29"/>
        <v>63765</v>
      </c>
      <c r="H28" s="68">
        <f t="shared" si="29"/>
        <v>63765</v>
      </c>
      <c r="I28" s="68">
        <f t="shared" si="29"/>
        <v>63765</v>
      </c>
      <c r="J28" s="68">
        <f t="shared" si="29"/>
        <v>63765</v>
      </c>
      <c r="K28" s="68">
        <f t="shared" si="29"/>
        <v>73329.75</v>
      </c>
      <c r="L28" s="68">
        <f t="shared" si="29"/>
        <v>73329.75</v>
      </c>
      <c r="M28" s="68">
        <f t="shared" si="29"/>
        <v>73329.75</v>
      </c>
      <c r="O28" s="68">
        <f t="shared" ref="O28:Z28" si="30">O20-O29</f>
        <v>73329.75</v>
      </c>
      <c r="P28" s="68">
        <f t="shared" si="30"/>
        <v>73329.75</v>
      </c>
      <c r="Q28" s="68">
        <f t="shared" si="30"/>
        <v>73329.75</v>
      </c>
      <c r="R28" s="68">
        <f t="shared" si="30"/>
        <v>73329.75</v>
      </c>
      <c r="S28" s="68">
        <f t="shared" si="30"/>
        <v>73329.75</v>
      </c>
      <c r="T28" s="68">
        <f t="shared" si="30"/>
        <v>73329.75</v>
      </c>
      <c r="U28" s="68">
        <f t="shared" si="30"/>
        <v>73329.75</v>
      </c>
      <c r="V28" s="68">
        <f t="shared" si="30"/>
        <v>73329.75</v>
      </c>
      <c r="W28" s="68">
        <f t="shared" si="30"/>
        <v>73329.75</v>
      </c>
      <c r="X28" s="68">
        <f t="shared" si="30"/>
        <v>84329.212499999994</v>
      </c>
      <c r="Y28" s="68">
        <f t="shared" si="30"/>
        <v>84329.212499999994</v>
      </c>
      <c r="Z28" s="68">
        <f t="shared" si="30"/>
        <v>84329.212499999994</v>
      </c>
      <c r="AB28" s="68">
        <f>AB20-AB29</f>
        <v>1539851.42025</v>
      </c>
      <c r="AC28" s="68">
        <f>AC20-AC29</f>
        <v>1770829.1332875001</v>
      </c>
      <c r="AD28" s="68">
        <f>AD20-AD29</f>
        <v>2036453.503280625</v>
      </c>
      <c r="AF28" s="184"/>
      <c r="AG28" s="184"/>
    </row>
    <row r="29" spans="1:33" s="68" customFormat="1" ht="11.25" hidden="1" x14ac:dyDescent="0.2">
      <c r="A29" s="68" t="s">
        <v>240</v>
      </c>
      <c r="B29" s="68">
        <f t="shared" ref="B29:M29" si="31">SUMPRODUCT(B2:B20,$AF2:$AF20)</f>
        <v>0</v>
      </c>
      <c r="C29" s="68">
        <f t="shared" si="31"/>
        <v>0</v>
      </c>
      <c r="D29" s="68">
        <f t="shared" si="31"/>
        <v>0</v>
      </c>
      <c r="E29" s="68">
        <f t="shared" si="31"/>
        <v>0</v>
      </c>
      <c r="F29" s="68">
        <f t="shared" si="31"/>
        <v>0</v>
      </c>
      <c r="G29" s="68">
        <f t="shared" si="31"/>
        <v>0</v>
      </c>
      <c r="H29" s="68">
        <f t="shared" si="31"/>
        <v>0</v>
      </c>
      <c r="I29" s="68">
        <f t="shared" si="31"/>
        <v>0</v>
      </c>
      <c r="J29" s="68">
        <f t="shared" si="31"/>
        <v>0</v>
      </c>
      <c r="K29" s="68">
        <f t="shared" si="31"/>
        <v>0</v>
      </c>
      <c r="L29" s="68">
        <f t="shared" si="31"/>
        <v>0</v>
      </c>
      <c r="M29" s="68">
        <f t="shared" si="31"/>
        <v>0</v>
      </c>
      <c r="O29" s="68">
        <f t="shared" ref="O29:Z29" si="32">SUMPRODUCT(O2:O20,$AF2:$AF20)</f>
        <v>0</v>
      </c>
      <c r="P29" s="68">
        <f t="shared" si="32"/>
        <v>0</v>
      </c>
      <c r="Q29" s="68">
        <f t="shared" si="32"/>
        <v>0</v>
      </c>
      <c r="R29" s="68">
        <f t="shared" si="32"/>
        <v>0</v>
      </c>
      <c r="S29" s="68">
        <f t="shared" si="32"/>
        <v>0</v>
      </c>
      <c r="T29" s="68">
        <f t="shared" si="32"/>
        <v>0</v>
      </c>
      <c r="U29" s="68">
        <f t="shared" si="32"/>
        <v>0</v>
      </c>
      <c r="V29" s="68">
        <f t="shared" si="32"/>
        <v>0</v>
      </c>
      <c r="W29" s="68">
        <f t="shared" si="32"/>
        <v>0</v>
      </c>
      <c r="X29" s="68">
        <f t="shared" si="32"/>
        <v>0</v>
      </c>
      <c r="Y29" s="68">
        <f t="shared" si="32"/>
        <v>0</v>
      </c>
      <c r="Z29" s="68">
        <f t="shared" si="32"/>
        <v>0</v>
      </c>
      <c r="AB29" s="68">
        <f>SUMPRODUCT(AB2:AB20,$AF2:$AF20)</f>
        <v>0</v>
      </c>
      <c r="AC29" s="68">
        <f>SUMPRODUCT(AC2:AC20,$AF2:$AF20)</f>
        <v>0</v>
      </c>
      <c r="AD29" s="68">
        <f>SUMPRODUCT(AD2:AD20,$AF2:$AF20)</f>
        <v>0</v>
      </c>
      <c r="AF29" s="184"/>
      <c r="AG29" s="184"/>
    </row>
    <row r="30" spans="1:33" s="68" customFormat="1" ht="11.25" hidden="1" x14ac:dyDescent="0.2">
      <c r="A30" s="68" t="s">
        <v>102</v>
      </c>
      <c r="B30" s="105">
        <f t="shared" ref="B30:M30" si="33">IF(B29=0,0,SUMPRODUCT(B2:B20,$AF2:$AF20,$AG2:$AG20)/B29)</f>
        <v>0</v>
      </c>
      <c r="C30" s="105">
        <f t="shared" si="33"/>
        <v>0</v>
      </c>
      <c r="D30" s="105">
        <f t="shared" si="33"/>
        <v>0</v>
      </c>
      <c r="E30" s="105">
        <f t="shared" si="33"/>
        <v>0</v>
      </c>
      <c r="F30" s="105">
        <f t="shared" si="33"/>
        <v>0</v>
      </c>
      <c r="G30" s="105">
        <f t="shared" si="33"/>
        <v>0</v>
      </c>
      <c r="H30" s="105">
        <f t="shared" si="33"/>
        <v>0</v>
      </c>
      <c r="I30" s="105">
        <f t="shared" si="33"/>
        <v>0</v>
      </c>
      <c r="J30" s="105">
        <f t="shared" si="33"/>
        <v>0</v>
      </c>
      <c r="K30" s="105">
        <f t="shared" si="33"/>
        <v>0</v>
      </c>
      <c r="L30" s="105">
        <f t="shared" si="33"/>
        <v>0</v>
      </c>
      <c r="M30" s="105">
        <f t="shared" si="33"/>
        <v>0</v>
      </c>
      <c r="O30" s="105">
        <f t="shared" ref="O30:Z30" si="34">IF(O29=0,0,SUMPRODUCT(O2:O20,$AF2:$AF20,$AG2:$AG20)/O29)</f>
        <v>0</v>
      </c>
      <c r="P30" s="105">
        <f t="shared" si="34"/>
        <v>0</v>
      </c>
      <c r="Q30" s="105">
        <f t="shared" si="34"/>
        <v>0</v>
      </c>
      <c r="R30" s="105">
        <f t="shared" si="34"/>
        <v>0</v>
      </c>
      <c r="S30" s="105">
        <f t="shared" si="34"/>
        <v>0</v>
      </c>
      <c r="T30" s="105">
        <f t="shared" si="34"/>
        <v>0</v>
      </c>
      <c r="U30" s="105">
        <f t="shared" si="34"/>
        <v>0</v>
      </c>
      <c r="V30" s="105">
        <f t="shared" si="34"/>
        <v>0</v>
      </c>
      <c r="W30" s="105">
        <f t="shared" si="34"/>
        <v>0</v>
      </c>
      <c r="X30" s="105">
        <f t="shared" si="34"/>
        <v>0</v>
      </c>
      <c r="Y30" s="105">
        <f t="shared" si="34"/>
        <v>0</v>
      </c>
      <c r="Z30" s="105">
        <f t="shared" si="34"/>
        <v>0</v>
      </c>
      <c r="AB30" s="105">
        <f>IF(AB29=0,0,SUMPRODUCT(AB2:AB20,$AF2:$AF20,$AG2:$AG20)/AB29)</f>
        <v>0</v>
      </c>
      <c r="AC30" s="105">
        <f>IF(AC29=0,0,SUMPRODUCT(AC2:AC20,$AF2:$AF20,$AG2:$AG20)/AC29)</f>
        <v>0</v>
      </c>
      <c r="AD30" s="105">
        <f>IF(AD29=0,0,SUMPRODUCT(AD2:AD20,$AF2:$AF20,$AG2:$AG20)/AD29)</f>
        <v>0</v>
      </c>
      <c r="AF30" s="184"/>
      <c r="AG30" s="184"/>
    </row>
    <row r="33" spans="32:33" x14ac:dyDescent="0.2">
      <c r="AF33" s="18"/>
      <c r="AG33" s="64"/>
    </row>
    <row r="37" spans="32:33" x14ac:dyDescent="0.2">
      <c r="AF37" s="18"/>
      <c r="AG37" s="64"/>
    </row>
    <row r="43" spans="32:33" x14ac:dyDescent="0.2">
      <c r="AF43" s="18"/>
      <c r="AG43" s="64"/>
    </row>
    <row r="47" spans="32:33" x14ac:dyDescent="0.2">
      <c r="AF47" s="18"/>
      <c r="AG47" s="64"/>
    </row>
    <row r="52" spans="32:33" x14ac:dyDescent="0.2">
      <c r="AF52" s="222"/>
      <c r="AG52" s="222"/>
    </row>
    <row r="61" spans="32:33" x14ac:dyDescent="0.2">
      <c r="AF61" s="222"/>
      <c r="AG61" s="222"/>
    </row>
    <row r="62" spans="32:33" x14ac:dyDescent="0.2">
      <c r="AF62" s="222"/>
      <c r="AG62" s="222"/>
    </row>
  </sheetData>
  <pageMargins left="0.75" right="0.75" top="1" bottom="1" header="0.5" footer="0.5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4"/>
  <sheetViews>
    <sheetView showGridLines="0" workbookViewId="0">
      <pane xSplit="1" ySplit="1" topLeftCell="B2" activePane="bottomRight" state="frozen"/>
      <selection activeCell="G19" sqref="G19"/>
      <selection pane="topRight" activeCell="G19" sqref="G19"/>
      <selection pane="bottomLeft" activeCell="G19" sqref="G19"/>
      <selection pane="bottomRight" activeCell="B9" sqref="B9"/>
    </sheetView>
  </sheetViews>
  <sheetFormatPr baseColWidth="10" defaultColWidth="11.7109375" defaultRowHeight="12.75" outlineLevelCol="1" x14ac:dyDescent="0.2"/>
  <cols>
    <col min="1" max="1" width="42.85546875" customWidth="1"/>
    <col min="2" max="13" width="13.28515625" customWidth="1" outlineLevel="1"/>
    <col min="14" max="14" width="13.28515625" customWidth="1"/>
    <col min="15" max="26" width="13.28515625" customWidth="1" outlineLevel="1"/>
    <col min="27" max="30" width="13.28515625" customWidth="1"/>
    <col min="31" max="31" width="11.7109375" customWidth="1"/>
    <col min="32" max="34" width="11.7109375" hidden="1" customWidth="1"/>
    <col min="35" max="35" width="11.7109375" style="45" hidden="1" customWidth="1"/>
    <col min="36" max="38" width="11.7109375" style="184" hidden="1" customWidth="1"/>
  </cols>
  <sheetData>
    <row r="1" spans="1:38" ht="15.75" customHeight="1" x14ac:dyDescent="0.25">
      <c r="A1" s="213" t="str">
        <f>"INVERSIONES (" &amp; Introducción!E17 &amp; ")"</f>
        <v>INVERSIONES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  <c r="AF1" s="25" t="s">
        <v>139</v>
      </c>
      <c r="AG1" s="189" t="s">
        <v>230</v>
      </c>
      <c r="AH1" s="210"/>
      <c r="AI1" t="s">
        <v>159</v>
      </c>
      <c r="AJ1"/>
      <c r="AK1" t="s">
        <v>188</v>
      </c>
      <c r="AL1" t="s">
        <v>213</v>
      </c>
    </row>
    <row r="2" spans="1:38" x14ac:dyDescent="0.2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G2" s="210"/>
      <c r="AH2" s="210"/>
    </row>
    <row r="3" spans="1:38" x14ac:dyDescent="0.2">
      <c r="A3" s="211" t="s">
        <v>78</v>
      </c>
      <c r="B3" s="5">
        <v>200000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f>SUM(B3:M3)</f>
        <v>200000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6">
        <f>SUM(O3:Z3)</f>
        <v>0</v>
      </c>
      <c r="AB3" s="5">
        <v>0</v>
      </c>
      <c r="AC3" s="5">
        <v>0</v>
      </c>
      <c r="AD3" s="5">
        <v>0</v>
      </c>
      <c r="AE3" s="210"/>
      <c r="AG3" s="210"/>
      <c r="AH3" s="210"/>
      <c r="AI3" s="194">
        <v>0.16</v>
      </c>
      <c r="AK3" s="132">
        <v>0</v>
      </c>
      <c r="AL3" s="184">
        <v>0</v>
      </c>
    </row>
    <row r="4" spans="1:38" ht="15" x14ac:dyDescent="0.25">
      <c r="A4" s="196" t="s">
        <v>79</v>
      </c>
      <c r="B4" s="220">
        <f t="shared" ref="B4:M4" si="2">SUM(B3:B3)</f>
        <v>200000</v>
      </c>
      <c r="C4" s="220">
        <f t="shared" si="2"/>
        <v>0</v>
      </c>
      <c r="D4" s="220">
        <f t="shared" si="2"/>
        <v>0</v>
      </c>
      <c r="E4" s="220">
        <f t="shared" si="2"/>
        <v>0</v>
      </c>
      <c r="F4" s="220">
        <f t="shared" si="2"/>
        <v>0</v>
      </c>
      <c r="G4" s="220">
        <f t="shared" si="2"/>
        <v>0</v>
      </c>
      <c r="H4" s="220">
        <f t="shared" si="2"/>
        <v>0</v>
      </c>
      <c r="I4" s="220">
        <f t="shared" si="2"/>
        <v>0</v>
      </c>
      <c r="J4" s="220">
        <f t="shared" si="2"/>
        <v>0</v>
      </c>
      <c r="K4" s="220">
        <f t="shared" si="2"/>
        <v>0</v>
      </c>
      <c r="L4" s="220">
        <f t="shared" si="2"/>
        <v>0</v>
      </c>
      <c r="M4" s="220">
        <f t="shared" si="2"/>
        <v>0</v>
      </c>
      <c r="N4" s="220">
        <f>SUM(B4:M4)</f>
        <v>200000</v>
      </c>
      <c r="O4" s="220">
        <f t="shared" ref="O4:Z4" si="3">SUM(O3:O3)</f>
        <v>0</v>
      </c>
      <c r="P4" s="220">
        <f t="shared" si="3"/>
        <v>0</v>
      </c>
      <c r="Q4" s="220">
        <f t="shared" si="3"/>
        <v>0</v>
      </c>
      <c r="R4" s="220">
        <f t="shared" si="3"/>
        <v>0</v>
      </c>
      <c r="S4" s="220">
        <f t="shared" si="3"/>
        <v>0</v>
      </c>
      <c r="T4" s="220">
        <f t="shared" si="3"/>
        <v>0</v>
      </c>
      <c r="U4" s="220">
        <f t="shared" si="3"/>
        <v>0</v>
      </c>
      <c r="V4" s="220">
        <f t="shared" si="3"/>
        <v>0</v>
      </c>
      <c r="W4" s="220">
        <f t="shared" si="3"/>
        <v>0</v>
      </c>
      <c r="X4" s="220">
        <f t="shared" si="3"/>
        <v>0</v>
      </c>
      <c r="Y4" s="220">
        <f t="shared" si="3"/>
        <v>0</v>
      </c>
      <c r="Z4" s="220">
        <f t="shared" si="3"/>
        <v>0</v>
      </c>
      <c r="AA4" s="220">
        <f>SUM(O4:Z4)</f>
        <v>0</v>
      </c>
      <c r="AB4" s="220">
        <f>SUM(AB3:AB3)</f>
        <v>0</v>
      </c>
      <c r="AC4" s="220">
        <f>SUM(AC3:AC3)</f>
        <v>0</v>
      </c>
      <c r="AD4" s="220">
        <f>SUM(AD3:AD3)</f>
        <v>0</v>
      </c>
      <c r="AE4" s="210"/>
      <c r="AG4" s="210"/>
      <c r="AH4" s="210"/>
    </row>
    <row r="5" spans="1:38" x14ac:dyDescent="0.2"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G5" s="210"/>
      <c r="AH5" s="210"/>
    </row>
    <row r="6" spans="1:38" x14ac:dyDescent="0.2">
      <c r="A6" s="211" t="s">
        <v>251</v>
      </c>
      <c r="B6" s="5">
        <v>250000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>
        <f>SUM(B6:M6)</f>
        <v>250000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6">
        <f>SUM(O6:Z6)</f>
        <v>0</v>
      </c>
      <c r="AB6" s="5">
        <v>0</v>
      </c>
      <c r="AC6" s="5">
        <v>0</v>
      </c>
      <c r="AD6" s="5">
        <v>0</v>
      </c>
      <c r="AE6" s="210"/>
      <c r="AG6" s="210"/>
      <c r="AH6" s="210"/>
      <c r="AI6" s="194">
        <v>0.16</v>
      </c>
      <c r="AK6" s="132">
        <v>0</v>
      </c>
      <c r="AL6" s="184">
        <v>0</v>
      </c>
    </row>
    <row r="7" spans="1:38" x14ac:dyDescent="0.2">
      <c r="A7" s="211" t="s">
        <v>252</v>
      </c>
      <c r="B7" s="5">
        <v>250000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5"/>
      <c r="AC7" s="5"/>
      <c r="AD7" s="5"/>
      <c r="AE7" s="210"/>
      <c r="AG7" s="210"/>
      <c r="AH7" s="210"/>
      <c r="AI7" s="194"/>
      <c r="AK7" s="132"/>
    </row>
    <row r="8" spans="1:38" x14ac:dyDescent="0.2">
      <c r="A8" s="211" t="s">
        <v>258</v>
      </c>
      <c r="B8" s="5">
        <v>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5"/>
      <c r="AC8" s="5"/>
      <c r="AD8" s="5"/>
      <c r="AE8" s="210"/>
      <c r="AG8" s="210"/>
      <c r="AH8" s="210"/>
      <c r="AI8" s="194"/>
      <c r="AK8" s="132"/>
    </row>
    <row r="9" spans="1:38" ht="15" x14ac:dyDescent="0.25">
      <c r="A9" s="196" t="s">
        <v>34</v>
      </c>
      <c r="B9" s="220">
        <f>SUM(B6:B8)</f>
        <v>500000</v>
      </c>
      <c r="C9" s="220">
        <f t="shared" ref="C9:M9" si="4">SUM(C6:C6)</f>
        <v>0</v>
      </c>
      <c r="D9" s="220">
        <f t="shared" si="4"/>
        <v>0</v>
      </c>
      <c r="E9" s="220">
        <f t="shared" si="4"/>
        <v>0</v>
      </c>
      <c r="F9" s="220">
        <f t="shared" si="4"/>
        <v>0</v>
      </c>
      <c r="G9" s="220">
        <f t="shared" si="4"/>
        <v>0</v>
      </c>
      <c r="H9" s="220">
        <f t="shared" si="4"/>
        <v>0</v>
      </c>
      <c r="I9" s="220">
        <f t="shared" si="4"/>
        <v>0</v>
      </c>
      <c r="J9" s="220">
        <f t="shared" si="4"/>
        <v>0</v>
      </c>
      <c r="K9" s="220">
        <f t="shared" si="4"/>
        <v>0</v>
      </c>
      <c r="L9" s="220">
        <f t="shared" si="4"/>
        <v>0</v>
      </c>
      <c r="M9" s="220">
        <f t="shared" si="4"/>
        <v>0</v>
      </c>
      <c r="N9" s="220">
        <f>SUM(B9:M9)</f>
        <v>500000</v>
      </c>
      <c r="O9" s="220">
        <f t="shared" ref="O9:Z9" si="5">SUM(O6:O6)</f>
        <v>0</v>
      </c>
      <c r="P9" s="220">
        <f t="shared" si="5"/>
        <v>0</v>
      </c>
      <c r="Q9" s="220">
        <f t="shared" si="5"/>
        <v>0</v>
      </c>
      <c r="R9" s="220">
        <f t="shared" si="5"/>
        <v>0</v>
      </c>
      <c r="S9" s="220">
        <f t="shared" si="5"/>
        <v>0</v>
      </c>
      <c r="T9" s="220">
        <f t="shared" si="5"/>
        <v>0</v>
      </c>
      <c r="U9" s="220">
        <f t="shared" si="5"/>
        <v>0</v>
      </c>
      <c r="V9" s="220">
        <f t="shared" si="5"/>
        <v>0</v>
      </c>
      <c r="W9" s="220">
        <f t="shared" si="5"/>
        <v>0</v>
      </c>
      <c r="X9" s="220">
        <f t="shared" si="5"/>
        <v>0</v>
      </c>
      <c r="Y9" s="220">
        <f t="shared" si="5"/>
        <v>0</v>
      </c>
      <c r="Z9" s="220">
        <f t="shared" si="5"/>
        <v>0</v>
      </c>
      <c r="AA9" s="220">
        <f>SUM(O9:Z9)</f>
        <v>0</v>
      </c>
      <c r="AB9" s="220">
        <f>SUM(AB6:AB6)</f>
        <v>0</v>
      </c>
      <c r="AC9" s="220">
        <f>SUM(AC6:AC6)</f>
        <v>0</v>
      </c>
      <c r="AD9" s="220">
        <f>SUM(AD6:AD6)</f>
        <v>0</v>
      </c>
      <c r="AE9" s="210"/>
      <c r="AG9" s="210"/>
      <c r="AH9" s="210"/>
    </row>
    <row r="10" spans="1:38" x14ac:dyDescent="0.2"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G10" s="210"/>
      <c r="AH10" s="210"/>
    </row>
    <row r="11" spans="1:38" x14ac:dyDescent="0.2">
      <c r="A11" s="211" t="s">
        <v>144</v>
      </c>
      <c r="B11" s="5">
        <v>10000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f>SUM(B11:M11)</f>
        <v>10000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6">
        <f>SUM(O11:Z11)</f>
        <v>0</v>
      </c>
      <c r="AB11" s="5">
        <v>0</v>
      </c>
      <c r="AC11" s="5">
        <v>0</v>
      </c>
      <c r="AD11" s="5">
        <v>0</v>
      </c>
      <c r="AE11" s="210"/>
      <c r="AG11" s="210"/>
      <c r="AH11" s="210"/>
      <c r="AI11" s="194">
        <v>0.16</v>
      </c>
      <c r="AK11" s="132">
        <v>0</v>
      </c>
      <c r="AL11" s="184">
        <v>0</v>
      </c>
    </row>
    <row r="12" spans="1:38" x14ac:dyDescent="0.2">
      <c r="A12" s="211" t="s">
        <v>162</v>
      </c>
      <c r="B12" s="5">
        <v>5000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f>SUM(B12:M12)</f>
        <v>5000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6">
        <f>SUM(O12:Z12)</f>
        <v>0</v>
      </c>
      <c r="AB12" s="5">
        <v>0</v>
      </c>
      <c r="AC12" s="5">
        <v>0</v>
      </c>
      <c r="AD12" s="5">
        <v>0</v>
      </c>
      <c r="AE12" s="210"/>
      <c r="AG12" s="210"/>
      <c r="AH12" s="210"/>
      <c r="AI12" s="194">
        <v>0.16</v>
      </c>
      <c r="AK12" s="132">
        <v>0</v>
      </c>
      <c r="AL12" s="184">
        <v>0</v>
      </c>
    </row>
    <row r="13" spans="1:38" x14ac:dyDescent="0.2">
      <c r="A13" s="211" t="s">
        <v>254</v>
      </c>
      <c r="B13" s="5">
        <v>50000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>
        <f>SUM(B13:M13)</f>
        <v>50000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6">
        <f>SUM(O13:Z13)</f>
        <v>0</v>
      </c>
      <c r="AB13" s="5">
        <v>0</v>
      </c>
      <c r="AC13" s="5">
        <v>0</v>
      </c>
      <c r="AD13" s="5">
        <v>0</v>
      </c>
      <c r="AE13" s="210"/>
      <c r="AG13" s="210"/>
      <c r="AH13" s="210"/>
      <c r="AI13" s="194">
        <v>0.16</v>
      </c>
      <c r="AK13" s="132">
        <v>0</v>
      </c>
      <c r="AL13" s="184">
        <v>0</v>
      </c>
    </row>
    <row r="14" spans="1:38" x14ac:dyDescent="0.2">
      <c r="A14" s="211" t="s">
        <v>16</v>
      </c>
      <c r="B14" s="5">
        <v>10000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f>SUM(B14:M14)</f>
        <v>10000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6">
        <f>SUM(O14:Z14)</f>
        <v>0</v>
      </c>
      <c r="AB14" s="5">
        <v>0</v>
      </c>
      <c r="AC14" s="5">
        <v>0</v>
      </c>
      <c r="AD14" s="5">
        <v>0</v>
      </c>
      <c r="AE14" s="210"/>
      <c r="AG14" s="210"/>
      <c r="AH14" s="210"/>
      <c r="AI14" s="194">
        <v>0.16</v>
      </c>
      <c r="AK14" s="132">
        <v>0</v>
      </c>
      <c r="AL14" s="184">
        <v>0</v>
      </c>
    </row>
    <row r="15" spans="1:38" ht="15" x14ac:dyDescent="0.25">
      <c r="A15" s="196" t="s">
        <v>83</v>
      </c>
      <c r="B15" s="220">
        <f t="shared" ref="B15:M15" si="6">SUM(B11:B14)</f>
        <v>75000</v>
      </c>
      <c r="C15" s="220">
        <f t="shared" si="6"/>
        <v>0</v>
      </c>
      <c r="D15" s="220">
        <f t="shared" si="6"/>
        <v>0</v>
      </c>
      <c r="E15" s="220">
        <f t="shared" si="6"/>
        <v>0</v>
      </c>
      <c r="F15" s="220">
        <f t="shared" si="6"/>
        <v>0</v>
      </c>
      <c r="G15" s="220">
        <f t="shared" si="6"/>
        <v>0</v>
      </c>
      <c r="H15" s="220">
        <f t="shared" si="6"/>
        <v>0</v>
      </c>
      <c r="I15" s="220">
        <f t="shared" si="6"/>
        <v>0</v>
      </c>
      <c r="J15" s="220">
        <f t="shared" si="6"/>
        <v>0</v>
      </c>
      <c r="K15" s="220">
        <f t="shared" si="6"/>
        <v>0</v>
      </c>
      <c r="L15" s="220">
        <f t="shared" si="6"/>
        <v>0</v>
      </c>
      <c r="M15" s="220">
        <f t="shared" si="6"/>
        <v>0</v>
      </c>
      <c r="N15" s="220">
        <f>SUM(B15:M15)</f>
        <v>75000</v>
      </c>
      <c r="O15" s="220">
        <f t="shared" ref="O15:Z15" si="7">SUM(O11:O14)</f>
        <v>0</v>
      </c>
      <c r="P15" s="220">
        <f t="shared" si="7"/>
        <v>0</v>
      </c>
      <c r="Q15" s="220">
        <f t="shared" si="7"/>
        <v>0</v>
      </c>
      <c r="R15" s="220">
        <f t="shared" si="7"/>
        <v>0</v>
      </c>
      <c r="S15" s="220">
        <f t="shared" si="7"/>
        <v>0</v>
      </c>
      <c r="T15" s="220">
        <f t="shared" si="7"/>
        <v>0</v>
      </c>
      <c r="U15" s="220">
        <f t="shared" si="7"/>
        <v>0</v>
      </c>
      <c r="V15" s="220">
        <f t="shared" si="7"/>
        <v>0</v>
      </c>
      <c r="W15" s="220">
        <f t="shared" si="7"/>
        <v>0</v>
      </c>
      <c r="X15" s="220">
        <f t="shared" si="7"/>
        <v>0</v>
      </c>
      <c r="Y15" s="220">
        <f t="shared" si="7"/>
        <v>0</v>
      </c>
      <c r="Z15" s="220">
        <f t="shared" si="7"/>
        <v>0</v>
      </c>
      <c r="AA15" s="220">
        <f>SUM(O15:Z15)</f>
        <v>0</v>
      </c>
      <c r="AB15" s="220">
        <f>SUM(AB11:AB14)</f>
        <v>0</v>
      </c>
      <c r="AC15" s="220">
        <f>SUM(AC11:AC14)</f>
        <v>0</v>
      </c>
      <c r="AD15" s="220">
        <f>SUM(AD11:AD14)</f>
        <v>0</v>
      </c>
      <c r="AE15" s="210"/>
      <c r="AG15" s="210"/>
      <c r="AH15" s="210"/>
    </row>
    <row r="16" spans="1:38" x14ac:dyDescent="0.2"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G16" s="210"/>
      <c r="AH16" s="210"/>
    </row>
    <row r="17" spans="1:38" ht="15" x14ac:dyDescent="0.25">
      <c r="A17" s="55" t="s">
        <v>217</v>
      </c>
      <c r="B17" s="106">
        <f t="shared" ref="B17:M17" si="8">B4+B9+B15</f>
        <v>775000</v>
      </c>
      <c r="C17" s="106">
        <f t="shared" si="8"/>
        <v>0</v>
      </c>
      <c r="D17" s="106">
        <f t="shared" si="8"/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si="8"/>
        <v>0</v>
      </c>
      <c r="N17" s="106">
        <f>SUM(B17:M17)</f>
        <v>775000</v>
      </c>
      <c r="O17" s="106">
        <f t="shared" ref="O17:Z17" si="9">O4+O9+O15</f>
        <v>0</v>
      </c>
      <c r="P17" s="106">
        <f t="shared" si="9"/>
        <v>0</v>
      </c>
      <c r="Q17" s="106">
        <f t="shared" si="9"/>
        <v>0</v>
      </c>
      <c r="R17" s="106">
        <f t="shared" si="9"/>
        <v>0</v>
      </c>
      <c r="S17" s="106">
        <f t="shared" si="9"/>
        <v>0</v>
      </c>
      <c r="T17" s="106">
        <f t="shared" si="9"/>
        <v>0</v>
      </c>
      <c r="U17" s="106">
        <f t="shared" si="9"/>
        <v>0</v>
      </c>
      <c r="V17" s="106">
        <f t="shared" si="9"/>
        <v>0</v>
      </c>
      <c r="W17" s="106">
        <f t="shared" si="9"/>
        <v>0</v>
      </c>
      <c r="X17" s="106">
        <f t="shared" si="9"/>
        <v>0</v>
      </c>
      <c r="Y17" s="106">
        <f t="shared" si="9"/>
        <v>0</v>
      </c>
      <c r="Z17" s="106">
        <f t="shared" si="9"/>
        <v>0</v>
      </c>
      <c r="AA17" s="106">
        <f>SUM(O17:Z17)</f>
        <v>0</v>
      </c>
      <c r="AB17" s="106">
        <f>AB4+AB9+AB15</f>
        <v>0</v>
      </c>
      <c r="AC17" s="106">
        <f>AC4+AC9+AC15</f>
        <v>0</v>
      </c>
      <c r="AD17" s="106">
        <f>AD4+AD9+AD15</f>
        <v>0</v>
      </c>
      <c r="AK17" s="18"/>
      <c r="AL17" s="64"/>
    </row>
    <row r="18" spans="1:38" hidden="1" x14ac:dyDescent="0.2">
      <c r="AK18" s="18"/>
      <c r="AL18" s="64"/>
    </row>
    <row r="19" spans="1:38" hidden="1" x14ac:dyDescent="0.2"/>
    <row r="20" spans="1:38" hidden="1" x14ac:dyDescent="0.2">
      <c r="A20" s="211" t="s">
        <v>78</v>
      </c>
      <c r="B20" s="78">
        <f>SUM(B3:B3)*(1-AG20)/AF20/12</f>
        <v>500.00000000000006</v>
      </c>
      <c r="C20" s="78">
        <f>IF(SUM(B20:B20)&gt;=SUM(B3:C3)*(1-AG20),0,MIN(SUM(B3:C3)*(1-AG20)/AF20/12,SUM(B3:C3)*(1-AG20)-SUM(B20:B20)))</f>
        <v>500.00000000000006</v>
      </c>
      <c r="D20" s="78">
        <f>IF(SUM(B20:C20)&gt;=SUM(B3:D3)*(1-AG20),0,MIN(SUM(B3:D3)*(1-AG20)/AF20/12,SUM(B3:D3)*(1-AG20)-SUM(B20:C20)))</f>
        <v>500.00000000000006</v>
      </c>
      <c r="E20" s="78">
        <f>IF(SUM(B20:D20)&gt;=SUM(B3:E3)*(1-AG20),0,MIN(SUM(B3:E3)*(1-AG20)/AF20/12,SUM(B3:E3)*(1-AG20)-SUM(B20:D20)))</f>
        <v>500.00000000000006</v>
      </c>
      <c r="F20" s="78">
        <f>IF(SUM(B20:E20)&gt;=SUM(B3:F3)*(1-AG20),0,MIN(SUM(B3:F3)*(1-AG20)/AF20/12,SUM(B3:F3)*(1-AG20)-SUM(B20:E20)))</f>
        <v>500.00000000000006</v>
      </c>
      <c r="G20" s="78">
        <f>IF(SUM(B20:F20)&gt;=SUM(B3:G3)*(1-AG20),0,MIN(SUM(B3:G3)*(1-AG20)/AF20/12,SUM(B3:G3)*(1-AG20)-SUM(B20:F20)))</f>
        <v>500.00000000000006</v>
      </c>
      <c r="H20" s="78">
        <f>IF(SUM(B20:G20)&gt;=SUM(B3:H3)*(1-AG20),0,MIN(SUM(B3:H3)*(1-AG20)/AF20/12,SUM(B3:H3)*(1-AG20)-SUM(B20:G20)))</f>
        <v>500.00000000000006</v>
      </c>
      <c r="I20" s="78">
        <f>IF(SUM(B20:H20)&gt;=SUM(B3:I3)*(1-AG20),0,MIN(SUM(B3:I3)*(1-AG20)/AF20/12,SUM(B3:I3)*(1-AG20)-SUM(B20:H20)))</f>
        <v>500.00000000000006</v>
      </c>
      <c r="J20" s="78">
        <f>IF(SUM(B20:I20)&gt;=SUM(B3:J3)*(1-AG20),0,MIN(SUM(B3:J3)*(1-AG20)/AF20/12,SUM(B3:J3)*(1-AG20)-SUM(B20:I20)))</f>
        <v>500.00000000000006</v>
      </c>
      <c r="K20" s="78">
        <f>IF(SUM(B20:J20)&gt;=SUM(B3:K3)*(1-AG20),0,MIN(SUM(B3:K3)*(1-AG20)/AF20/12,SUM(B3:K3)*(1-AG20)-SUM(B20:J20)))</f>
        <v>500.00000000000006</v>
      </c>
      <c r="L20" s="78">
        <f>IF(SUM(B20:K20)&gt;=SUM(B3:L3)*(1-AG20),0,MIN(SUM(B3:L3)*(1-AG20)/AF20/12,SUM(B3:L3)*(1-AG20)-SUM(B20:K20)))</f>
        <v>500.00000000000006</v>
      </c>
      <c r="M20" s="78">
        <f>IF(SUM(B20:L20)&gt;=SUM(B3:M3)*(1-AG20),0,MIN(SUM(B3:M3)*(1-AG20)/AF20/12,SUM(B3:M3)*(1-AG20)-SUM(B20:L20)))</f>
        <v>500.00000000000006</v>
      </c>
      <c r="N20" s="78">
        <f>SUM(B20:M20)</f>
        <v>6000.0000000000009</v>
      </c>
      <c r="O20" s="78">
        <f>IF(SUM(N20:N20)&gt;=SUM(N3:O3)*(1-AG20),0,MIN(SUM(N3:O3)*(1-AG20)/AF20/12,SUM(N3:O3)*(1-AG20)-SUM(N20:N20)))</f>
        <v>500.00000000000006</v>
      </c>
      <c r="P20" s="78">
        <f>IF(SUM(N20:O20)&gt;=SUM(N3:P3)*(1-AG20),0,MIN(SUM(N3:P3)*(1-AG20)/AF20/12,SUM(N3:P3)*(1-AG20)-SUM(N20:O20)))</f>
        <v>500.00000000000006</v>
      </c>
      <c r="Q20" s="78">
        <f>IF(SUM(N20:P20)&gt;=SUM(N3:Q3)*(1-AG20),0,MIN(SUM(N3:Q3)*(1-AG20)/AF20/12,SUM(N3:Q3)*(1-AG20)-SUM(N20:P20)))</f>
        <v>500.00000000000006</v>
      </c>
      <c r="R20" s="78">
        <f>IF(SUM(N20:Q20)&gt;=SUM(N3:R3)*(1-AG20),0,MIN(SUM(N3:R3)*(1-AG20)/AF20/12,SUM(N3:R3)*(1-AG20)-SUM(N20:Q20)))</f>
        <v>500.00000000000006</v>
      </c>
      <c r="S20" s="78">
        <f>IF(SUM(N20:R20)&gt;=SUM(N3:S3)*(1-AG20),0,MIN(SUM(N3:S3)*(1-AG20)/AF20/12,SUM(N3:S3)*(1-AG20)-SUM(N20:R20)))</f>
        <v>500.00000000000006</v>
      </c>
      <c r="T20" s="78">
        <f>IF(SUM(N20:S20)&gt;=SUM(N3:T3)*(1-AG20),0,MIN(SUM(N3:T3)*(1-AG20)/AF20/12,SUM(N3:T3)*(1-AG20)-SUM(N20:S20)))</f>
        <v>500.00000000000006</v>
      </c>
      <c r="U20" s="78">
        <f>IF(SUM(N20:T20)&gt;=SUM(N3:U3)*(1-AG20),0,MIN(SUM(N3:U3)*(1-AG20)/AF20/12,SUM(N3:U3)*(1-AG20)-SUM(N20:T20)))</f>
        <v>500.00000000000006</v>
      </c>
      <c r="V20" s="78">
        <f>IF(SUM(N20:U20)&gt;=SUM(N3:V3)*(1-AG20),0,MIN(SUM(N3:V3)*(1-AG20)/AF20/12,SUM(N3:V3)*(1-AG20)-SUM(N20:U20)))</f>
        <v>500.00000000000006</v>
      </c>
      <c r="W20" s="78">
        <f>IF(SUM(N20:V20)&gt;=SUM(N3:W3)*(1-AG20),0,MIN(SUM(N3:W3)*(1-AG20)/AF20/12,SUM(N3:W3)*(1-AG20)-SUM(N20:V20)))</f>
        <v>500.00000000000006</v>
      </c>
      <c r="X20" s="78">
        <f>IF(SUM(N20:W20)&gt;=SUM(N3:X3)*(1-AG20),0,MIN(SUM(N3:X3)*(1-AG20)/AF20/12,SUM(N3:X3)*(1-AG20)-SUM(N20:W20)))</f>
        <v>500.00000000000006</v>
      </c>
      <c r="Y20" s="78">
        <f>IF(SUM(N20:X20)&gt;=SUM(N3:Y3)*(1-AG20),0,MIN(SUM(N3:Y3)*(1-AG20)/AF20/12,SUM(N3:Y3)*(1-AG20)-SUM(N20:X20)))</f>
        <v>500.00000000000006</v>
      </c>
      <c r="Z20" s="78">
        <f>IF(SUM(N20:Y20)&gt;=SUM(N3:Z3)*(1-AG20),0,MIN(SUM(N3:Z3)*(1-AG20)/AF20/12,SUM(N3:Z3)*(1-AG20)-SUM(N20:Y20)))</f>
        <v>500.00000000000006</v>
      </c>
      <c r="AA20" s="78">
        <f>SUM(O20:Z20)</f>
        <v>6000.0000000000009</v>
      </c>
      <c r="AB20" s="78">
        <f>IF(N20 + SUM(AA20:AA20)&gt;=(N3+SUM(AA3:AB3))*(1-AG20),0,MIN((N3 + SUM(AA3:AB3))*(1-AG20)/AF20,(N3 + SUM(AA3:AB3))*(1-AG20)-N20-SUM(AA20:AA20)))</f>
        <v>6000.0000000000009</v>
      </c>
      <c r="AC20" s="78">
        <f>IF(N20 + SUM(AA20:AB20)&gt;=(N3+SUM(AA3:AC3))*(1-AG20),0,MIN((N3 + SUM(AA3:AC3))*(1-AG20)/AF20,(N3 + SUM(AA3:AC3))*(1-AG20)-N20-SUM(AA20:AB20)))</f>
        <v>6000.0000000000009</v>
      </c>
      <c r="AD20" s="78">
        <f>IF(N20 + SUM(AA20:AC20)&gt;=(N3+SUM(AA3:AD3))*(1-AG20),0,MIN((N3 + SUM(AA3:AD3))*(1-AG20)/AF20,(N3 + SUM(AA3:AD3))*(1-AG20)-N20-SUM(AA20:AC20)))</f>
        <v>6000.0000000000009</v>
      </c>
      <c r="AF20" s="211">
        <v>10</v>
      </c>
      <c r="AG20" s="80">
        <v>0.7</v>
      </c>
    </row>
    <row r="21" spans="1:38" ht="15" hidden="1" x14ac:dyDescent="0.25">
      <c r="A21" s="196" t="str">
        <f>A4</f>
        <v>Venta</v>
      </c>
      <c r="B21" s="38">
        <f t="shared" ref="B21:M21" si="10">SUM(B20:B20)</f>
        <v>500.00000000000006</v>
      </c>
      <c r="C21" s="38">
        <f t="shared" si="10"/>
        <v>500.00000000000006</v>
      </c>
      <c r="D21" s="38">
        <f t="shared" si="10"/>
        <v>500.00000000000006</v>
      </c>
      <c r="E21" s="38">
        <f t="shared" si="10"/>
        <v>500.00000000000006</v>
      </c>
      <c r="F21" s="38">
        <f t="shared" si="10"/>
        <v>500.00000000000006</v>
      </c>
      <c r="G21" s="38">
        <f t="shared" si="10"/>
        <v>500.00000000000006</v>
      </c>
      <c r="H21" s="38">
        <f t="shared" si="10"/>
        <v>500.00000000000006</v>
      </c>
      <c r="I21" s="38">
        <f t="shared" si="10"/>
        <v>500.00000000000006</v>
      </c>
      <c r="J21" s="38">
        <f t="shared" si="10"/>
        <v>500.00000000000006</v>
      </c>
      <c r="K21" s="38">
        <f t="shared" si="10"/>
        <v>500.00000000000006</v>
      </c>
      <c r="L21" s="38">
        <f t="shared" si="10"/>
        <v>500.00000000000006</v>
      </c>
      <c r="M21" s="38">
        <f t="shared" si="10"/>
        <v>500.00000000000006</v>
      </c>
      <c r="N21" s="38">
        <f>SUM(B21:M21)</f>
        <v>6000.0000000000009</v>
      </c>
      <c r="O21" s="38">
        <f t="shared" ref="O21:Z21" si="11">SUM(O20:O20)</f>
        <v>500.00000000000006</v>
      </c>
      <c r="P21" s="38">
        <f t="shared" si="11"/>
        <v>500.00000000000006</v>
      </c>
      <c r="Q21" s="38">
        <f t="shared" si="11"/>
        <v>500.00000000000006</v>
      </c>
      <c r="R21" s="38">
        <f t="shared" si="11"/>
        <v>500.00000000000006</v>
      </c>
      <c r="S21" s="38">
        <f t="shared" si="11"/>
        <v>500.00000000000006</v>
      </c>
      <c r="T21" s="38">
        <f t="shared" si="11"/>
        <v>500.00000000000006</v>
      </c>
      <c r="U21" s="38">
        <f t="shared" si="11"/>
        <v>500.00000000000006</v>
      </c>
      <c r="V21" s="38">
        <f t="shared" si="11"/>
        <v>500.00000000000006</v>
      </c>
      <c r="W21" s="38">
        <f t="shared" si="11"/>
        <v>500.00000000000006</v>
      </c>
      <c r="X21" s="38">
        <f t="shared" si="11"/>
        <v>500.00000000000006</v>
      </c>
      <c r="Y21" s="38">
        <f t="shared" si="11"/>
        <v>500.00000000000006</v>
      </c>
      <c r="Z21" s="38">
        <f t="shared" si="11"/>
        <v>500.00000000000006</v>
      </c>
      <c r="AA21" s="38">
        <f>SUM(O21:Z21)</f>
        <v>6000.0000000000009</v>
      </c>
      <c r="AB21" s="38">
        <f>SUM(AB20:AB20)</f>
        <v>6000.0000000000009</v>
      </c>
      <c r="AC21" s="38">
        <f>SUM(AC20:AC20)</f>
        <v>6000.0000000000009</v>
      </c>
      <c r="AD21" s="38">
        <f>SUM(AD20:AD20)</f>
        <v>6000.0000000000009</v>
      </c>
      <c r="AG21" s="159"/>
    </row>
    <row r="22" spans="1:38" hidden="1" x14ac:dyDescent="0.2">
      <c r="A22" s="208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G22" s="159"/>
    </row>
    <row r="23" spans="1:38" hidden="1" x14ac:dyDescent="0.2">
      <c r="A23" s="211" t="s">
        <v>96</v>
      </c>
      <c r="B23" s="78">
        <f>SUM(B6:B6)*(1-AG23)/AF23/12</f>
        <v>972.22222222222217</v>
      </c>
      <c r="C23" s="78">
        <f>IF(SUM(B23:B23)&gt;=SUM(B6:C6)*(1-AG23),0,MIN(SUM(B6:C6)*(1-AG23)/AF23/12,SUM(B6:C6)*(1-AG23)-SUM(B23:B23)))</f>
        <v>972.22222222222217</v>
      </c>
      <c r="D23" s="78">
        <f>IF(SUM(B23:C23)&gt;=SUM(B6:D6)*(1-AG23),0,MIN(SUM(B6:D6)*(1-AG23)/AF23/12,SUM(B6:D6)*(1-AG23)-SUM(B23:C23)))</f>
        <v>972.22222222222217</v>
      </c>
      <c r="E23" s="78">
        <f>IF(SUM(B23:D23)&gt;=SUM(B6:E6)*(1-AG23),0,MIN(SUM(B6:E6)*(1-AG23)/AF23/12,SUM(B6:E6)*(1-AG23)-SUM(B23:D23)))</f>
        <v>972.22222222222217</v>
      </c>
      <c r="F23" s="78">
        <f>IF(SUM(B23:E23)&gt;=SUM(B6:F6)*(1-AG23),0,MIN(SUM(B6:F6)*(1-AG23)/AF23/12,SUM(B6:F6)*(1-AG23)-SUM(B23:E23)))</f>
        <v>972.22222222222217</v>
      </c>
      <c r="G23" s="78">
        <f>IF(SUM(B23:F23)&gt;=SUM(B6:G6)*(1-AG23),0,MIN(SUM(B6:G6)*(1-AG23)/AF23/12,SUM(B6:G6)*(1-AG23)-SUM(B23:F23)))</f>
        <v>972.22222222222217</v>
      </c>
      <c r="H23" s="78">
        <f>IF(SUM(B23:G23)&gt;=SUM(B6:H6)*(1-AG23),0,MIN(SUM(B6:H6)*(1-AG23)/AF23/12,SUM(B6:H6)*(1-AG23)-SUM(B23:G23)))</f>
        <v>972.22222222222217</v>
      </c>
      <c r="I23" s="78">
        <f>IF(SUM(B23:H23)&gt;=SUM(B6:I6)*(1-AG23),0,MIN(SUM(B6:I6)*(1-AG23)/AF23/12,SUM(B6:I6)*(1-AG23)-SUM(B23:H23)))</f>
        <v>972.22222222222217</v>
      </c>
      <c r="J23" s="78">
        <f>IF(SUM(B23:I23)&gt;=SUM(B6:J6)*(1-AG23),0,MIN(SUM(B6:J6)*(1-AG23)/AF23/12,SUM(B6:J6)*(1-AG23)-SUM(B23:I23)))</f>
        <v>972.22222222222217</v>
      </c>
      <c r="K23" s="78">
        <f>IF(SUM(B23:J23)&gt;=SUM(B6:K6)*(1-AG23),0,MIN(SUM(B6:K6)*(1-AG23)/AF23/12,SUM(B6:K6)*(1-AG23)-SUM(B23:J23)))</f>
        <v>972.22222222222217</v>
      </c>
      <c r="L23" s="78">
        <f>IF(SUM(B23:K23)&gt;=SUM(B6:L6)*(1-AG23),0,MIN(SUM(B6:L6)*(1-AG23)/AF23/12,SUM(B6:L6)*(1-AG23)-SUM(B23:K23)))</f>
        <v>972.22222222222217</v>
      </c>
      <c r="M23" s="78">
        <f>IF(SUM(B23:L23)&gt;=SUM(B6:M6)*(1-AG23),0,MIN(SUM(B6:M6)*(1-AG23)/AF23/12,SUM(B6:M6)*(1-AG23)-SUM(B23:L23)))</f>
        <v>972.22222222222217</v>
      </c>
      <c r="N23" s="78">
        <f>SUM(B23:M23)</f>
        <v>11666.66666666667</v>
      </c>
      <c r="O23" s="78">
        <f>IF(SUM(N23:N23)&gt;=SUM(N6:O6)*(1-AG23),0,MIN(SUM(N6:O6)*(1-AG23)/AF23/12,SUM(N6:O6)*(1-AG23)-SUM(N23:N23)))</f>
        <v>972.22222222222217</v>
      </c>
      <c r="P23" s="78">
        <f>IF(SUM(N23:O23)&gt;=SUM(N6:P6)*(1-AG23),0,MIN(SUM(N6:P6)*(1-AG23)/AF23/12,SUM(N6:P6)*(1-AG23)-SUM(N23:O23)))</f>
        <v>972.22222222222217</v>
      </c>
      <c r="Q23" s="78">
        <f>IF(SUM(N23:P23)&gt;=SUM(N6:Q6)*(1-AG23),0,MIN(SUM(N6:Q6)*(1-AG23)/AF23/12,SUM(N6:Q6)*(1-AG23)-SUM(N23:P23)))</f>
        <v>972.22222222222217</v>
      </c>
      <c r="R23" s="78">
        <f>IF(SUM(N23:Q23)&gt;=SUM(N6:R6)*(1-AG23),0,MIN(SUM(N6:R6)*(1-AG23)/AF23/12,SUM(N6:R6)*(1-AG23)-SUM(N23:Q23)))</f>
        <v>972.22222222222217</v>
      </c>
      <c r="S23" s="78">
        <f>IF(SUM(N23:R23)&gt;=SUM(N6:S6)*(1-AG23),0,MIN(SUM(N6:S6)*(1-AG23)/AF23/12,SUM(N6:S6)*(1-AG23)-SUM(N23:R23)))</f>
        <v>972.22222222222217</v>
      </c>
      <c r="T23" s="78">
        <f>IF(SUM(N23:S23)&gt;=SUM(N6:T6)*(1-AG23),0,MIN(SUM(N6:T6)*(1-AG23)/AF23/12,SUM(N6:T6)*(1-AG23)-SUM(N23:S23)))</f>
        <v>972.22222222222217</v>
      </c>
      <c r="U23" s="78">
        <f>IF(SUM(N23:T23)&gt;=SUM(N6:U6)*(1-AG23),0,MIN(SUM(N6:U6)*(1-AG23)/AF23/12,SUM(N6:U6)*(1-AG23)-SUM(N23:T23)))</f>
        <v>972.22222222222217</v>
      </c>
      <c r="V23" s="78">
        <f>IF(SUM(N23:U23)&gt;=SUM(N6:V6)*(1-AG23),0,MIN(SUM(N6:V6)*(1-AG23)/AF23/12,SUM(N6:V6)*(1-AG23)-SUM(N23:U23)))</f>
        <v>972.22222222222217</v>
      </c>
      <c r="W23" s="78">
        <f>IF(SUM(N23:V23)&gt;=SUM(N6:W6)*(1-AG23),0,MIN(SUM(N6:W6)*(1-AG23)/AF23/12,SUM(N6:W6)*(1-AG23)-SUM(N23:V23)))</f>
        <v>972.22222222222217</v>
      </c>
      <c r="X23" s="78">
        <f>IF(SUM(N23:W23)&gt;=SUM(N6:X6)*(1-AG23),0,MIN(SUM(N6:X6)*(1-AG23)/AF23/12,SUM(N6:X6)*(1-AG23)-SUM(N23:W23)))</f>
        <v>972.22222222222217</v>
      </c>
      <c r="Y23" s="78">
        <f>IF(SUM(N23:X23)&gt;=SUM(N6:Y6)*(1-AG23),0,MIN(SUM(N6:Y6)*(1-AG23)/AF23/12,SUM(N6:Y6)*(1-AG23)-SUM(N23:X23)))</f>
        <v>972.22222222222217</v>
      </c>
      <c r="Z23" s="78">
        <f>IF(SUM(N23:Y23)&gt;=SUM(N6:Z6)*(1-AG23),0,MIN(SUM(N6:Z6)*(1-AG23)/AF23/12,SUM(N6:Z6)*(1-AG23)-SUM(N23:Y23)))</f>
        <v>972.22222222222217</v>
      </c>
      <c r="AA23" s="78">
        <f>SUM(O23:Z23)</f>
        <v>11666.66666666667</v>
      </c>
      <c r="AB23" s="78">
        <f>IF(N23 + SUM(AA23:AA23)&gt;=(N6+SUM(AA6:AB6))*(1-AG23),0,MIN((N6 + SUM(AA6:AB6))*(1-AG23)/AF23,(N6 + SUM(AA6:AB6))*(1-AG23)-N23-SUM(AA23:AA23)))</f>
        <v>11666.666666666666</v>
      </c>
      <c r="AC23" s="78">
        <f>IF(N23 + SUM(AA23:AB23)&gt;=(N6+SUM(AA6:AC6))*(1-AG23),0,MIN((N6 + SUM(AA6:AC6))*(1-AG23)/AF23,(N6 + SUM(AA6:AC6))*(1-AG23)-N23-SUM(AA23:AB23)))</f>
        <v>11666.666666666666</v>
      </c>
      <c r="AD23" s="78">
        <f>IF(N23 + SUM(AA23:AC23)&gt;=(N6+SUM(AA6:AD6))*(1-AG23),0,MIN((N6 + SUM(AA6:AD6))*(1-AG23)/AF23,(N6 + SUM(AA6:AD6))*(1-AG23)-N23-SUM(AA23:AC23)))</f>
        <v>11666.666666666666</v>
      </c>
      <c r="AF23" s="211">
        <v>15</v>
      </c>
      <c r="AG23" s="80">
        <v>0.3</v>
      </c>
    </row>
    <row r="24" spans="1:38" ht="15" hidden="1" x14ac:dyDescent="0.25">
      <c r="A24" s="196" t="str">
        <f>A9</f>
        <v>Máquinas y herramientas</v>
      </c>
      <c r="B24" s="38">
        <f t="shared" ref="B24:M24" si="12">SUM(B23:B23)</f>
        <v>972.22222222222217</v>
      </c>
      <c r="C24" s="38">
        <f t="shared" si="12"/>
        <v>972.22222222222217</v>
      </c>
      <c r="D24" s="38">
        <f t="shared" si="12"/>
        <v>972.22222222222217</v>
      </c>
      <c r="E24" s="38">
        <f t="shared" si="12"/>
        <v>972.22222222222217</v>
      </c>
      <c r="F24" s="38">
        <f t="shared" si="12"/>
        <v>972.22222222222217</v>
      </c>
      <c r="G24" s="38">
        <f t="shared" si="12"/>
        <v>972.22222222222217</v>
      </c>
      <c r="H24" s="38">
        <f t="shared" si="12"/>
        <v>972.22222222222217</v>
      </c>
      <c r="I24" s="38">
        <f t="shared" si="12"/>
        <v>972.22222222222217</v>
      </c>
      <c r="J24" s="38">
        <f t="shared" si="12"/>
        <v>972.22222222222217</v>
      </c>
      <c r="K24" s="38">
        <f t="shared" si="12"/>
        <v>972.22222222222217</v>
      </c>
      <c r="L24" s="38">
        <f t="shared" si="12"/>
        <v>972.22222222222217</v>
      </c>
      <c r="M24" s="38">
        <f t="shared" si="12"/>
        <v>972.22222222222217</v>
      </c>
      <c r="N24" s="38">
        <f>SUM(B24:M24)</f>
        <v>11666.66666666667</v>
      </c>
      <c r="O24" s="38">
        <f t="shared" ref="O24:Z24" si="13">SUM(O23:O23)</f>
        <v>972.22222222222217</v>
      </c>
      <c r="P24" s="38">
        <f t="shared" si="13"/>
        <v>972.22222222222217</v>
      </c>
      <c r="Q24" s="38">
        <f t="shared" si="13"/>
        <v>972.22222222222217</v>
      </c>
      <c r="R24" s="38">
        <f t="shared" si="13"/>
        <v>972.22222222222217</v>
      </c>
      <c r="S24" s="38">
        <f t="shared" si="13"/>
        <v>972.22222222222217</v>
      </c>
      <c r="T24" s="38">
        <f t="shared" si="13"/>
        <v>972.22222222222217</v>
      </c>
      <c r="U24" s="38">
        <f t="shared" si="13"/>
        <v>972.22222222222217</v>
      </c>
      <c r="V24" s="38">
        <f t="shared" si="13"/>
        <v>972.22222222222217</v>
      </c>
      <c r="W24" s="38">
        <f t="shared" si="13"/>
        <v>972.22222222222217</v>
      </c>
      <c r="X24" s="38">
        <f t="shared" si="13"/>
        <v>972.22222222222217</v>
      </c>
      <c r="Y24" s="38">
        <f t="shared" si="13"/>
        <v>972.22222222222217</v>
      </c>
      <c r="Z24" s="38">
        <f t="shared" si="13"/>
        <v>972.22222222222217</v>
      </c>
      <c r="AA24" s="38">
        <f>SUM(O24:Z24)</f>
        <v>11666.66666666667</v>
      </c>
      <c r="AB24" s="38">
        <f>SUM(AB23:AB23)</f>
        <v>11666.666666666666</v>
      </c>
      <c r="AC24" s="38">
        <f>SUM(AC23:AC23)</f>
        <v>11666.666666666666</v>
      </c>
      <c r="AD24" s="38">
        <f>SUM(AD23:AD23)</f>
        <v>11666.666666666666</v>
      </c>
      <c r="AG24" s="159"/>
    </row>
    <row r="25" spans="1:38" hidden="1" x14ac:dyDescent="0.2">
      <c r="A25" s="208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G25" s="159"/>
    </row>
    <row r="26" spans="1:38" hidden="1" x14ac:dyDescent="0.2">
      <c r="A26" s="211" t="s">
        <v>144</v>
      </c>
      <c r="B26" s="78">
        <f>SUM(B11:B11)*(1-AG26)/AF26/12</f>
        <v>104.16666666666667</v>
      </c>
      <c r="C26" s="78">
        <f>IF(SUM(B26:B26)&gt;=SUM(B11:C11)*(1-AG26),0,MIN(SUM(B11:C11)*(1-AG26)/AF26/12,SUM(B11:C11)*(1-AG26)-SUM(B26:B26)))</f>
        <v>104.16666666666667</v>
      </c>
      <c r="D26" s="78">
        <f>IF(SUM(B26:C26)&gt;=SUM(B11:D11)*(1-AG26),0,MIN(SUM(B11:D11)*(1-AG26)/AF26/12,SUM(B11:D11)*(1-AG26)-SUM(B26:C26)))</f>
        <v>104.16666666666667</v>
      </c>
      <c r="E26" s="78">
        <f>IF(SUM(B26:D26)&gt;=SUM(B11:E11)*(1-AG26),0,MIN(SUM(B11:E11)*(1-AG26)/AF26/12,SUM(B11:E11)*(1-AG26)-SUM(B26:D26)))</f>
        <v>104.16666666666667</v>
      </c>
      <c r="F26" s="78">
        <f>IF(SUM(B26:E26)&gt;=SUM(B11:F11)*(1-AG26),0,MIN(SUM(B11:F11)*(1-AG26)/AF26/12,SUM(B11:F11)*(1-AG26)-SUM(B26:E26)))</f>
        <v>104.16666666666667</v>
      </c>
      <c r="G26" s="78">
        <f>IF(SUM(B26:F26)&gt;=SUM(B11:G11)*(1-AG26),0,MIN(SUM(B11:G11)*(1-AG26)/AF26/12,SUM(B11:G11)*(1-AG26)-SUM(B26:F26)))</f>
        <v>104.16666666666667</v>
      </c>
      <c r="H26" s="78">
        <f>IF(SUM(B26:G26)&gt;=SUM(B11:H11)*(1-AG26),0,MIN(SUM(B11:H11)*(1-AG26)/AF26/12,SUM(B11:H11)*(1-AG26)-SUM(B26:G26)))</f>
        <v>104.16666666666667</v>
      </c>
      <c r="I26" s="78">
        <f>IF(SUM(B26:H26)&gt;=SUM(B11:I11)*(1-AG26),0,MIN(SUM(B11:I11)*(1-AG26)/AF26/12,SUM(B11:I11)*(1-AG26)-SUM(B26:H26)))</f>
        <v>104.16666666666667</v>
      </c>
      <c r="J26" s="78">
        <f>IF(SUM(B26:I26)&gt;=SUM(B11:J11)*(1-AG26),0,MIN(SUM(B11:J11)*(1-AG26)/AF26/12,SUM(B11:J11)*(1-AG26)-SUM(B26:I26)))</f>
        <v>104.16666666666667</v>
      </c>
      <c r="K26" s="78">
        <f>IF(SUM(B26:J26)&gt;=SUM(B11:K11)*(1-AG26),0,MIN(SUM(B11:K11)*(1-AG26)/AF26/12,SUM(B11:K11)*(1-AG26)-SUM(B26:J26)))</f>
        <v>104.16666666666667</v>
      </c>
      <c r="L26" s="78">
        <f>IF(SUM(B26:K26)&gt;=SUM(B11:L11)*(1-AG26),0,MIN(SUM(B11:L11)*(1-AG26)/AF26/12,SUM(B11:L11)*(1-AG26)-SUM(B26:K26)))</f>
        <v>104.16666666666667</v>
      </c>
      <c r="M26" s="78">
        <f>IF(SUM(B26:L26)&gt;=SUM(B11:M11)*(1-AG26),0,MIN(SUM(B11:M11)*(1-AG26)/AF26/12,SUM(B11:M11)*(1-AG26)-SUM(B26:L26)))</f>
        <v>104.16666666666667</v>
      </c>
      <c r="N26" s="78">
        <f>SUM(B26:M26)</f>
        <v>1250</v>
      </c>
      <c r="O26" s="78">
        <f>IF(SUM(N26:N26)&gt;=SUM(N11:O11)*(1-AG26),0,MIN(SUM(N11:O11)*(1-AG26)/AF26/12,SUM(N11:O11)*(1-AG26)-SUM(N26:N26)))</f>
        <v>104.16666666666667</v>
      </c>
      <c r="P26" s="78">
        <f>IF(SUM(N26:O26)&gt;=SUM(N11:P11)*(1-AG26),0,MIN(SUM(N11:P11)*(1-AG26)/AF26/12,SUM(N11:P11)*(1-AG26)-SUM(N26:O26)))</f>
        <v>104.16666666666667</v>
      </c>
      <c r="Q26" s="78">
        <f>IF(SUM(N26:P26)&gt;=SUM(N11:Q11)*(1-AG26),0,MIN(SUM(N11:Q11)*(1-AG26)/AF26/12,SUM(N11:Q11)*(1-AG26)-SUM(N26:P26)))</f>
        <v>104.16666666666667</v>
      </c>
      <c r="R26" s="78">
        <f>IF(SUM(N26:Q26)&gt;=SUM(N11:R11)*(1-AG26),0,MIN(SUM(N11:R11)*(1-AG26)/AF26/12,SUM(N11:R11)*(1-AG26)-SUM(N26:Q26)))</f>
        <v>104.16666666666667</v>
      </c>
      <c r="S26" s="78">
        <f>IF(SUM(N26:R26)&gt;=SUM(N11:S11)*(1-AG26),0,MIN(SUM(N11:S11)*(1-AG26)/AF26/12,SUM(N11:S11)*(1-AG26)-SUM(N26:R26)))</f>
        <v>104.16666666666667</v>
      </c>
      <c r="T26" s="78">
        <f>IF(SUM(N26:S26)&gt;=SUM(N11:T11)*(1-AG26),0,MIN(SUM(N11:T11)*(1-AG26)/AF26/12,SUM(N11:T11)*(1-AG26)-SUM(N26:S26)))</f>
        <v>104.16666666666667</v>
      </c>
      <c r="U26" s="78">
        <f>IF(SUM(N26:T26)&gt;=SUM(N11:U11)*(1-AG26),0,MIN(SUM(N11:U11)*(1-AG26)/AF26/12,SUM(N11:U11)*(1-AG26)-SUM(N26:T26)))</f>
        <v>104.16666666666667</v>
      </c>
      <c r="V26" s="78">
        <f>IF(SUM(N26:U26)&gt;=SUM(N11:V11)*(1-AG26),0,MIN(SUM(N11:V11)*(1-AG26)/AF26/12,SUM(N11:V11)*(1-AG26)-SUM(N26:U26)))</f>
        <v>104.16666666666667</v>
      </c>
      <c r="W26" s="78">
        <f>IF(SUM(N26:V26)&gt;=SUM(N11:W11)*(1-AG26),0,MIN(SUM(N11:W11)*(1-AG26)/AF26/12,SUM(N11:W11)*(1-AG26)-SUM(N26:V26)))</f>
        <v>104.16666666666667</v>
      </c>
      <c r="X26" s="78">
        <f>IF(SUM(N26:W26)&gt;=SUM(N11:X11)*(1-AG26),0,MIN(SUM(N11:X11)*(1-AG26)/AF26/12,SUM(N11:X11)*(1-AG26)-SUM(N26:W26)))</f>
        <v>104.16666666666667</v>
      </c>
      <c r="Y26" s="78">
        <f>IF(SUM(N26:X26)&gt;=SUM(N11:Y11)*(1-AG26),0,MIN(SUM(N11:Y11)*(1-AG26)/AF26/12,SUM(N11:Y11)*(1-AG26)-SUM(N26:X26)))</f>
        <v>104.16666666666667</v>
      </c>
      <c r="Z26" s="78">
        <f>IF(SUM(N26:Y26)&gt;=SUM(N11:Z11)*(1-AG26),0,MIN(SUM(N11:Z11)*(1-AG26)/AF26/12,SUM(N11:Z11)*(1-AG26)-SUM(N26:Y26)))</f>
        <v>104.16666666666667</v>
      </c>
      <c r="AA26" s="78">
        <f>SUM(O26:Z26)</f>
        <v>1250</v>
      </c>
      <c r="AB26" s="78">
        <f>IF(N26 + SUM(AA26:AA26)&gt;=(N11+SUM(AA11:AB11))*(1-AG26),0,MIN((N11 + SUM(AA11:AB11))*(1-AG26)/AF26,(N11 + SUM(AA11:AB11))*(1-AG26)-N26-SUM(AA26:AA26)))</f>
        <v>1250</v>
      </c>
      <c r="AC26" s="78">
        <f>IF(N26 + SUM(AA26:AB26)&gt;=(N11+SUM(AA11:AC11))*(1-AG26),0,MIN((N11 + SUM(AA11:AC11))*(1-AG26)/AF26,(N11 + SUM(AA11:AC11))*(1-AG26)-N26-SUM(AA26:AB26)))</f>
        <v>1250</v>
      </c>
      <c r="AD26" s="78">
        <f>IF(N26 + SUM(AA26:AC26)&gt;=(N11+SUM(AA11:AD11))*(1-AG26),0,MIN((N11 + SUM(AA11:AD11))*(1-AG26)/AF26,(N11 + SUM(AA11:AD11))*(1-AG26)-N26-SUM(AA26:AC26)))</f>
        <v>0</v>
      </c>
      <c r="AF26" s="211">
        <v>4</v>
      </c>
      <c r="AG26" s="80">
        <v>0.5</v>
      </c>
    </row>
    <row r="27" spans="1:38" hidden="1" x14ac:dyDescent="0.2">
      <c r="A27" s="211" t="s">
        <v>162</v>
      </c>
      <c r="B27" s="78">
        <f>SUM(B12:B12)*(1-AG27)/AF27/12</f>
        <v>41.666666666666664</v>
      </c>
      <c r="C27" s="78">
        <f>IF(SUM(B27:B27)&gt;=SUM(B12:C12)*(1-AG27),0,MIN(SUM(B12:C12)*(1-AG27)/AF27/12,SUM(B12:C12)*(1-AG27)-SUM(B27:B27)))</f>
        <v>41.666666666666664</v>
      </c>
      <c r="D27" s="78">
        <f>IF(SUM(B27:C27)&gt;=SUM(B12:D12)*(1-AG27),0,MIN(SUM(B12:D12)*(1-AG27)/AF27/12,SUM(B12:D12)*(1-AG27)-SUM(B27:C27)))</f>
        <v>41.666666666666664</v>
      </c>
      <c r="E27" s="78">
        <f>IF(SUM(B27:D27)&gt;=SUM(B12:E12)*(1-AG27),0,MIN(SUM(B12:E12)*(1-AG27)/AF27/12,SUM(B12:E12)*(1-AG27)-SUM(B27:D27)))</f>
        <v>41.666666666666664</v>
      </c>
      <c r="F27" s="78">
        <f>IF(SUM(B27:E27)&gt;=SUM(B12:F12)*(1-AG27),0,MIN(SUM(B12:F12)*(1-AG27)/AF27/12,SUM(B12:F12)*(1-AG27)-SUM(B27:E27)))</f>
        <v>41.666666666666664</v>
      </c>
      <c r="G27" s="78">
        <f>IF(SUM(B27:F27)&gt;=SUM(B12:G12)*(1-AG27),0,MIN(SUM(B12:G12)*(1-AG27)/AF27/12,SUM(B12:G12)*(1-AG27)-SUM(B27:F27)))</f>
        <v>41.666666666666664</v>
      </c>
      <c r="H27" s="78">
        <f>IF(SUM(B27:G27)&gt;=SUM(B12:H12)*(1-AG27),0,MIN(SUM(B12:H12)*(1-AG27)/AF27/12,SUM(B12:H12)*(1-AG27)-SUM(B27:G27)))</f>
        <v>41.666666666666664</v>
      </c>
      <c r="I27" s="78">
        <f>IF(SUM(B27:H27)&gt;=SUM(B12:I12)*(1-AG27),0,MIN(SUM(B12:I12)*(1-AG27)/AF27/12,SUM(B12:I12)*(1-AG27)-SUM(B27:H27)))</f>
        <v>41.666666666666664</v>
      </c>
      <c r="J27" s="78">
        <f>IF(SUM(B27:I27)&gt;=SUM(B12:J12)*(1-AG27),0,MIN(SUM(B12:J12)*(1-AG27)/AF27/12,SUM(B12:J12)*(1-AG27)-SUM(B27:I27)))</f>
        <v>41.666666666666664</v>
      </c>
      <c r="K27" s="78">
        <f>IF(SUM(B27:J27)&gt;=SUM(B12:K12)*(1-AG27),0,MIN(SUM(B12:K12)*(1-AG27)/AF27/12,SUM(B12:K12)*(1-AG27)-SUM(B27:J27)))</f>
        <v>41.666666666666664</v>
      </c>
      <c r="L27" s="78">
        <f>IF(SUM(B27:K27)&gt;=SUM(B12:L12)*(1-AG27),0,MIN(SUM(B12:L12)*(1-AG27)/AF27/12,SUM(B12:L12)*(1-AG27)-SUM(B27:K27)))</f>
        <v>41.666666666666664</v>
      </c>
      <c r="M27" s="78">
        <f>IF(SUM(B27:L27)&gt;=SUM(B12:M12)*(1-AG27),0,MIN(SUM(B12:M12)*(1-AG27)/AF27/12,SUM(B12:M12)*(1-AG27)-SUM(B27:L27)))</f>
        <v>41.666666666666664</v>
      </c>
      <c r="N27" s="78">
        <f>SUM(B27:M27)</f>
        <v>500.00000000000006</v>
      </c>
      <c r="O27" s="78">
        <f>IF(SUM(N27:N27)&gt;=SUM(N12:O12)*(1-AG27),0,MIN(SUM(N12:O12)*(1-AG27)/AF27/12,SUM(N12:O12)*(1-AG27)-SUM(N27:N27)))</f>
        <v>41.666666666666664</v>
      </c>
      <c r="P27" s="78">
        <f>IF(SUM(N27:O27)&gt;=SUM(N12:P12)*(1-AG27),0,MIN(SUM(N12:P12)*(1-AG27)/AF27/12,SUM(N12:P12)*(1-AG27)-SUM(N27:O27)))</f>
        <v>41.666666666666664</v>
      </c>
      <c r="Q27" s="78">
        <f>IF(SUM(N27:P27)&gt;=SUM(N12:Q12)*(1-AG27),0,MIN(SUM(N12:Q12)*(1-AG27)/AF27/12,SUM(N12:Q12)*(1-AG27)-SUM(N27:P27)))</f>
        <v>41.666666666666664</v>
      </c>
      <c r="R27" s="78">
        <f>IF(SUM(N27:Q27)&gt;=SUM(N12:R12)*(1-AG27),0,MIN(SUM(N12:R12)*(1-AG27)/AF27/12,SUM(N12:R12)*(1-AG27)-SUM(N27:Q27)))</f>
        <v>41.666666666666664</v>
      </c>
      <c r="S27" s="78">
        <f>IF(SUM(N27:R27)&gt;=SUM(N12:S12)*(1-AG27),0,MIN(SUM(N12:S12)*(1-AG27)/AF27/12,SUM(N12:S12)*(1-AG27)-SUM(N27:R27)))</f>
        <v>41.666666666666664</v>
      </c>
      <c r="T27" s="78">
        <f>IF(SUM(N27:S27)&gt;=SUM(N12:T12)*(1-AG27),0,MIN(SUM(N12:T12)*(1-AG27)/AF27/12,SUM(N12:T12)*(1-AG27)-SUM(N27:S27)))</f>
        <v>41.666666666666664</v>
      </c>
      <c r="U27" s="78">
        <f>IF(SUM(N27:T27)&gt;=SUM(N12:U12)*(1-AG27),0,MIN(SUM(N12:U12)*(1-AG27)/AF27/12,SUM(N12:U12)*(1-AG27)-SUM(N27:T27)))</f>
        <v>41.666666666666664</v>
      </c>
      <c r="V27" s="78">
        <f>IF(SUM(N27:U27)&gt;=SUM(N12:V12)*(1-AG27),0,MIN(SUM(N12:V12)*(1-AG27)/AF27/12,SUM(N12:V12)*(1-AG27)-SUM(N27:U27)))</f>
        <v>41.666666666666664</v>
      </c>
      <c r="W27" s="78">
        <f>IF(SUM(N27:V27)&gt;=SUM(N12:W12)*(1-AG27),0,MIN(SUM(N12:W12)*(1-AG27)/AF27/12,SUM(N12:W12)*(1-AG27)-SUM(N27:V27)))</f>
        <v>41.666666666666664</v>
      </c>
      <c r="X27" s="78">
        <f>IF(SUM(N27:W27)&gt;=SUM(N12:X12)*(1-AG27),0,MIN(SUM(N12:X12)*(1-AG27)/AF27/12,SUM(N12:X12)*(1-AG27)-SUM(N27:W27)))</f>
        <v>41.666666666666664</v>
      </c>
      <c r="Y27" s="78">
        <f>IF(SUM(N27:X27)&gt;=SUM(N12:Y12)*(1-AG27),0,MIN(SUM(N12:Y12)*(1-AG27)/AF27/12,SUM(N12:Y12)*(1-AG27)-SUM(N27:X27)))</f>
        <v>41.666666666666664</v>
      </c>
      <c r="Z27" s="78">
        <f>IF(SUM(N27:Y27)&gt;=SUM(N12:Z12)*(1-AG27),0,MIN(SUM(N12:Z12)*(1-AG27)/AF27/12,SUM(N12:Z12)*(1-AG27)-SUM(N27:Y27)))</f>
        <v>41.666666666666664</v>
      </c>
      <c r="AA27" s="78">
        <f>SUM(O27:Z27)</f>
        <v>500.00000000000006</v>
      </c>
      <c r="AB27" s="78">
        <f>IF(N27 + SUM(AA27:AA27)&gt;=(N12+SUM(AA12:AB12))*(1-AG27),0,MIN((N12 + SUM(AA12:AB12))*(1-AG27)/AF27,(N12 + SUM(AA12:AB12))*(1-AG27)-N27-SUM(AA27:AA27)))</f>
        <v>500</v>
      </c>
      <c r="AC27" s="78">
        <f>IF(N27 + SUM(AA27:AB27)&gt;=(N12+SUM(AA12:AC12))*(1-AG27),0,MIN((N12 + SUM(AA12:AC12))*(1-AG27)/AF27,(N12 + SUM(AA12:AC12))*(1-AG27)-N27-SUM(AA27:AB27)))</f>
        <v>500</v>
      </c>
      <c r="AD27" s="78">
        <f>IF(N27 + SUM(AA27:AC27)&gt;=(N12+SUM(AA12:AD12))*(1-AG27),0,MIN((N12 + SUM(AA12:AD12))*(1-AG27)/AF27,(N12 + SUM(AA12:AD12))*(1-AG27)-N27-SUM(AA27:AC27)))</f>
        <v>500</v>
      </c>
      <c r="AF27" s="211">
        <v>5</v>
      </c>
      <c r="AG27" s="80">
        <v>0.5</v>
      </c>
    </row>
    <row r="28" spans="1:38" hidden="1" x14ac:dyDescent="0.2">
      <c r="A28" s="211" t="s">
        <v>209</v>
      </c>
      <c r="B28" s="78">
        <f>SUM(B13:B13)*(1-AG28)/AF28/12</f>
        <v>2083.3333333333335</v>
      </c>
      <c r="C28" s="78">
        <f>IF(SUM(B28:B28)&gt;=SUM(B13:C13)*(1-AG28),0,MIN(SUM(B13:C13)*(1-AG28)/AF28/12,SUM(B13:C13)*(1-AG28)-SUM(B28:B28)))</f>
        <v>2083.3333333333335</v>
      </c>
      <c r="D28" s="78">
        <f>IF(SUM(B28:C28)&gt;=SUM(B13:D13)*(1-AG28),0,MIN(SUM(B13:D13)*(1-AG28)/AF28/12,SUM(B13:D13)*(1-AG28)-SUM(B28:C28)))</f>
        <v>2083.3333333333335</v>
      </c>
      <c r="E28" s="78">
        <f>IF(SUM(B28:D28)&gt;=SUM(B13:E13)*(1-AG28),0,MIN(SUM(B13:E13)*(1-AG28)/AF28/12,SUM(B13:E13)*(1-AG28)-SUM(B28:D28)))</f>
        <v>2083.3333333333335</v>
      </c>
      <c r="F28" s="78">
        <f>IF(SUM(B28:E28)&gt;=SUM(B13:F13)*(1-AG28),0,MIN(SUM(B13:F13)*(1-AG28)/AF28/12,SUM(B13:F13)*(1-AG28)-SUM(B28:E28)))</f>
        <v>2083.3333333333335</v>
      </c>
      <c r="G28" s="78">
        <f>IF(SUM(B28:F28)&gt;=SUM(B13:G13)*(1-AG28),0,MIN(SUM(B13:G13)*(1-AG28)/AF28/12,SUM(B13:G13)*(1-AG28)-SUM(B28:F28)))</f>
        <v>2083.3333333333335</v>
      </c>
      <c r="H28" s="78">
        <f>IF(SUM(B28:G28)&gt;=SUM(B13:H13)*(1-AG28),0,MIN(SUM(B13:H13)*(1-AG28)/AF28/12,SUM(B13:H13)*(1-AG28)-SUM(B28:G28)))</f>
        <v>2083.3333333333335</v>
      </c>
      <c r="I28" s="78">
        <f>IF(SUM(B28:H28)&gt;=SUM(B13:I13)*(1-AG28),0,MIN(SUM(B13:I13)*(1-AG28)/AF28/12,SUM(B13:I13)*(1-AG28)-SUM(B28:H28)))</f>
        <v>2083.3333333333335</v>
      </c>
      <c r="J28" s="78">
        <f>IF(SUM(B28:I28)&gt;=SUM(B13:J13)*(1-AG28),0,MIN(SUM(B13:J13)*(1-AG28)/AF28/12,SUM(B13:J13)*(1-AG28)-SUM(B28:I28)))</f>
        <v>2083.3333333333335</v>
      </c>
      <c r="K28" s="78">
        <f>IF(SUM(B28:J28)&gt;=SUM(B13:K13)*(1-AG28),0,MIN(SUM(B13:K13)*(1-AG28)/AF28/12,SUM(B13:K13)*(1-AG28)-SUM(B28:J28)))</f>
        <v>2083.3333333333335</v>
      </c>
      <c r="L28" s="78">
        <f>IF(SUM(B28:K28)&gt;=SUM(B13:L13)*(1-AG28),0,MIN(SUM(B13:L13)*(1-AG28)/AF28/12,SUM(B13:L13)*(1-AG28)-SUM(B28:K28)))</f>
        <v>2083.3333333333335</v>
      </c>
      <c r="M28" s="78">
        <f>IF(SUM(B28:L28)&gt;=SUM(B13:M13)*(1-AG28),0,MIN(SUM(B13:M13)*(1-AG28)/AF28/12,SUM(B13:M13)*(1-AG28)-SUM(B28:L28)))</f>
        <v>2083.3333333333335</v>
      </c>
      <c r="N28" s="78">
        <f>SUM(B28:M28)</f>
        <v>24999.999999999996</v>
      </c>
      <c r="O28" s="78">
        <f>IF(SUM(N28:N28)&gt;=SUM(N13:O13)*(1-AG28),0,MIN(SUM(N13:O13)*(1-AG28)/AF28/12,SUM(N13:O13)*(1-AG28)-SUM(N28:N28)))</f>
        <v>0</v>
      </c>
      <c r="P28" s="78">
        <f>IF(SUM(N28:O28)&gt;=SUM(N13:P13)*(1-AG28),0,MIN(SUM(N13:P13)*(1-AG28)/AF28/12,SUM(N13:P13)*(1-AG28)-SUM(N28:O28)))</f>
        <v>0</v>
      </c>
      <c r="Q28" s="78">
        <f>IF(SUM(N28:P28)&gt;=SUM(N13:Q13)*(1-AG28),0,MIN(SUM(N13:Q13)*(1-AG28)/AF28/12,SUM(N13:Q13)*(1-AG28)-SUM(N28:P28)))</f>
        <v>0</v>
      </c>
      <c r="R28" s="78">
        <f>IF(SUM(N28:Q28)&gt;=SUM(N13:R13)*(1-AG28),0,MIN(SUM(N13:R13)*(1-AG28)/AF28/12,SUM(N13:R13)*(1-AG28)-SUM(N28:Q28)))</f>
        <v>0</v>
      </c>
      <c r="S28" s="78">
        <f>IF(SUM(N28:R28)&gt;=SUM(N13:S13)*(1-AG28),0,MIN(SUM(N13:S13)*(1-AG28)/AF28/12,SUM(N13:S13)*(1-AG28)-SUM(N28:R28)))</f>
        <v>0</v>
      </c>
      <c r="T28" s="78">
        <f>IF(SUM(N28:S28)&gt;=SUM(N13:T13)*(1-AG28),0,MIN(SUM(N13:T13)*(1-AG28)/AF28/12,SUM(N13:T13)*(1-AG28)-SUM(N28:S28)))</f>
        <v>0</v>
      </c>
      <c r="U28" s="78">
        <f>IF(SUM(N28:T28)&gt;=SUM(N13:U13)*(1-AG28),0,MIN(SUM(N13:U13)*(1-AG28)/AF28/12,SUM(N13:U13)*(1-AG28)-SUM(N28:T28)))</f>
        <v>0</v>
      </c>
      <c r="V28" s="78">
        <f>IF(SUM(N28:U28)&gt;=SUM(N13:V13)*(1-AG28),0,MIN(SUM(N13:V13)*(1-AG28)/AF28/12,SUM(N13:V13)*(1-AG28)-SUM(N28:U28)))</f>
        <v>0</v>
      </c>
      <c r="W28" s="78">
        <f>IF(SUM(N28:V28)&gt;=SUM(N13:W13)*(1-AG28),0,MIN(SUM(N13:W13)*(1-AG28)/AF28/12,SUM(N13:W13)*(1-AG28)-SUM(N28:V28)))</f>
        <v>0</v>
      </c>
      <c r="X28" s="78">
        <f>IF(SUM(N28:W28)&gt;=SUM(N13:X13)*(1-AG28),0,MIN(SUM(N13:X13)*(1-AG28)/AF28/12,SUM(N13:X13)*(1-AG28)-SUM(N28:W28)))</f>
        <v>0</v>
      </c>
      <c r="Y28" s="78">
        <f>IF(SUM(N28:X28)&gt;=SUM(N13:Y13)*(1-AG28),0,MIN(SUM(N13:Y13)*(1-AG28)/AF28/12,SUM(N13:Y13)*(1-AG28)-SUM(N28:X28)))</f>
        <v>0</v>
      </c>
      <c r="Z28" s="78">
        <f>IF(SUM(N28:Y28)&gt;=SUM(N13:Z13)*(1-AG28),0,MIN(SUM(N13:Z13)*(1-AG28)/AF28/12,SUM(N13:Z13)*(1-AG28)-SUM(N28:Y28)))</f>
        <v>0</v>
      </c>
      <c r="AA28" s="78">
        <f>SUM(O28:Z28)</f>
        <v>0</v>
      </c>
      <c r="AB28" s="78">
        <f>IF(N28 + SUM(AA28:AA28)&gt;=(N13+SUM(AA13:AB13))*(1-AG28),0,MIN((N13 + SUM(AA13:AB13))*(1-AG28)/AF28,(N13 + SUM(AA13:AB13))*(1-AG28)-N28-SUM(AA28:AA28)))</f>
        <v>0</v>
      </c>
      <c r="AC28" s="78">
        <f>IF(N28 + SUM(AA28:AB28)&gt;=(N13+SUM(AA13:AC13))*(1-AG28),0,MIN((N13 + SUM(AA13:AC13))*(1-AG28)/AF28,(N13 + SUM(AA13:AC13))*(1-AG28)-N28-SUM(AA28:AB28)))</f>
        <v>0</v>
      </c>
      <c r="AD28" s="78">
        <f>IF(N28 + SUM(AA28:AC28)&gt;=(N13+SUM(AA13:AD13))*(1-AG28),0,MIN((N13 + SUM(AA13:AD13))*(1-AG28)/AF28,(N13 + SUM(AA13:AD13))*(1-AG28)-N28-SUM(AA28:AC28)))</f>
        <v>0</v>
      </c>
      <c r="AF28" s="211">
        <v>1</v>
      </c>
      <c r="AG28" s="80">
        <v>0.5</v>
      </c>
    </row>
    <row r="29" spans="1:38" hidden="1" x14ac:dyDescent="0.2">
      <c r="A29" s="211" t="s">
        <v>16</v>
      </c>
      <c r="B29" s="78">
        <f>SUM(B14:B14)*(1-AG29)/AF29/12</f>
        <v>208.33333333333334</v>
      </c>
      <c r="C29" s="78">
        <f>IF(SUM(B29:B29)&gt;=SUM(B14:C14)*(1-AG29),0,MIN(SUM(B14:C14)*(1-AG29)/AF29/12,SUM(B14:C14)*(1-AG29)-SUM(B29:B29)))</f>
        <v>208.33333333333334</v>
      </c>
      <c r="D29" s="78">
        <f>IF(SUM(B29:C29)&gt;=SUM(B14:D14)*(1-AG29),0,MIN(SUM(B14:D14)*(1-AG29)/AF29/12,SUM(B14:D14)*(1-AG29)-SUM(B29:C29)))</f>
        <v>208.33333333333334</v>
      </c>
      <c r="E29" s="78">
        <f>IF(SUM(B29:D29)&gt;=SUM(B14:E14)*(1-AG29),0,MIN(SUM(B14:E14)*(1-AG29)/AF29/12,SUM(B14:E14)*(1-AG29)-SUM(B29:D29)))</f>
        <v>208.33333333333334</v>
      </c>
      <c r="F29" s="78">
        <f>IF(SUM(B29:E29)&gt;=SUM(B14:F14)*(1-AG29),0,MIN(SUM(B14:F14)*(1-AG29)/AF29/12,SUM(B14:F14)*(1-AG29)-SUM(B29:E29)))</f>
        <v>208.33333333333334</v>
      </c>
      <c r="G29" s="78">
        <f>IF(SUM(B29:F29)&gt;=SUM(B14:G14)*(1-AG29),0,MIN(SUM(B14:G14)*(1-AG29)/AF29/12,SUM(B14:G14)*(1-AG29)-SUM(B29:F29)))</f>
        <v>208.33333333333334</v>
      </c>
      <c r="H29" s="78">
        <f>IF(SUM(B29:G29)&gt;=SUM(B14:H14)*(1-AG29),0,MIN(SUM(B14:H14)*(1-AG29)/AF29/12,SUM(B14:H14)*(1-AG29)-SUM(B29:G29)))</f>
        <v>208.33333333333334</v>
      </c>
      <c r="I29" s="78">
        <f>IF(SUM(B29:H29)&gt;=SUM(B14:I14)*(1-AG29),0,MIN(SUM(B14:I14)*(1-AG29)/AF29/12,SUM(B14:I14)*(1-AG29)-SUM(B29:H29)))</f>
        <v>208.33333333333334</v>
      </c>
      <c r="J29" s="78">
        <f>IF(SUM(B29:I29)&gt;=SUM(B14:J14)*(1-AG29),0,MIN(SUM(B14:J14)*(1-AG29)/AF29/12,SUM(B14:J14)*(1-AG29)-SUM(B29:I29)))</f>
        <v>208.33333333333334</v>
      </c>
      <c r="K29" s="78">
        <f>IF(SUM(B29:J29)&gt;=SUM(B14:K14)*(1-AG29),0,MIN(SUM(B14:K14)*(1-AG29)/AF29/12,SUM(B14:K14)*(1-AG29)-SUM(B29:J29)))</f>
        <v>208.33333333333334</v>
      </c>
      <c r="L29" s="78">
        <f>IF(SUM(B29:K29)&gt;=SUM(B14:L14)*(1-AG29),0,MIN(SUM(B14:L14)*(1-AG29)/AF29/12,SUM(B14:L14)*(1-AG29)-SUM(B29:K29)))</f>
        <v>208.33333333333334</v>
      </c>
      <c r="M29" s="78">
        <f>IF(SUM(B29:L29)&gt;=SUM(B14:M14)*(1-AG29),0,MIN(SUM(B14:M14)*(1-AG29)/AF29/12,SUM(B14:M14)*(1-AG29)-SUM(B29:L29)))</f>
        <v>208.33333333333334</v>
      </c>
      <c r="N29" s="78">
        <f>SUM(B29:M29)</f>
        <v>2500</v>
      </c>
      <c r="O29" s="78">
        <f>IF(SUM(N29:N29)&gt;=SUM(N14:O14)*(1-AG29),0,MIN(SUM(N14:O14)*(1-AG29)/AF29/12,SUM(N14:O14)*(1-AG29)-SUM(N29:N29)))</f>
        <v>208.33333333333334</v>
      </c>
      <c r="P29" s="78">
        <f>IF(SUM(N29:O29)&gt;=SUM(N14:P14)*(1-AG29),0,MIN(SUM(N14:P14)*(1-AG29)/AF29/12,SUM(N14:P14)*(1-AG29)-SUM(N29:O29)))</f>
        <v>208.33333333333334</v>
      </c>
      <c r="Q29" s="78">
        <f>IF(SUM(N29:P29)&gt;=SUM(N14:Q14)*(1-AG29),0,MIN(SUM(N14:Q14)*(1-AG29)/AF29/12,SUM(N14:Q14)*(1-AG29)-SUM(N29:P29)))</f>
        <v>208.33333333333334</v>
      </c>
      <c r="R29" s="78">
        <f>IF(SUM(N29:Q29)&gt;=SUM(N14:R14)*(1-AG29),0,MIN(SUM(N14:R14)*(1-AG29)/AF29/12,SUM(N14:R14)*(1-AG29)-SUM(N29:Q29)))</f>
        <v>208.33333333333334</v>
      </c>
      <c r="S29" s="78">
        <f>IF(SUM(N29:R29)&gt;=SUM(N14:S14)*(1-AG29),0,MIN(SUM(N14:S14)*(1-AG29)/AF29/12,SUM(N14:S14)*(1-AG29)-SUM(N29:R29)))</f>
        <v>208.33333333333334</v>
      </c>
      <c r="T29" s="78">
        <f>IF(SUM(N29:S29)&gt;=SUM(N14:T14)*(1-AG29),0,MIN(SUM(N14:T14)*(1-AG29)/AF29/12,SUM(N14:T14)*(1-AG29)-SUM(N29:S29)))</f>
        <v>208.33333333333334</v>
      </c>
      <c r="U29" s="78">
        <f>IF(SUM(N29:T29)&gt;=SUM(N14:U14)*(1-AG29),0,MIN(SUM(N14:U14)*(1-AG29)/AF29/12,SUM(N14:U14)*(1-AG29)-SUM(N29:T29)))</f>
        <v>208.33333333333334</v>
      </c>
      <c r="V29" s="78">
        <f>IF(SUM(N29:U29)&gt;=SUM(N14:V14)*(1-AG29),0,MIN(SUM(N14:V14)*(1-AG29)/AF29/12,SUM(N14:V14)*(1-AG29)-SUM(N29:U29)))</f>
        <v>208.33333333333334</v>
      </c>
      <c r="W29" s="78">
        <f>IF(SUM(N29:V29)&gt;=SUM(N14:W14)*(1-AG29),0,MIN(SUM(N14:W14)*(1-AG29)/AF29/12,SUM(N14:W14)*(1-AG29)-SUM(N29:V29)))</f>
        <v>208.33333333333334</v>
      </c>
      <c r="X29" s="78">
        <f>IF(SUM(N29:W29)&gt;=SUM(N14:X14)*(1-AG29),0,MIN(SUM(N14:X14)*(1-AG29)/AF29/12,SUM(N14:X14)*(1-AG29)-SUM(N29:W29)))</f>
        <v>208.33333333333334</v>
      </c>
      <c r="Y29" s="78">
        <f>IF(SUM(N29:X29)&gt;=SUM(N14:Y14)*(1-AG29),0,MIN(SUM(N14:Y14)*(1-AG29)/AF29/12,SUM(N14:Y14)*(1-AG29)-SUM(N29:X29)))</f>
        <v>208.33333333333334</v>
      </c>
      <c r="Z29" s="78">
        <f>IF(SUM(N29:Y29)&gt;=SUM(N14:Z14)*(1-AG29),0,MIN(SUM(N14:Z14)*(1-AG29)/AF29/12,SUM(N14:Z14)*(1-AG29)-SUM(N29:Y29)))</f>
        <v>208.33333333333303</v>
      </c>
      <c r="AA29" s="78">
        <f>SUM(O29:Z29)</f>
        <v>2499.9999999999995</v>
      </c>
      <c r="AB29" s="78">
        <f>IF(N29 + SUM(AA29:AA29)&gt;=(N14+SUM(AA14:AB14))*(1-AG29),0,MIN((N14 + SUM(AA14:AB14))*(1-AG29)/AF29,(N14 + SUM(AA14:AB14))*(1-AG29)-N29-SUM(AA29:AA29)))</f>
        <v>0</v>
      </c>
      <c r="AC29" s="78">
        <f>IF(N29 + SUM(AA29:AB29)&gt;=(N14+SUM(AA14:AC14))*(1-AG29),0,MIN((N14 + SUM(AA14:AC14))*(1-AG29)/AF29,(N14 + SUM(AA14:AC14))*(1-AG29)-N29-SUM(AA29:AB29)))</f>
        <v>0</v>
      </c>
      <c r="AD29" s="78">
        <f>IF(N29 + SUM(AA29:AC29)&gt;=(N14+SUM(AA14:AD14))*(1-AG29),0,MIN((N14 + SUM(AA14:AD14))*(1-AG29)/AF29,(N14 + SUM(AA14:AD14))*(1-AG29)-N29-SUM(AA29:AC29)))</f>
        <v>0</v>
      </c>
      <c r="AF29" s="211">
        <v>2</v>
      </c>
      <c r="AG29" s="80">
        <v>0.5</v>
      </c>
    </row>
    <row r="30" spans="1:38" ht="15" hidden="1" x14ac:dyDescent="0.25">
      <c r="A30" s="196" t="str">
        <f>A15</f>
        <v>Administrativo</v>
      </c>
      <c r="B30" s="38">
        <f t="shared" ref="B30:M30" si="14">SUM(B26:B29)</f>
        <v>2437.5000000000005</v>
      </c>
      <c r="C30" s="38">
        <f t="shared" si="14"/>
        <v>2437.5000000000005</v>
      </c>
      <c r="D30" s="38">
        <f t="shared" si="14"/>
        <v>2437.5000000000005</v>
      </c>
      <c r="E30" s="38">
        <f t="shared" si="14"/>
        <v>2437.5000000000005</v>
      </c>
      <c r="F30" s="38">
        <f t="shared" si="14"/>
        <v>2437.5000000000005</v>
      </c>
      <c r="G30" s="38">
        <f t="shared" si="14"/>
        <v>2437.5000000000005</v>
      </c>
      <c r="H30" s="38">
        <f t="shared" si="14"/>
        <v>2437.5000000000005</v>
      </c>
      <c r="I30" s="38">
        <f t="shared" si="14"/>
        <v>2437.5000000000005</v>
      </c>
      <c r="J30" s="38">
        <f t="shared" si="14"/>
        <v>2437.5000000000005</v>
      </c>
      <c r="K30" s="38">
        <f t="shared" si="14"/>
        <v>2437.5000000000005</v>
      </c>
      <c r="L30" s="38">
        <f t="shared" si="14"/>
        <v>2437.5000000000005</v>
      </c>
      <c r="M30" s="38">
        <f t="shared" si="14"/>
        <v>2437.5000000000005</v>
      </c>
      <c r="N30" s="38">
        <f>SUM(B30:M30)</f>
        <v>29250.000000000004</v>
      </c>
      <c r="O30" s="38">
        <f t="shared" ref="O30:Z30" si="15">SUM(O26:O29)</f>
        <v>354.16666666666669</v>
      </c>
      <c r="P30" s="38">
        <f t="shared" si="15"/>
        <v>354.16666666666669</v>
      </c>
      <c r="Q30" s="38">
        <f t="shared" si="15"/>
        <v>354.16666666666669</v>
      </c>
      <c r="R30" s="38">
        <f t="shared" si="15"/>
        <v>354.16666666666669</v>
      </c>
      <c r="S30" s="38">
        <f t="shared" si="15"/>
        <v>354.16666666666669</v>
      </c>
      <c r="T30" s="38">
        <f t="shared" si="15"/>
        <v>354.16666666666669</v>
      </c>
      <c r="U30" s="38">
        <f t="shared" si="15"/>
        <v>354.16666666666669</v>
      </c>
      <c r="V30" s="38">
        <f t="shared" si="15"/>
        <v>354.16666666666669</v>
      </c>
      <c r="W30" s="38">
        <f t="shared" si="15"/>
        <v>354.16666666666669</v>
      </c>
      <c r="X30" s="38">
        <f t="shared" si="15"/>
        <v>354.16666666666669</v>
      </c>
      <c r="Y30" s="38">
        <f t="shared" si="15"/>
        <v>354.16666666666669</v>
      </c>
      <c r="Z30" s="38">
        <f t="shared" si="15"/>
        <v>354.1666666666664</v>
      </c>
      <c r="AA30" s="38">
        <f>SUM(O30:Z30)</f>
        <v>4249.9999999999991</v>
      </c>
      <c r="AB30" s="38">
        <f>SUM(AB26:AB29)</f>
        <v>1750</v>
      </c>
      <c r="AC30" s="38">
        <f>SUM(AC26:AC29)</f>
        <v>1750</v>
      </c>
      <c r="AD30" s="38">
        <f>SUM(AD26:AD29)</f>
        <v>500</v>
      </c>
      <c r="AG30" s="159"/>
    </row>
    <row r="31" spans="1:38" hidden="1" x14ac:dyDescent="0.2">
      <c r="A31" s="208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G31" s="159"/>
    </row>
    <row r="32" spans="1:38" ht="15" hidden="1" x14ac:dyDescent="0.25">
      <c r="A32" s="55" t="s">
        <v>87</v>
      </c>
      <c r="B32" s="106">
        <f t="shared" ref="B32:M32" si="16">B21+B24+B30</f>
        <v>3909.7222222222226</v>
      </c>
      <c r="C32" s="106">
        <f t="shared" si="16"/>
        <v>3909.7222222222226</v>
      </c>
      <c r="D32" s="106">
        <f t="shared" si="16"/>
        <v>3909.7222222222226</v>
      </c>
      <c r="E32" s="106">
        <f t="shared" si="16"/>
        <v>3909.7222222222226</v>
      </c>
      <c r="F32" s="106">
        <f t="shared" si="16"/>
        <v>3909.7222222222226</v>
      </c>
      <c r="G32" s="106">
        <f t="shared" si="16"/>
        <v>3909.7222222222226</v>
      </c>
      <c r="H32" s="106">
        <f t="shared" si="16"/>
        <v>3909.7222222222226</v>
      </c>
      <c r="I32" s="106">
        <f t="shared" si="16"/>
        <v>3909.7222222222226</v>
      </c>
      <c r="J32" s="106">
        <f t="shared" si="16"/>
        <v>3909.7222222222226</v>
      </c>
      <c r="K32" s="106">
        <f t="shared" si="16"/>
        <v>3909.7222222222226</v>
      </c>
      <c r="L32" s="106">
        <f t="shared" si="16"/>
        <v>3909.7222222222226</v>
      </c>
      <c r="M32" s="106">
        <f t="shared" si="16"/>
        <v>3909.7222222222226</v>
      </c>
      <c r="N32" s="106">
        <f>SUM(B32:M32)</f>
        <v>46916.666666666657</v>
      </c>
      <c r="O32" s="106">
        <f t="shared" ref="O32:Z32" si="17">O21+O24+O30</f>
        <v>1826.3888888888889</v>
      </c>
      <c r="P32" s="106">
        <f t="shared" si="17"/>
        <v>1826.3888888888889</v>
      </c>
      <c r="Q32" s="106">
        <f t="shared" si="17"/>
        <v>1826.3888888888889</v>
      </c>
      <c r="R32" s="106">
        <f t="shared" si="17"/>
        <v>1826.3888888888889</v>
      </c>
      <c r="S32" s="106">
        <f t="shared" si="17"/>
        <v>1826.3888888888889</v>
      </c>
      <c r="T32" s="106">
        <f t="shared" si="17"/>
        <v>1826.3888888888889</v>
      </c>
      <c r="U32" s="106">
        <f t="shared" si="17"/>
        <v>1826.3888888888889</v>
      </c>
      <c r="V32" s="106">
        <f t="shared" si="17"/>
        <v>1826.3888888888889</v>
      </c>
      <c r="W32" s="106">
        <f t="shared" si="17"/>
        <v>1826.3888888888889</v>
      </c>
      <c r="X32" s="106">
        <f t="shared" si="17"/>
        <v>1826.3888888888889</v>
      </c>
      <c r="Y32" s="106">
        <f t="shared" si="17"/>
        <v>1826.3888888888889</v>
      </c>
      <c r="Z32" s="106">
        <f t="shared" si="17"/>
        <v>1826.3888888888887</v>
      </c>
      <c r="AA32" s="106">
        <f>SUM(O32:Z32)</f>
        <v>21916.666666666672</v>
      </c>
      <c r="AB32" s="106">
        <f>AB21+AB24+AB30</f>
        <v>19416.666666666668</v>
      </c>
      <c r="AC32" s="106">
        <f>AC21+AC24+AC30</f>
        <v>19416.666666666668</v>
      </c>
      <c r="AD32" s="106">
        <f>AD21+AD24+AD30</f>
        <v>18166.666666666668</v>
      </c>
    </row>
    <row r="33" spans="1:38" hidden="1" x14ac:dyDescent="0.2">
      <c r="AK33" s="18"/>
      <c r="AL33" s="64"/>
    </row>
    <row r="34" spans="1:38" hidden="1" x14ac:dyDescent="0.2">
      <c r="AK34" s="18"/>
      <c r="AL34" s="64"/>
    </row>
    <row r="35" spans="1:38" hidden="1" x14ac:dyDescent="0.2">
      <c r="A35" s="68" t="s">
        <v>39</v>
      </c>
      <c r="B35" s="68">
        <f t="shared" ref="B35:M35" si="18">SUMPRODUCT(B2:B17,$AI2:$AI17)</f>
        <v>84000</v>
      </c>
      <c r="C35" s="68">
        <f t="shared" si="18"/>
        <v>0</v>
      </c>
      <c r="D35" s="68">
        <f t="shared" si="18"/>
        <v>0</v>
      </c>
      <c r="E35" s="68">
        <f t="shared" si="18"/>
        <v>0</v>
      </c>
      <c r="F35" s="68">
        <f t="shared" si="18"/>
        <v>0</v>
      </c>
      <c r="G35" s="68">
        <f t="shared" si="18"/>
        <v>0</v>
      </c>
      <c r="H35" s="68">
        <f t="shared" si="18"/>
        <v>0</v>
      </c>
      <c r="I35" s="68">
        <f t="shared" si="18"/>
        <v>0</v>
      </c>
      <c r="J35" s="68">
        <f t="shared" si="18"/>
        <v>0</v>
      </c>
      <c r="K35" s="68">
        <f t="shared" si="18"/>
        <v>0</v>
      </c>
      <c r="L35" s="68">
        <f t="shared" si="18"/>
        <v>0</v>
      </c>
      <c r="M35" s="68">
        <f t="shared" si="18"/>
        <v>0</v>
      </c>
      <c r="N35" s="68"/>
      <c r="O35" s="68">
        <f t="shared" ref="O35:Z35" si="19">SUMPRODUCT(O2:O17,$AI2:$AI17)</f>
        <v>0</v>
      </c>
      <c r="P35" s="68">
        <f t="shared" si="19"/>
        <v>0</v>
      </c>
      <c r="Q35" s="68">
        <f t="shared" si="19"/>
        <v>0</v>
      </c>
      <c r="R35" s="68">
        <f t="shared" si="19"/>
        <v>0</v>
      </c>
      <c r="S35" s="68">
        <f t="shared" si="19"/>
        <v>0</v>
      </c>
      <c r="T35" s="68">
        <f t="shared" si="19"/>
        <v>0</v>
      </c>
      <c r="U35" s="68">
        <f t="shared" si="19"/>
        <v>0</v>
      </c>
      <c r="V35" s="68">
        <f t="shared" si="19"/>
        <v>0</v>
      </c>
      <c r="W35" s="68">
        <f t="shared" si="19"/>
        <v>0</v>
      </c>
      <c r="X35" s="68">
        <f t="shared" si="19"/>
        <v>0</v>
      </c>
      <c r="Y35" s="68">
        <f t="shared" si="19"/>
        <v>0</v>
      </c>
      <c r="Z35" s="68">
        <f t="shared" si="19"/>
        <v>0</v>
      </c>
      <c r="AA35" s="68"/>
      <c r="AB35" s="68">
        <f>SUMPRODUCT(AB2:AB17,$AI2:$AI17)</f>
        <v>0</v>
      </c>
      <c r="AC35" s="68">
        <f>SUMPRODUCT(AC2:AC17,$AI2:$AI17)</f>
        <v>0</v>
      </c>
      <c r="AD35" s="68">
        <f>SUMPRODUCT(AD2:AD17,$AI2:$AI17)</f>
        <v>0</v>
      </c>
    </row>
    <row r="36" spans="1:38" hidden="1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</row>
    <row r="37" spans="1:38" hidden="1" x14ac:dyDescent="0.2">
      <c r="A37" s="68" t="s">
        <v>232</v>
      </c>
      <c r="B37" s="68">
        <f t="shared" ref="B37:M37" si="20">B17-B38</f>
        <v>775000</v>
      </c>
      <c r="C37" s="68">
        <f t="shared" si="20"/>
        <v>0</v>
      </c>
      <c r="D37" s="68">
        <f t="shared" si="20"/>
        <v>0</v>
      </c>
      <c r="E37" s="68">
        <f t="shared" si="20"/>
        <v>0</v>
      </c>
      <c r="F37" s="68">
        <f t="shared" si="20"/>
        <v>0</v>
      </c>
      <c r="G37" s="68">
        <f t="shared" si="20"/>
        <v>0</v>
      </c>
      <c r="H37" s="68">
        <f t="shared" si="20"/>
        <v>0</v>
      </c>
      <c r="I37" s="68">
        <f t="shared" si="20"/>
        <v>0</v>
      </c>
      <c r="J37" s="68">
        <f t="shared" si="20"/>
        <v>0</v>
      </c>
      <c r="K37" s="68">
        <f t="shared" si="20"/>
        <v>0</v>
      </c>
      <c r="L37" s="68">
        <f t="shared" si="20"/>
        <v>0</v>
      </c>
      <c r="M37" s="68">
        <f t="shared" si="20"/>
        <v>0</v>
      </c>
      <c r="N37" s="68"/>
      <c r="O37" s="68">
        <f t="shared" ref="O37:Z37" si="21">O17-O38</f>
        <v>0</v>
      </c>
      <c r="P37" s="68">
        <f t="shared" si="21"/>
        <v>0</v>
      </c>
      <c r="Q37" s="68">
        <f t="shared" si="21"/>
        <v>0</v>
      </c>
      <c r="R37" s="68">
        <f t="shared" si="21"/>
        <v>0</v>
      </c>
      <c r="S37" s="68">
        <f t="shared" si="21"/>
        <v>0</v>
      </c>
      <c r="T37" s="68">
        <f t="shared" si="21"/>
        <v>0</v>
      </c>
      <c r="U37" s="68">
        <f t="shared" si="21"/>
        <v>0</v>
      </c>
      <c r="V37" s="68">
        <f t="shared" si="21"/>
        <v>0</v>
      </c>
      <c r="W37" s="68">
        <f t="shared" si="21"/>
        <v>0</v>
      </c>
      <c r="X37" s="68">
        <f t="shared" si="21"/>
        <v>0</v>
      </c>
      <c r="Y37" s="68">
        <f t="shared" si="21"/>
        <v>0</v>
      </c>
      <c r="Z37" s="68">
        <f t="shared" si="21"/>
        <v>0</v>
      </c>
      <c r="AA37" s="68"/>
      <c r="AB37" s="68">
        <f>AB17-AB38</f>
        <v>0</v>
      </c>
      <c r="AC37" s="68">
        <f>AC17-AC38</f>
        <v>0</v>
      </c>
      <c r="AD37" s="68">
        <f>AD17-AD38</f>
        <v>0</v>
      </c>
    </row>
    <row r="38" spans="1:38" hidden="1" x14ac:dyDescent="0.2">
      <c r="A38" s="68" t="s">
        <v>215</v>
      </c>
      <c r="B38" s="68">
        <f t="shared" ref="B38:M38" si="22">SUMPRODUCT(B2:B17,$AK2:$AK17)</f>
        <v>0</v>
      </c>
      <c r="C38" s="68">
        <f t="shared" si="22"/>
        <v>0</v>
      </c>
      <c r="D38" s="68">
        <f t="shared" si="22"/>
        <v>0</v>
      </c>
      <c r="E38" s="68">
        <f t="shared" si="22"/>
        <v>0</v>
      </c>
      <c r="F38" s="68">
        <f t="shared" si="22"/>
        <v>0</v>
      </c>
      <c r="G38" s="68">
        <f t="shared" si="22"/>
        <v>0</v>
      </c>
      <c r="H38" s="68">
        <f t="shared" si="22"/>
        <v>0</v>
      </c>
      <c r="I38" s="68">
        <f t="shared" si="22"/>
        <v>0</v>
      </c>
      <c r="J38" s="68">
        <f t="shared" si="22"/>
        <v>0</v>
      </c>
      <c r="K38" s="68">
        <f t="shared" si="22"/>
        <v>0</v>
      </c>
      <c r="L38" s="68">
        <f t="shared" si="22"/>
        <v>0</v>
      </c>
      <c r="M38" s="68">
        <f t="shared" si="22"/>
        <v>0</v>
      </c>
      <c r="N38" s="68"/>
      <c r="O38" s="68">
        <f t="shared" ref="O38:Z38" si="23">SUMPRODUCT(O2:O17,$AK2:$AK17)</f>
        <v>0</v>
      </c>
      <c r="P38" s="68">
        <f t="shared" si="23"/>
        <v>0</v>
      </c>
      <c r="Q38" s="68">
        <f t="shared" si="23"/>
        <v>0</v>
      </c>
      <c r="R38" s="68">
        <f t="shared" si="23"/>
        <v>0</v>
      </c>
      <c r="S38" s="68">
        <f t="shared" si="23"/>
        <v>0</v>
      </c>
      <c r="T38" s="68">
        <f t="shared" si="23"/>
        <v>0</v>
      </c>
      <c r="U38" s="68">
        <f t="shared" si="23"/>
        <v>0</v>
      </c>
      <c r="V38" s="68">
        <f t="shared" si="23"/>
        <v>0</v>
      </c>
      <c r="W38" s="68">
        <f t="shared" si="23"/>
        <v>0</v>
      </c>
      <c r="X38" s="68">
        <f t="shared" si="23"/>
        <v>0</v>
      </c>
      <c r="Y38" s="68">
        <f t="shared" si="23"/>
        <v>0</v>
      </c>
      <c r="Z38" s="68">
        <f t="shared" si="23"/>
        <v>0</v>
      </c>
      <c r="AA38" s="68"/>
      <c r="AB38" s="68">
        <f>SUMPRODUCT(AB2:AB17,$AK2:$AK17)</f>
        <v>0</v>
      </c>
      <c r="AC38" s="68">
        <f>SUMPRODUCT(AC2:AC17,$AK2:$AK17)</f>
        <v>0</v>
      </c>
      <c r="AD38" s="68">
        <f>SUMPRODUCT(AD2:AD17,$AK2:$AK17)</f>
        <v>0</v>
      </c>
    </row>
    <row r="39" spans="1:38" hidden="1" x14ac:dyDescent="0.2">
      <c r="A39" s="68" t="s">
        <v>102</v>
      </c>
      <c r="B39" s="20">
        <f t="shared" ref="B39:M39" si="24">IF(B38=0,0,SUMPRODUCT(B2:B17,$AK2:$AK17,$AL2:$AL17)/B38)</f>
        <v>0</v>
      </c>
      <c r="C39" s="20">
        <f t="shared" si="24"/>
        <v>0</v>
      </c>
      <c r="D39" s="20">
        <f t="shared" si="24"/>
        <v>0</v>
      </c>
      <c r="E39" s="20">
        <f t="shared" si="24"/>
        <v>0</v>
      </c>
      <c r="F39" s="20">
        <f t="shared" si="24"/>
        <v>0</v>
      </c>
      <c r="G39" s="20">
        <f t="shared" si="24"/>
        <v>0</v>
      </c>
      <c r="H39" s="20">
        <f t="shared" si="24"/>
        <v>0</v>
      </c>
      <c r="I39" s="20">
        <f t="shared" si="24"/>
        <v>0</v>
      </c>
      <c r="J39" s="20">
        <f t="shared" si="24"/>
        <v>0</v>
      </c>
      <c r="K39" s="20">
        <f t="shared" si="24"/>
        <v>0</v>
      </c>
      <c r="L39" s="20">
        <f t="shared" si="24"/>
        <v>0</v>
      </c>
      <c r="M39" s="20">
        <f t="shared" si="24"/>
        <v>0</v>
      </c>
      <c r="N39" s="20"/>
      <c r="O39" s="20">
        <f t="shared" ref="O39:Z39" si="25">IF(O38=0,0,SUMPRODUCT(O2:O17,$AK2:$AK17,$AL2:$AL17)/O38)</f>
        <v>0</v>
      </c>
      <c r="P39" s="20">
        <f t="shared" si="25"/>
        <v>0</v>
      </c>
      <c r="Q39" s="20">
        <f t="shared" si="25"/>
        <v>0</v>
      </c>
      <c r="R39" s="20">
        <f t="shared" si="25"/>
        <v>0</v>
      </c>
      <c r="S39" s="20">
        <f t="shared" si="25"/>
        <v>0</v>
      </c>
      <c r="T39" s="20">
        <f t="shared" si="25"/>
        <v>0</v>
      </c>
      <c r="U39" s="20">
        <f t="shared" si="25"/>
        <v>0</v>
      </c>
      <c r="V39" s="20">
        <f t="shared" si="25"/>
        <v>0</v>
      </c>
      <c r="W39" s="20">
        <f t="shared" si="25"/>
        <v>0</v>
      </c>
      <c r="X39" s="20">
        <f t="shared" si="25"/>
        <v>0</v>
      </c>
      <c r="Y39" s="20">
        <f t="shared" si="25"/>
        <v>0</v>
      </c>
      <c r="Z39" s="20">
        <f t="shared" si="25"/>
        <v>0</v>
      </c>
      <c r="AA39" s="68"/>
      <c r="AB39" s="20">
        <f>IF(AB38=0,0,SUMPRODUCT(AB2:AB17,$AK2:$AK17,$AL2:$AL17)/AB38)</f>
        <v>0</v>
      </c>
      <c r="AC39" s="20">
        <f>IF(AC38=0,0,SUMPRODUCT(AC2:AC17,$AK2:$AK17,$AL2:$AL17)/AC38)</f>
        <v>0</v>
      </c>
      <c r="AD39" s="20">
        <f>IF(AD38=0,0,SUMPRODUCT(AD2:AD17,$AK2:$AK17,$AL2:$AL17)/AD38)</f>
        <v>0</v>
      </c>
    </row>
    <row r="40" spans="1:38" hidden="1" x14ac:dyDescent="0.2"/>
    <row r="51" spans="35:38" x14ac:dyDescent="0.2">
      <c r="AI51" s="222"/>
      <c r="AJ51" s="222"/>
      <c r="AK51" s="222"/>
      <c r="AL51" s="222"/>
    </row>
    <row r="53" spans="35:38" x14ac:dyDescent="0.2">
      <c r="AI53" s="222"/>
      <c r="AJ53" s="222"/>
      <c r="AK53" s="222"/>
      <c r="AL53" s="222"/>
    </row>
    <row r="54" spans="35:38" x14ac:dyDescent="0.2">
      <c r="AI54" s="222"/>
      <c r="AJ54" s="222"/>
      <c r="AK54" s="222"/>
      <c r="AL54" s="222"/>
    </row>
  </sheetData>
  <pageMargins left="0.75" right="0.75" top="1" bottom="1" header="0.5" footer="0.5"/>
  <pageSetup paperSize="9" scale="0" fitToWidth="0" fitToHeight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58"/>
  <sheetViews>
    <sheetView showGridLines="0" workbookViewId="0">
      <pane xSplit="1" ySplit="1" topLeftCell="B2" activePane="bottomRight" state="frozen"/>
      <selection activeCell="G19" sqref="G19"/>
      <selection pane="topRight" activeCell="G19" sqref="G19"/>
      <selection pane="bottomLeft" activeCell="G19" sqref="G19"/>
      <selection pane="bottomRight"/>
    </sheetView>
  </sheetViews>
  <sheetFormatPr baseColWidth="10" defaultColWidth="9.140625" defaultRowHeight="12.75" outlineLevelCol="1" x14ac:dyDescent="0.2"/>
  <cols>
    <col min="1" max="1" width="42.85546875" customWidth="1"/>
    <col min="2" max="13" width="13.28515625" customWidth="1" outlineLevel="1"/>
    <col min="14" max="14" width="13.28515625" customWidth="1"/>
    <col min="15" max="26" width="13.28515625" customWidth="1" outlineLevel="1"/>
    <col min="27" max="30" width="13.28515625" customWidth="1"/>
  </cols>
  <sheetData>
    <row r="1" spans="1:256" ht="15.75" customHeight="1" x14ac:dyDescent="0.25">
      <c r="A1" s="213" t="str">
        <f>"COBRANZAS Y PAGOS (" &amp; Introducción!E17 &amp; ")"</f>
        <v>COBRANZAS Y PAGOS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</row>
    <row r="2" spans="1:256" x14ac:dyDescent="0.2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</row>
    <row r="3" spans="1:256" s="59" customFormat="1" ht="12" x14ac:dyDescent="0.2">
      <c r="A3" s="186" t="s">
        <v>205</v>
      </c>
      <c r="B3" s="186">
        <f>Ingresos!B7</f>
        <v>1689600</v>
      </c>
      <c r="C3" s="186">
        <f>Ingresos!C7</f>
        <v>1689600</v>
      </c>
      <c r="D3" s="186">
        <f>Ingresos!D7</f>
        <v>1689600</v>
      </c>
      <c r="E3" s="186">
        <f>Ingresos!E7</f>
        <v>1689600</v>
      </c>
      <c r="F3" s="186">
        <f>Ingresos!F7</f>
        <v>1689600</v>
      </c>
      <c r="G3" s="186">
        <f>Ingresos!G7</f>
        <v>1689600</v>
      </c>
      <c r="H3" s="186">
        <f>Ingresos!H7</f>
        <v>1689600</v>
      </c>
      <c r="I3" s="186">
        <f>Ingresos!I7</f>
        <v>1689600</v>
      </c>
      <c r="J3" s="186">
        <f>Ingresos!J7</f>
        <v>1689600</v>
      </c>
      <c r="K3" s="186">
        <f>Ingresos!K7</f>
        <v>1757184</v>
      </c>
      <c r="L3" s="186">
        <f>Ingresos!L7</f>
        <v>1757184</v>
      </c>
      <c r="M3" s="186">
        <f>Ingresos!M7</f>
        <v>1757184</v>
      </c>
      <c r="N3" s="186">
        <f>Ingresos!N7</f>
        <v>20477952</v>
      </c>
      <c r="O3" s="186">
        <f>Ingresos!O7</f>
        <v>2635776</v>
      </c>
      <c r="P3" s="186">
        <f>Ingresos!P7</f>
        <v>2635776</v>
      </c>
      <c r="Q3" s="186">
        <f>Ingresos!Q7</f>
        <v>2635776</v>
      </c>
      <c r="R3" s="186">
        <f>Ingresos!R7</f>
        <v>2635776</v>
      </c>
      <c r="S3" s="186">
        <f>Ingresos!S7</f>
        <v>2635776</v>
      </c>
      <c r="T3" s="186">
        <f>Ingresos!T7</f>
        <v>2635776</v>
      </c>
      <c r="U3" s="186">
        <f>Ingresos!U7</f>
        <v>2635776</v>
      </c>
      <c r="V3" s="186">
        <f>Ingresos!V7</f>
        <v>2635776</v>
      </c>
      <c r="W3" s="186">
        <f>Ingresos!W7</f>
        <v>2635776</v>
      </c>
      <c r="X3" s="186">
        <f>Ingresos!X7</f>
        <v>2741207.0400000005</v>
      </c>
      <c r="Y3" s="186">
        <f>Ingresos!Y7</f>
        <v>2741207.0400000005</v>
      </c>
      <c r="Z3" s="186">
        <f>Ingresos!Z7</f>
        <v>2741207.0400000005</v>
      </c>
      <c r="AA3" s="186">
        <f>Ingresos!AA7</f>
        <v>31945605.119999997</v>
      </c>
      <c r="AB3" s="186">
        <f>Ingresos!AB7</f>
        <v>51828549.746688008</v>
      </c>
      <c r="AC3" s="186">
        <f>Ingresos!AC7</f>
        <v>80852537.60483329</v>
      </c>
      <c r="AD3" s="186">
        <f>Ingresos!AD7</f>
        <v>126129958.66353996</v>
      </c>
    </row>
    <row r="4" spans="1:256" s="28" customFormat="1" ht="12.75" customHeight="1" x14ac:dyDescent="0.2">
      <c r="A4" s="110" t="s">
        <v>92</v>
      </c>
      <c r="B4" s="110">
        <f>Ingresos!B12+IF(B6&lt;30,Ingresos!B13*(30-B6)/30,0)</f>
        <v>1689600</v>
      </c>
      <c r="C4" s="110">
        <f>Ingresos!C12+IF(C6&lt;30,Ingresos!C13*(30-C6)/30,0)</f>
        <v>1689600</v>
      </c>
      <c r="D4" s="110">
        <f>Ingresos!D12+IF(D6&lt;30,Ingresos!D13*(30-D6)/30,0)</f>
        <v>1689600</v>
      </c>
      <c r="E4" s="110">
        <f>Ingresos!E12+IF(E6&lt;30,Ingresos!E13*(30-E6)/30,0)</f>
        <v>1689600</v>
      </c>
      <c r="F4" s="110">
        <f>Ingresos!F12+IF(F6&lt;30,Ingresos!F13*(30-F6)/30,0)</f>
        <v>1689600</v>
      </c>
      <c r="G4" s="110">
        <f>Ingresos!G12+IF(G6&lt;30,Ingresos!G13*(30-G6)/30,0)</f>
        <v>1689600</v>
      </c>
      <c r="H4" s="110">
        <f>Ingresos!H12+IF(H6&lt;30,Ingresos!H13*(30-H6)/30,0)</f>
        <v>1689600</v>
      </c>
      <c r="I4" s="110">
        <f>Ingresos!I12+IF(I6&lt;30,Ingresos!I13*(30-I6)/30,0)</f>
        <v>1689600</v>
      </c>
      <c r="J4" s="110">
        <f>Ingresos!J12+IF(J6&lt;30,Ingresos!J13*(30-J6)/30,0)</f>
        <v>1689600</v>
      </c>
      <c r="K4" s="110">
        <f>Ingresos!K12+IF(K6&lt;30,Ingresos!K13*(30-K6)/30,0)</f>
        <v>1757184</v>
      </c>
      <c r="L4" s="110">
        <f>Ingresos!L12+IF(L6&lt;30,Ingresos!L13*(30-L6)/30,0)</f>
        <v>1757184</v>
      </c>
      <c r="M4" s="110">
        <f>Ingresos!M12+IF(M6&lt;30,Ingresos!M13*(30-M6)/30,0)</f>
        <v>1757184</v>
      </c>
      <c r="N4" s="110">
        <f>SUM(B4:M4)</f>
        <v>20477952</v>
      </c>
      <c r="O4" s="110">
        <f>Ingresos!O12+IF(O6&lt;30,Ingresos!O13*(30-O6)/30,0)</f>
        <v>2635776</v>
      </c>
      <c r="P4" s="110">
        <f>Ingresos!P12+IF(P6&lt;30,Ingresos!P13*(30-P6)/30,0)</f>
        <v>2635776</v>
      </c>
      <c r="Q4" s="110">
        <f>Ingresos!Q12+IF(Q6&lt;30,Ingresos!Q13*(30-Q6)/30,0)</f>
        <v>2635776</v>
      </c>
      <c r="R4" s="110">
        <f>Ingresos!R12+IF(R6&lt;30,Ingresos!R13*(30-R6)/30,0)</f>
        <v>2635776</v>
      </c>
      <c r="S4" s="110">
        <f>Ingresos!S12+IF(S6&lt;30,Ingresos!S13*(30-S6)/30,0)</f>
        <v>2635776</v>
      </c>
      <c r="T4" s="110">
        <f>Ingresos!T12+IF(T6&lt;30,Ingresos!T13*(30-T6)/30,0)</f>
        <v>2635776</v>
      </c>
      <c r="U4" s="110">
        <f>Ingresos!U12+IF(U6&lt;30,Ingresos!U13*(30-U6)/30,0)</f>
        <v>2635776</v>
      </c>
      <c r="V4" s="110">
        <f>Ingresos!V12+IF(V6&lt;30,Ingresos!V13*(30-V6)/30,0)</f>
        <v>2635776</v>
      </c>
      <c r="W4" s="110">
        <f>Ingresos!W12+IF(W6&lt;30,Ingresos!W13*(30-W6)/30,0)</f>
        <v>2635776</v>
      </c>
      <c r="X4" s="110">
        <f>Ingresos!X12+IF(X6&lt;30,Ingresos!X13*(30-X6)/30,0)</f>
        <v>2741207.0400000005</v>
      </c>
      <c r="Y4" s="110">
        <f>Ingresos!Y12+IF(Y6&lt;30,Ingresos!Y13*(30-Y6)/30,0)</f>
        <v>2741207.0400000005</v>
      </c>
      <c r="Z4" s="110">
        <f>Ingresos!Z12+IF(Z6&lt;30,Ingresos!Z13*(30-Z6)/30,0)</f>
        <v>2741207.0400000005</v>
      </c>
      <c r="AA4" s="110">
        <f>SUM(O4:Z4)</f>
        <v>31945605.119999997</v>
      </c>
      <c r="AB4" s="110">
        <f>Ingresos!AB12</f>
        <v>51828549.746688008</v>
      </c>
      <c r="AC4" s="110">
        <f>Ingresos!AC12</f>
        <v>80852537.60483329</v>
      </c>
      <c r="AD4" s="110">
        <f>Ingresos!AD12</f>
        <v>126129958.66353996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28" customFormat="1" ht="12.75" customHeight="1" x14ac:dyDescent="0.2">
      <c r="A5" s="110" t="s">
        <v>152</v>
      </c>
      <c r="B5" s="110">
        <f>Ingresos!B13*IF(B6&lt;30,B6/30,1)</f>
        <v>0</v>
      </c>
      <c r="C5" s="110">
        <f>Ingresos!C13*IF(C6&lt;30,C6/30,1)</f>
        <v>0</v>
      </c>
      <c r="D5" s="110">
        <f>Ingresos!D13*IF(D6&lt;30,D6/30,1)</f>
        <v>0</v>
      </c>
      <c r="E5" s="110">
        <f>Ingresos!E13*IF(E6&lt;30,E6/30,1)</f>
        <v>0</v>
      </c>
      <c r="F5" s="110">
        <f>Ingresos!F13*IF(F6&lt;30,F6/30,1)</f>
        <v>0</v>
      </c>
      <c r="G5" s="110">
        <f>Ingresos!G13*IF(G6&lt;30,G6/30,1)</f>
        <v>0</v>
      </c>
      <c r="H5" s="110">
        <f>Ingresos!H13*IF(H6&lt;30,H6/30,1)</f>
        <v>0</v>
      </c>
      <c r="I5" s="110">
        <f>Ingresos!I13*IF(I6&lt;30,I6/30,1)</f>
        <v>0</v>
      </c>
      <c r="J5" s="110">
        <f>Ingresos!J13*IF(J6&lt;30,J6/30,1)</f>
        <v>0</v>
      </c>
      <c r="K5" s="110">
        <f>Ingresos!K13*IF(K6&lt;30,K6/30,1)</f>
        <v>0</v>
      </c>
      <c r="L5" s="110">
        <f>Ingresos!L13*IF(L6&lt;30,L6/30,1)</f>
        <v>0</v>
      </c>
      <c r="M5" s="110">
        <f>Ingresos!M13*IF(M6&lt;30,M6/30,1)</f>
        <v>0</v>
      </c>
      <c r="N5" s="110">
        <f>SUM(B5:M5)</f>
        <v>0</v>
      </c>
      <c r="O5" s="110">
        <f>Ingresos!O13*IF(O6&lt;30,O6/30,1)</f>
        <v>0</v>
      </c>
      <c r="P5" s="110">
        <f>Ingresos!P13*IF(P6&lt;30,P6/30,1)</f>
        <v>0</v>
      </c>
      <c r="Q5" s="110">
        <f>Ingresos!Q13*IF(Q6&lt;30,Q6/30,1)</f>
        <v>0</v>
      </c>
      <c r="R5" s="110">
        <f>Ingresos!R13*IF(R6&lt;30,R6/30,1)</f>
        <v>0</v>
      </c>
      <c r="S5" s="110">
        <f>Ingresos!S13*IF(S6&lt;30,S6/30,1)</f>
        <v>0</v>
      </c>
      <c r="T5" s="110">
        <f>Ingresos!T13*IF(T6&lt;30,T6/30,1)</f>
        <v>0</v>
      </c>
      <c r="U5" s="110">
        <f>Ingresos!U13*IF(U6&lt;30,U6/30,1)</f>
        <v>0</v>
      </c>
      <c r="V5" s="110">
        <f>Ingresos!V13*IF(V6&lt;30,V6/30,1)</f>
        <v>0</v>
      </c>
      <c r="W5" s="110">
        <f>Ingresos!W13*IF(W6&lt;30,W6/30,1)</f>
        <v>0</v>
      </c>
      <c r="X5" s="110">
        <f>Ingresos!X13*IF(X6&lt;30,X6/30,1)</f>
        <v>0</v>
      </c>
      <c r="Y5" s="110">
        <f>Ingresos!Y13*IF(Y6&lt;30,Y6/30,1)</f>
        <v>0</v>
      </c>
      <c r="Z5" s="110">
        <f>Ingresos!Z13*IF(Z6&lt;30,Z6/30,1)</f>
        <v>0</v>
      </c>
      <c r="AA5" s="110">
        <f>SUM(O5:Z5)</f>
        <v>0</v>
      </c>
      <c r="AB5" s="110">
        <f>Ingresos!AB13</f>
        <v>0</v>
      </c>
      <c r="AC5" s="110">
        <f>Ingresos!AC13</f>
        <v>0</v>
      </c>
      <c r="AD5" s="110">
        <f>Ingresos!AD13</f>
        <v>0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28" customFormat="1" ht="12.75" customHeight="1" x14ac:dyDescent="0.2">
      <c r="A6" s="9" t="s">
        <v>178</v>
      </c>
      <c r="B6" s="50">
        <f>Ingresos!B14</f>
        <v>0</v>
      </c>
      <c r="C6" s="50">
        <f>Ingresos!C14</f>
        <v>0</v>
      </c>
      <c r="D6" s="50">
        <f>Ingresos!D14</f>
        <v>0</v>
      </c>
      <c r="E6" s="50">
        <f>Ingresos!E14</f>
        <v>0</v>
      </c>
      <c r="F6" s="50">
        <f>Ingresos!F14</f>
        <v>0</v>
      </c>
      <c r="G6" s="50">
        <f>Ingresos!G14</f>
        <v>0</v>
      </c>
      <c r="H6" s="50">
        <f>Ingresos!H14</f>
        <v>0</v>
      </c>
      <c r="I6" s="50">
        <f>Ingresos!I14</f>
        <v>0</v>
      </c>
      <c r="J6" s="50">
        <f>Ingresos!J14</f>
        <v>0</v>
      </c>
      <c r="K6" s="50">
        <f>Ingresos!K14</f>
        <v>0</v>
      </c>
      <c r="L6" s="50">
        <f>Ingresos!L14</f>
        <v>0</v>
      </c>
      <c r="M6" s="50">
        <f>Ingresos!M14</f>
        <v>0</v>
      </c>
      <c r="N6" s="162">
        <f>IF(N5=0,0,N9/N5*360)</f>
        <v>0</v>
      </c>
      <c r="O6" s="50">
        <f>Ingresos!O14</f>
        <v>0</v>
      </c>
      <c r="P6" s="50">
        <f>Ingresos!P14</f>
        <v>0</v>
      </c>
      <c r="Q6" s="50">
        <f>Ingresos!Q14</f>
        <v>0</v>
      </c>
      <c r="R6" s="50">
        <f>Ingresos!R14</f>
        <v>0</v>
      </c>
      <c r="S6" s="50">
        <f>Ingresos!S14</f>
        <v>0</v>
      </c>
      <c r="T6" s="50">
        <f>Ingresos!T14</f>
        <v>0</v>
      </c>
      <c r="U6" s="50">
        <f>Ingresos!U14</f>
        <v>0</v>
      </c>
      <c r="V6" s="50">
        <f>Ingresos!V14</f>
        <v>0</v>
      </c>
      <c r="W6" s="50">
        <f>Ingresos!W14</f>
        <v>0</v>
      </c>
      <c r="X6" s="50">
        <f>Ingresos!X14</f>
        <v>0</v>
      </c>
      <c r="Y6" s="50">
        <f>Ingresos!Y14</f>
        <v>0</v>
      </c>
      <c r="Z6" s="50">
        <f>Ingresos!Z14</f>
        <v>0</v>
      </c>
      <c r="AA6" s="162">
        <f>IF(AA5=0,0,AA9/AA5*360)</f>
        <v>0</v>
      </c>
      <c r="AB6" s="50">
        <f>Ingresos!AB14</f>
        <v>0</v>
      </c>
      <c r="AC6" s="50">
        <f>Ingresos!AC14</f>
        <v>0</v>
      </c>
      <c r="AD6" s="50">
        <f>Ingresos!AD14</f>
        <v>0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28" customFormat="1" ht="14.25" customHeight="1" x14ac:dyDescent="0.2">
      <c r="A7" s="110" t="s">
        <v>63</v>
      </c>
      <c r="B7" s="9">
        <f t="shared" ref="B7:M7" si="2">ROUNDUP(B$54+MAX(1,(B6-15)/30),0)</f>
        <v>2</v>
      </c>
      <c r="C7" s="9">
        <f t="shared" si="2"/>
        <v>3</v>
      </c>
      <c r="D7" s="9">
        <f t="shared" si="2"/>
        <v>4</v>
      </c>
      <c r="E7" s="9">
        <f t="shared" si="2"/>
        <v>5</v>
      </c>
      <c r="F7" s="9">
        <f t="shared" si="2"/>
        <v>6</v>
      </c>
      <c r="G7" s="9">
        <f t="shared" si="2"/>
        <v>7</v>
      </c>
      <c r="H7" s="9">
        <f t="shared" si="2"/>
        <v>8</v>
      </c>
      <c r="I7" s="9">
        <f t="shared" si="2"/>
        <v>9</v>
      </c>
      <c r="J7" s="9">
        <f t="shared" si="2"/>
        <v>10</v>
      </c>
      <c r="K7" s="9">
        <f t="shared" si="2"/>
        <v>11</v>
      </c>
      <c r="L7" s="9">
        <f t="shared" si="2"/>
        <v>12</v>
      </c>
      <c r="M7" s="9">
        <f t="shared" si="2"/>
        <v>13</v>
      </c>
      <c r="N7" s="9"/>
      <c r="O7" s="9">
        <f t="shared" ref="O7:Z7" si="3">ROUNDUP(O$54+MAX(1,(O6-15)/30),0)</f>
        <v>14</v>
      </c>
      <c r="P7" s="9">
        <f t="shared" si="3"/>
        <v>15</v>
      </c>
      <c r="Q7" s="9">
        <f t="shared" si="3"/>
        <v>16</v>
      </c>
      <c r="R7" s="9">
        <f t="shared" si="3"/>
        <v>17</v>
      </c>
      <c r="S7" s="9">
        <f t="shared" si="3"/>
        <v>18</v>
      </c>
      <c r="T7" s="9">
        <f t="shared" si="3"/>
        <v>19</v>
      </c>
      <c r="U7" s="9">
        <f t="shared" si="3"/>
        <v>20</v>
      </c>
      <c r="V7" s="9">
        <f t="shared" si="3"/>
        <v>21</v>
      </c>
      <c r="W7" s="9">
        <f t="shared" si="3"/>
        <v>22</v>
      </c>
      <c r="X7" s="9">
        <f t="shared" si="3"/>
        <v>23</v>
      </c>
      <c r="Y7" s="9">
        <f t="shared" si="3"/>
        <v>24</v>
      </c>
      <c r="Z7" s="9">
        <f t="shared" si="3"/>
        <v>25</v>
      </c>
      <c r="AA7" s="9"/>
      <c r="AB7" s="9"/>
      <c r="AC7" s="9"/>
      <c r="AD7" s="9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28" customFormat="1" ht="14.25" customHeight="1" x14ac:dyDescent="0.2">
      <c r="A8" s="110" t="s">
        <v>201</v>
      </c>
      <c r="B8" s="110">
        <f>B4+SUMIF($B7:B7,B$54,$B5:B5)</f>
        <v>1689600</v>
      </c>
      <c r="C8" s="110">
        <f>C4+SUMIF($B7:C7,C$54,$B5:C5)</f>
        <v>1689600</v>
      </c>
      <c r="D8" s="110">
        <f>D4+SUMIF($B7:D7,D$54,$B5:D5)</f>
        <v>1689600</v>
      </c>
      <c r="E8" s="110">
        <f>E4+SUMIF($B7:E7,E$54,$B5:E5)</f>
        <v>1689600</v>
      </c>
      <c r="F8" s="110">
        <f>F4+SUMIF($B7:F7,F$54,$B5:F5)</f>
        <v>1689600</v>
      </c>
      <c r="G8" s="110">
        <f>G4+SUMIF($B7:G7,G$54,$B5:G5)</f>
        <v>1689600</v>
      </c>
      <c r="H8" s="110">
        <f>H4+SUMIF($B7:H7,H$54,$B5:H5)</f>
        <v>1689600</v>
      </c>
      <c r="I8" s="110">
        <f>I4+SUMIF($B7:I7,I$54,$B5:I5)</f>
        <v>1689600</v>
      </c>
      <c r="J8" s="110">
        <f>J4+SUMIF($B7:J7,J$54,$B5:J5)</f>
        <v>1689600</v>
      </c>
      <c r="K8" s="110">
        <f>K4+SUMIF($B7:K7,K$54,$B5:K5)</f>
        <v>1757184</v>
      </c>
      <c r="L8" s="110">
        <f>L4+SUMIF($B7:L7,L$54,$B5:L5)</f>
        <v>1757184</v>
      </c>
      <c r="M8" s="110">
        <f>M4+SUMIF($B7:M7,M$54,$B5:M5)</f>
        <v>1757184</v>
      </c>
      <c r="N8" s="110">
        <f>SUM(B8:M8)</f>
        <v>20477952</v>
      </c>
      <c r="O8" s="110">
        <f>O4+SUMIF($B7:O7,O$54,$B5:O5)</f>
        <v>2635776</v>
      </c>
      <c r="P8" s="110">
        <f>P4+SUMIF($B7:P7,P$54,$B5:P5)</f>
        <v>2635776</v>
      </c>
      <c r="Q8" s="110">
        <f>Q4+SUMIF($B7:Q7,Q$54,$B5:Q5)</f>
        <v>2635776</v>
      </c>
      <c r="R8" s="110">
        <f>R4+SUMIF($B7:R7,R$54,$B5:R5)</f>
        <v>2635776</v>
      </c>
      <c r="S8" s="110">
        <f>S4+SUMIF($B7:S7,S$54,$B5:S5)</f>
        <v>2635776</v>
      </c>
      <c r="T8" s="110">
        <f>T4+SUMIF($B7:T7,T$54,$B5:T5)</f>
        <v>2635776</v>
      </c>
      <c r="U8" s="110">
        <f>U4+SUMIF($B7:U7,U$54,$B5:U5)</f>
        <v>2635776</v>
      </c>
      <c r="V8" s="110">
        <f>V4+SUMIF($B7:V7,V$54,$B5:V5)</f>
        <v>2635776</v>
      </c>
      <c r="W8" s="110">
        <f>W4+SUMIF($B7:W7,W$54,$B5:W5)</f>
        <v>2635776</v>
      </c>
      <c r="X8" s="110">
        <f>X4+SUMIF($B7:X7,X$54,$B5:X5)</f>
        <v>2741207.0400000005</v>
      </c>
      <c r="Y8" s="110">
        <f>Y4+SUMIF($B7:Y7,Y$54,$B5:Y5)</f>
        <v>2741207.0400000005</v>
      </c>
      <c r="Z8" s="110">
        <f>Z4+SUMIF($B7:Z7,Z$54,$B5:Z5)</f>
        <v>2741207.0400000005</v>
      </c>
      <c r="AA8" s="110">
        <f>SUM(O8:Z8)</f>
        <v>31945605.119999997</v>
      </c>
      <c r="AB8" s="110">
        <f>AA9+AB3-AB9</f>
        <v>51828549.746688008</v>
      </c>
      <c r="AC8" s="110">
        <f>AB9+AC3-AC9</f>
        <v>80852537.60483329</v>
      </c>
      <c r="AD8" s="110">
        <f>AC9+AD3-AD9</f>
        <v>126129958.66353996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28" customFormat="1" ht="14.25" customHeight="1" x14ac:dyDescent="0.2">
      <c r="A9" s="110" t="s">
        <v>190</v>
      </c>
      <c r="B9" s="110">
        <f>B3-B8</f>
        <v>0</v>
      </c>
      <c r="C9" s="110">
        <f t="shared" ref="C9:M9" si="4">B9+C3-C8</f>
        <v>0</v>
      </c>
      <c r="D9" s="110">
        <f t="shared" si="4"/>
        <v>0</v>
      </c>
      <c r="E9" s="110">
        <f t="shared" si="4"/>
        <v>0</v>
      </c>
      <c r="F9" s="110">
        <f t="shared" si="4"/>
        <v>0</v>
      </c>
      <c r="G9" s="110">
        <f t="shared" si="4"/>
        <v>0</v>
      </c>
      <c r="H9" s="110">
        <f t="shared" si="4"/>
        <v>0</v>
      </c>
      <c r="I9" s="110">
        <f t="shared" si="4"/>
        <v>0</v>
      </c>
      <c r="J9" s="110">
        <f t="shared" si="4"/>
        <v>0</v>
      </c>
      <c r="K9" s="110">
        <f t="shared" si="4"/>
        <v>0</v>
      </c>
      <c r="L9" s="110">
        <f t="shared" si="4"/>
        <v>0</v>
      </c>
      <c r="M9" s="110">
        <f t="shared" si="4"/>
        <v>0</v>
      </c>
      <c r="N9" s="110">
        <f>M9</f>
        <v>0</v>
      </c>
      <c r="O9" s="110">
        <f t="shared" ref="O9:Z9" si="5">N9+O3-O8</f>
        <v>0</v>
      </c>
      <c r="P9" s="110">
        <f t="shared" si="5"/>
        <v>0</v>
      </c>
      <c r="Q9" s="110">
        <f t="shared" si="5"/>
        <v>0</v>
      </c>
      <c r="R9" s="110">
        <f t="shared" si="5"/>
        <v>0</v>
      </c>
      <c r="S9" s="110">
        <f t="shared" si="5"/>
        <v>0</v>
      </c>
      <c r="T9" s="110">
        <f t="shared" si="5"/>
        <v>0</v>
      </c>
      <c r="U9" s="110">
        <f t="shared" si="5"/>
        <v>0</v>
      </c>
      <c r="V9" s="110">
        <f t="shared" si="5"/>
        <v>0</v>
      </c>
      <c r="W9" s="110">
        <f t="shared" si="5"/>
        <v>0</v>
      </c>
      <c r="X9" s="110">
        <f t="shared" si="5"/>
        <v>0</v>
      </c>
      <c r="Y9" s="110">
        <f t="shared" si="5"/>
        <v>0</v>
      </c>
      <c r="Z9" s="110">
        <f t="shared" si="5"/>
        <v>0</v>
      </c>
      <c r="AA9" s="110">
        <f>Z9</f>
        <v>0</v>
      </c>
      <c r="AB9" s="110">
        <f>AB5*AB6/360</f>
        <v>0</v>
      </c>
      <c r="AC9" s="110">
        <f>AC5*AC6/360</f>
        <v>0</v>
      </c>
      <c r="AD9" s="110">
        <f>AD5*AD6/360</f>
        <v>0</v>
      </c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28" customFormat="1" ht="12.75" customHeight="1" x14ac:dyDescent="0.2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02" customFormat="1" ht="15" x14ac:dyDescent="0.25">
      <c r="A11" s="174" t="s">
        <v>99</v>
      </c>
      <c r="B11" s="174">
        <f t="shared" ref="B11:AD11" si="6">B9</f>
        <v>0</v>
      </c>
      <c r="C11" s="174">
        <f t="shared" si="6"/>
        <v>0</v>
      </c>
      <c r="D11" s="174">
        <f t="shared" si="6"/>
        <v>0</v>
      </c>
      <c r="E11" s="174">
        <f t="shared" si="6"/>
        <v>0</v>
      </c>
      <c r="F11" s="174">
        <f t="shared" si="6"/>
        <v>0</v>
      </c>
      <c r="G11" s="174">
        <f t="shared" si="6"/>
        <v>0</v>
      </c>
      <c r="H11" s="174">
        <f t="shared" si="6"/>
        <v>0</v>
      </c>
      <c r="I11" s="174">
        <f t="shared" si="6"/>
        <v>0</v>
      </c>
      <c r="J11" s="174">
        <f t="shared" si="6"/>
        <v>0</v>
      </c>
      <c r="K11" s="174">
        <f t="shared" si="6"/>
        <v>0</v>
      </c>
      <c r="L11" s="174">
        <f t="shared" si="6"/>
        <v>0</v>
      </c>
      <c r="M11" s="174">
        <f t="shared" si="6"/>
        <v>0</v>
      </c>
      <c r="N11" s="174">
        <f t="shared" si="6"/>
        <v>0</v>
      </c>
      <c r="O11" s="174">
        <f t="shared" si="6"/>
        <v>0</v>
      </c>
      <c r="P11" s="174">
        <f t="shared" si="6"/>
        <v>0</v>
      </c>
      <c r="Q11" s="174">
        <f t="shared" si="6"/>
        <v>0</v>
      </c>
      <c r="R11" s="174">
        <f t="shared" si="6"/>
        <v>0</v>
      </c>
      <c r="S11" s="174">
        <f t="shared" si="6"/>
        <v>0</v>
      </c>
      <c r="T11" s="174">
        <f t="shared" si="6"/>
        <v>0</v>
      </c>
      <c r="U11" s="174">
        <f t="shared" si="6"/>
        <v>0</v>
      </c>
      <c r="V11" s="174">
        <f t="shared" si="6"/>
        <v>0</v>
      </c>
      <c r="W11" s="174">
        <f t="shared" si="6"/>
        <v>0</v>
      </c>
      <c r="X11" s="174">
        <f t="shared" si="6"/>
        <v>0</v>
      </c>
      <c r="Y11" s="174">
        <f t="shared" si="6"/>
        <v>0</v>
      </c>
      <c r="Z11" s="174">
        <f t="shared" si="6"/>
        <v>0</v>
      </c>
      <c r="AA11" s="174">
        <f t="shared" si="6"/>
        <v>0</v>
      </c>
      <c r="AB11" s="174">
        <f t="shared" si="6"/>
        <v>0</v>
      </c>
      <c r="AC11" s="174">
        <f t="shared" si="6"/>
        <v>0</v>
      </c>
      <c r="AD11" s="174">
        <f t="shared" si="6"/>
        <v>0</v>
      </c>
    </row>
    <row r="12" spans="1:256" s="174" customFormat="1" ht="15" x14ac:dyDescent="0.25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4" spans="1:256" ht="12.75" customHeight="1" x14ac:dyDescent="0.2">
      <c r="A14" s="186" t="s">
        <v>195</v>
      </c>
      <c r="B14" s="186">
        <f>'Costo de Ventas'!B16</f>
        <v>447744</v>
      </c>
      <c r="C14" s="186">
        <f>'Costo de Ventas'!C16</f>
        <v>447744</v>
      </c>
      <c r="D14" s="186">
        <f>'Costo de Ventas'!D16</f>
        <v>447744</v>
      </c>
      <c r="E14" s="186">
        <f>'Costo de Ventas'!E16</f>
        <v>447744</v>
      </c>
      <c r="F14" s="186">
        <f>'Costo de Ventas'!F16</f>
        <v>447744</v>
      </c>
      <c r="G14" s="186">
        <f>'Costo de Ventas'!G16</f>
        <v>447744</v>
      </c>
      <c r="H14" s="186">
        <f>'Costo de Ventas'!H16</f>
        <v>447744</v>
      </c>
      <c r="I14" s="186">
        <f>'Costo de Ventas'!I16</f>
        <v>447744</v>
      </c>
      <c r="J14" s="186">
        <f>'Costo de Ventas'!J16</f>
        <v>447744</v>
      </c>
      <c r="K14" s="186">
        <f>'Costo de Ventas'!K16</f>
        <v>465653.76000000013</v>
      </c>
      <c r="L14" s="186">
        <f>'Costo de Ventas'!L16</f>
        <v>465653.76000000013</v>
      </c>
      <c r="M14" s="186">
        <f>'Costo de Ventas'!M16</f>
        <v>465653.76000000013</v>
      </c>
      <c r="N14" s="186">
        <f>'Costo de Ventas'!N16</f>
        <v>5426657.2799999993</v>
      </c>
      <c r="O14" s="186">
        <f>'Costo de Ventas'!O16</f>
        <v>2092147.2</v>
      </c>
      <c r="P14" s="186">
        <f>'Costo de Ventas'!P16</f>
        <v>2092147.2</v>
      </c>
      <c r="Q14" s="186">
        <f>'Costo de Ventas'!Q16</f>
        <v>2092147.2</v>
      </c>
      <c r="R14" s="186">
        <f>'Costo de Ventas'!R16</f>
        <v>2092147.2</v>
      </c>
      <c r="S14" s="186">
        <f>'Costo de Ventas'!S16</f>
        <v>2092147.2</v>
      </c>
      <c r="T14" s="186">
        <f>'Costo de Ventas'!T16</f>
        <v>2092147.2</v>
      </c>
      <c r="U14" s="186">
        <f>'Costo de Ventas'!U16</f>
        <v>2092147.2</v>
      </c>
      <c r="V14" s="186">
        <f>'Costo de Ventas'!V16</f>
        <v>2092147.2</v>
      </c>
      <c r="W14" s="186">
        <f>'Costo de Ventas'!W16</f>
        <v>2092147.2</v>
      </c>
      <c r="X14" s="186">
        <f>'Costo de Ventas'!X16</f>
        <v>2175833.088</v>
      </c>
      <c r="Y14" s="186">
        <f>'Costo de Ventas'!Y16</f>
        <v>2175833.088</v>
      </c>
      <c r="Z14" s="186">
        <f>'Costo de Ventas'!Z16</f>
        <v>2175833.088</v>
      </c>
      <c r="AA14" s="186">
        <f>'Costo de Ventas'!AA16</f>
        <v>25356824.063999996</v>
      </c>
      <c r="AB14" s="186">
        <f>'Costo de Ventas'!AB16</f>
        <v>13325547.439226883</v>
      </c>
      <c r="AC14" s="186">
        <f>'Costo de Ventas'!AC16</f>
        <v>20787854.005193938</v>
      </c>
      <c r="AD14" s="186">
        <f>'Costo de Ventas'!AD16</f>
        <v>31327548.803953461</v>
      </c>
    </row>
    <row r="15" spans="1:256" s="59" customFormat="1" ht="12.75" customHeight="1" x14ac:dyDescent="0.2">
      <c r="A15" s="110" t="s">
        <v>54</v>
      </c>
      <c r="B15" s="110">
        <f>'Costo de Ventas'!B23+IF(B17&lt;30,'Costo de Ventas'!B24*(30-B17)/30,0)</f>
        <v>447744</v>
      </c>
      <c r="C15" s="110">
        <f>'Costo de Ventas'!C23+IF(C17&lt;30,'Costo de Ventas'!C24*(30-C17)/30,0)</f>
        <v>447744</v>
      </c>
      <c r="D15" s="110">
        <f>'Costo de Ventas'!D23+IF(D17&lt;30,'Costo de Ventas'!D24*(30-D17)/30,0)</f>
        <v>447744</v>
      </c>
      <c r="E15" s="110">
        <f>'Costo de Ventas'!E23+IF(E17&lt;30,'Costo de Ventas'!E24*(30-E17)/30,0)</f>
        <v>447744</v>
      </c>
      <c r="F15" s="110">
        <f>'Costo de Ventas'!F23+IF(F17&lt;30,'Costo de Ventas'!F24*(30-F17)/30,0)</f>
        <v>447744</v>
      </c>
      <c r="G15" s="110">
        <f>'Costo de Ventas'!G23+IF(G17&lt;30,'Costo de Ventas'!G24*(30-G17)/30,0)</f>
        <v>447744</v>
      </c>
      <c r="H15" s="110">
        <f>'Costo de Ventas'!H23+IF(H17&lt;30,'Costo de Ventas'!H24*(30-H17)/30,0)</f>
        <v>447744</v>
      </c>
      <c r="I15" s="110">
        <f>'Costo de Ventas'!I23+IF(I17&lt;30,'Costo de Ventas'!I24*(30-I17)/30,0)</f>
        <v>447744</v>
      </c>
      <c r="J15" s="110">
        <f>'Costo de Ventas'!J23+IF(J17&lt;30,'Costo de Ventas'!J24*(30-J17)/30,0)</f>
        <v>447744</v>
      </c>
      <c r="K15" s="110">
        <f>'Costo de Ventas'!K23+IF(K17&lt;30,'Costo de Ventas'!K24*(30-K17)/30,0)</f>
        <v>465653.76000000013</v>
      </c>
      <c r="L15" s="110">
        <f>'Costo de Ventas'!L23+IF(L17&lt;30,'Costo de Ventas'!L24*(30-L17)/30,0)</f>
        <v>465653.76000000013</v>
      </c>
      <c r="M15" s="110">
        <f>'Costo de Ventas'!M23+IF(M17&lt;30,'Costo de Ventas'!M24*(30-M17)/30,0)</f>
        <v>465653.76000000013</v>
      </c>
      <c r="N15" s="110">
        <f>SUM(B15:M15)</f>
        <v>5426657.2799999993</v>
      </c>
      <c r="O15" s="110">
        <f>'Costo de Ventas'!O23+IF(O17&lt;30,'Costo de Ventas'!O24*(30-O17)/30,0)</f>
        <v>2092147.2</v>
      </c>
      <c r="P15" s="110">
        <f>'Costo de Ventas'!P23+IF(P17&lt;30,'Costo de Ventas'!P24*(30-P17)/30,0)</f>
        <v>2092147.2</v>
      </c>
      <c r="Q15" s="110">
        <f>'Costo de Ventas'!Q23+IF(Q17&lt;30,'Costo de Ventas'!Q24*(30-Q17)/30,0)</f>
        <v>2092147.2</v>
      </c>
      <c r="R15" s="110">
        <f>'Costo de Ventas'!R23+IF(R17&lt;30,'Costo de Ventas'!R24*(30-R17)/30,0)</f>
        <v>2092147.2</v>
      </c>
      <c r="S15" s="110">
        <f>'Costo de Ventas'!S23+IF(S17&lt;30,'Costo de Ventas'!S24*(30-S17)/30,0)</f>
        <v>2092147.2</v>
      </c>
      <c r="T15" s="110">
        <f>'Costo de Ventas'!T23+IF(T17&lt;30,'Costo de Ventas'!T24*(30-T17)/30,0)</f>
        <v>2092147.2</v>
      </c>
      <c r="U15" s="110">
        <f>'Costo de Ventas'!U23+IF(U17&lt;30,'Costo de Ventas'!U24*(30-U17)/30,0)</f>
        <v>2092147.2</v>
      </c>
      <c r="V15" s="110">
        <f>'Costo de Ventas'!V23+IF(V17&lt;30,'Costo de Ventas'!V24*(30-V17)/30,0)</f>
        <v>2092147.2</v>
      </c>
      <c r="W15" s="110">
        <f>'Costo de Ventas'!W23+IF(W17&lt;30,'Costo de Ventas'!W24*(30-W17)/30,0)</f>
        <v>2092147.2</v>
      </c>
      <c r="X15" s="110">
        <f>'Costo de Ventas'!X23+IF(X17&lt;30,'Costo de Ventas'!X24*(30-X17)/30,0)</f>
        <v>2175833.088</v>
      </c>
      <c r="Y15" s="110">
        <f>'Costo de Ventas'!Y23+IF(Y17&lt;30,'Costo de Ventas'!Y24*(30-Y17)/30,0)</f>
        <v>2175833.088</v>
      </c>
      <c r="Z15" s="110">
        <f>'Costo de Ventas'!Z23+IF(Z17&lt;30,'Costo de Ventas'!Z24*(30-Z17)/30,0)</f>
        <v>2175833.088</v>
      </c>
      <c r="AA15" s="110">
        <f>SUM(O15:Z15)</f>
        <v>25356824.063999996</v>
      </c>
      <c r="AB15" s="110">
        <f>'Costo de Ventas'!AB23</f>
        <v>13325547.439226883</v>
      </c>
      <c r="AC15" s="110">
        <f>'Costo de Ventas'!AC23</f>
        <v>20787854.005193938</v>
      </c>
      <c r="AD15" s="110">
        <f>'Costo de Ventas'!AD23</f>
        <v>31327548.803953461</v>
      </c>
    </row>
    <row r="16" spans="1:256" s="28" customFormat="1" ht="12.75" customHeight="1" x14ac:dyDescent="0.2">
      <c r="A16" s="110" t="s">
        <v>158</v>
      </c>
      <c r="B16" s="110">
        <f>'Costo de Ventas'!B24*IF(B17&lt;30,B17/30,1)</f>
        <v>0</v>
      </c>
      <c r="C16" s="110">
        <f>'Costo de Ventas'!C24*IF(C17&lt;30,C17/30,1)</f>
        <v>0</v>
      </c>
      <c r="D16" s="110">
        <f>'Costo de Ventas'!D24*IF(D17&lt;30,D17/30,1)</f>
        <v>0</v>
      </c>
      <c r="E16" s="110">
        <f>'Costo de Ventas'!E24*IF(E17&lt;30,E17/30,1)</f>
        <v>0</v>
      </c>
      <c r="F16" s="110">
        <f>'Costo de Ventas'!F24*IF(F17&lt;30,F17/30,1)</f>
        <v>0</v>
      </c>
      <c r="G16" s="110">
        <f>'Costo de Ventas'!G24*IF(G17&lt;30,G17/30,1)</f>
        <v>0</v>
      </c>
      <c r="H16" s="110">
        <f>'Costo de Ventas'!H24*IF(H17&lt;30,H17/30,1)</f>
        <v>0</v>
      </c>
      <c r="I16" s="110">
        <f>'Costo de Ventas'!I24*IF(I17&lt;30,I17/30,1)</f>
        <v>0</v>
      </c>
      <c r="J16" s="110">
        <f>'Costo de Ventas'!J24*IF(J17&lt;30,J17/30,1)</f>
        <v>0</v>
      </c>
      <c r="K16" s="110">
        <f>'Costo de Ventas'!K24*IF(K17&lt;30,K17/30,1)</f>
        <v>0</v>
      </c>
      <c r="L16" s="110">
        <f>'Costo de Ventas'!L24*IF(L17&lt;30,L17/30,1)</f>
        <v>0</v>
      </c>
      <c r="M16" s="110">
        <f>'Costo de Ventas'!M24*IF(M17&lt;30,M17/30,1)</f>
        <v>0</v>
      </c>
      <c r="N16" s="110">
        <f>SUM(B16:M16)</f>
        <v>0</v>
      </c>
      <c r="O16" s="110">
        <f>'Costo de Ventas'!O24*IF(O17&lt;30,O17/30,1)</f>
        <v>0</v>
      </c>
      <c r="P16" s="110">
        <f>'Costo de Ventas'!P24*IF(P17&lt;30,P17/30,1)</f>
        <v>0</v>
      </c>
      <c r="Q16" s="110">
        <f>'Costo de Ventas'!Q24*IF(Q17&lt;30,Q17/30,1)</f>
        <v>0</v>
      </c>
      <c r="R16" s="110">
        <f>'Costo de Ventas'!R24*IF(R17&lt;30,R17/30,1)</f>
        <v>0</v>
      </c>
      <c r="S16" s="110">
        <f>'Costo de Ventas'!S24*IF(S17&lt;30,S17/30,1)</f>
        <v>0</v>
      </c>
      <c r="T16" s="110">
        <f>'Costo de Ventas'!T24*IF(T17&lt;30,T17/30,1)</f>
        <v>0</v>
      </c>
      <c r="U16" s="110">
        <f>'Costo de Ventas'!U24*IF(U17&lt;30,U17/30,1)</f>
        <v>0</v>
      </c>
      <c r="V16" s="110">
        <f>'Costo de Ventas'!V24*IF(V17&lt;30,V17/30,1)</f>
        <v>0</v>
      </c>
      <c r="W16" s="110">
        <f>'Costo de Ventas'!W24*IF(W17&lt;30,W17/30,1)</f>
        <v>0</v>
      </c>
      <c r="X16" s="110">
        <f>'Costo de Ventas'!X24*IF(X17&lt;30,X17/30,1)</f>
        <v>0</v>
      </c>
      <c r="Y16" s="110">
        <f>'Costo de Ventas'!Y24*IF(Y17&lt;30,Y17/30,1)</f>
        <v>0</v>
      </c>
      <c r="Z16" s="110">
        <f>'Costo de Ventas'!Z24*IF(Z17&lt;30,Z17/30,1)</f>
        <v>0</v>
      </c>
      <c r="AA16" s="110">
        <f>SUM(O16:Z16)</f>
        <v>0</v>
      </c>
      <c r="AB16" s="110">
        <f>'Costo de Ventas'!AB24</f>
        <v>0</v>
      </c>
      <c r="AC16" s="110">
        <f>'Costo de Ventas'!AC24</f>
        <v>0</v>
      </c>
      <c r="AD16" s="110">
        <f>'Costo de Ventas'!AD24</f>
        <v>0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28" customFormat="1" ht="12.75" customHeight="1" x14ac:dyDescent="0.2">
      <c r="A17" s="110" t="s">
        <v>71</v>
      </c>
      <c r="B17" s="72">
        <f>'Costo de Ventas'!B25</f>
        <v>0</v>
      </c>
      <c r="C17" s="72">
        <f>'Costo de Ventas'!C25</f>
        <v>0</v>
      </c>
      <c r="D17" s="72">
        <f>'Costo de Ventas'!D25</f>
        <v>0</v>
      </c>
      <c r="E17" s="72">
        <f>'Costo de Ventas'!E25</f>
        <v>0</v>
      </c>
      <c r="F17" s="72">
        <f>'Costo de Ventas'!F25</f>
        <v>0</v>
      </c>
      <c r="G17" s="72">
        <f>'Costo de Ventas'!G25</f>
        <v>0</v>
      </c>
      <c r="H17" s="72">
        <f>'Costo de Ventas'!H25</f>
        <v>0</v>
      </c>
      <c r="I17" s="72">
        <f>'Costo de Ventas'!I25</f>
        <v>0</v>
      </c>
      <c r="J17" s="72">
        <f>'Costo de Ventas'!J25</f>
        <v>0</v>
      </c>
      <c r="K17" s="72">
        <f>'Costo de Ventas'!K25</f>
        <v>0</v>
      </c>
      <c r="L17" s="72">
        <f>'Costo de Ventas'!L25</f>
        <v>0</v>
      </c>
      <c r="M17" s="72">
        <f>'Costo de Ventas'!M25</f>
        <v>0</v>
      </c>
      <c r="N17" s="63">
        <f>IF(N16=0,0,N20/N16*360)</f>
        <v>0</v>
      </c>
      <c r="O17" s="72">
        <f>'Costo de Ventas'!O25</f>
        <v>0</v>
      </c>
      <c r="P17" s="72">
        <f>'Costo de Ventas'!P25</f>
        <v>0</v>
      </c>
      <c r="Q17" s="72">
        <f>'Costo de Ventas'!Q25</f>
        <v>0</v>
      </c>
      <c r="R17" s="72">
        <f>'Costo de Ventas'!R25</f>
        <v>0</v>
      </c>
      <c r="S17" s="72">
        <f>'Costo de Ventas'!S25</f>
        <v>0</v>
      </c>
      <c r="T17" s="72">
        <f>'Costo de Ventas'!T25</f>
        <v>0</v>
      </c>
      <c r="U17" s="72">
        <f>'Costo de Ventas'!U25</f>
        <v>0</v>
      </c>
      <c r="V17" s="72">
        <f>'Costo de Ventas'!V25</f>
        <v>0</v>
      </c>
      <c r="W17" s="72">
        <f>'Costo de Ventas'!W25</f>
        <v>0</v>
      </c>
      <c r="X17" s="72">
        <f>'Costo de Ventas'!X25</f>
        <v>0</v>
      </c>
      <c r="Y17" s="72">
        <f>'Costo de Ventas'!Y25</f>
        <v>0</v>
      </c>
      <c r="Z17" s="72">
        <f>'Costo de Ventas'!Z25</f>
        <v>0</v>
      </c>
      <c r="AA17" s="63">
        <f>IF(AA16=0,0,AA20/AA16*360)</f>
        <v>0</v>
      </c>
      <c r="AB17" s="72">
        <f>'Costo de Ventas'!AB25</f>
        <v>0</v>
      </c>
      <c r="AC17" s="72">
        <f>'Costo de Ventas'!AC25</f>
        <v>0</v>
      </c>
      <c r="AD17" s="72">
        <f>'Costo de Ventas'!AD25</f>
        <v>0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28" customFormat="1" ht="12.75" customHeight="1" x14ac:dyDescent="0.2">
      <c r="A18" s="110" t="s">
        <v>236</v>
      </c>
      <c r="B18" s="9">
        <f t="shared" ref="B18:M18" si="7">ROUNDUP(B$54+MAX(1,(B17-15)/30),0)</f>
        <v>2</v>
      </c>
      <c r="C18" s="9">
        <f t="shared" si="7"/>
        <v>3</v>
      </c>
      <c r="D18" s="9">
        <f t="shared" si="7"/>
        <v>4</v>
      </c>
      <c r="E18" s="9">
        <f t="shared" si="7"/>
        <v>5</v>
      </c>
      <c r="F18" s="9">
        <f t="shared" si="7"/>
        <v>6</v>
      </c>
      <c r="G18" s="9">
        <f t="shared" si="7"/>
        <v>7</v>
      </c>
      <c r="H18" s="9">
        <f t="shared" si="7"/>
        <v>8</v>
      </c>
      <c r="I18" s="9">
        <f t="shared" si="7"/>
        <v>9</v>
      </c>
      <c r="J18" s="9">
        <f t="shared" si="7"/>
        <v>10</v>
      </c>
      <c r="K18" s="9">
        <f t="shared" si="7"/>
        <v>11</v>
      </c>
      <c r="L18" s="9">
        <f t="shared" si="7"/>
        <v>12</v>
      </c>
      <c r="M18" s="9">
        <f t="shared" si="7"/>
        <v>13</v>
      </c>
      <c r="N18" s="9"/>
      <c r="O18" s="9">
        <f t="shared" ref="O18:Z18" si="8">ROUNDUP(O$54+MAX(1,(O17-15)/30),0)</f>
        <v>14</v>
      </c>
      <c r="P18" s="9">
        <f t="shared" si="8"/>
        <v>15</v>
      </c>
      <c r="Q18" s="9">
        <f t="shared" si="8"/>
        <v>16</v>
      </c>
      <c r="R18" s="9">
        <f t="shared" si="8"/>
        <v>17</v>
      </c>
      <c r="S18" s="9">
        <f t="shared" si="8"/>
        <v>18</v>
      </c>
      <c r="T18" s="9">
        <f t="shared" si="8"/>
        <v>19</v>
      </c>
      <c r="U18" s="9">
        <f t="shared" si="8"/>
        <v>20</v>
      </c>
      <c r="V18" s="9">
        <f t="shared" si="8"/>
        <v>21</v>
      </c>
      <c r="W18" s="9">
        <f t="shared" si="8"/>
        <v>22</v>
      </c>
      <c r="X18" s="9">
        <f t="shared" si="8"/>
        <v>23</v>
      </c>
      <c r="Y18" s="9">
        <f t="shared" si="8"/>
        <v>24</v>
      </c>
      <c r="Z18" s="9">
        <f t="shared" si="8"/>
        <v>25</v>
      </c>
      <c r="AA18" s="9"/>
      <c r="AB18" s="9"/>
      <c r="AC18" s="9"/>
      <c r="AD18" s="9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28" customFormat="1" ht="12.75" customHeight="1" x14ac:dyDescent="0.2">
      <c r="A19" s="110" t="s">
        <v>148</v>
      </c>
      <c r="B19" s="110">
        <f>B15+SUMIF($B18:B18,B$54,$B16:B16)</f>
        <v>447744</v>
      </c>
      <c r="C19" s="110">
        <f>C15+SUMIF($B18:C18,C$54,$B16:C16)</f>
        <v>447744</v>
      </c>
      <c r="D19" s="110">
        <f>D15+SUMIF($B18:D18,D$54,$B16:D16)</f>
        <v>447744</v>
      </c>
      <c r="E19" s="110">
        <f>E15+SUMIF($B18:E18,E$54,$B16:E16)</f>
        <v>447744</v>
      </c>
      <c r="F19" s="110">
        <f>F15+SUMIF($B18:F18,F$54,$B16:F16)</f>
        <v>447744</v>
      </c>
      <c r="G19" s="110">
        <f>G15+SUMIF($B18:G18,G$54,$B16:G16)</f>
        <v>447744</v>
      </c>
      <c r="H19" s="110">
        <f>H15+SUMIF($B18:H18,H$54,$B16:H16)</f>
        <v>447744</v>
      </c>
      <c r="I19" s="110">
        <f>I15+SUMIF($B18:I18,I$54,$B16:I16)</f>
        <v>447744</v>
      </c>
      <c r="J19" s="110">
        <f>J15+SUMIF($B18:J18,J$54,$B16:J16)</f>
        <v>447744</v>
      </c>
      <c r="K19" s="110">
        <f>K15+SUMIF($B18:K18,K$54,$B16:K16)</f>
        <v>465653.76000000013</v>
      </c>
      <c r="L19" s="110">
        <f>L15+SUMIF($B18:L18,L$54,$B16:L16)</f>
        <v>465653.76000000013</v>
      </c>
      <c r="M19" s="110">
        <f>M15+SUMIF($B18:M18,M$54,$B16:M16)</f>
        <v>465653.76000000013</v>
      </c>
      <c r="N19" s="110">
        <f>SUM(B19:M19)</f>
        <v>5426657.2799999993</v>
      </c>
      <c r="O19" s="110">
        <f>O15+SUMIF($B18:O18,O$54,$B16:O16)</f>
        <v>2092147.2</v>
      </c>
      <c r="P19" s="110">
        <f>P15+SUMIF($B18:P18,P$54,$B16:P16)</f>
        <v>2092147.2</v>
      </c>
      <c r="Q19" s="110">
        <f>Q15+SUMIF($B18:Q18,Q$54,$B16:Q16)</f>
        <v>2092147.2</v>
      </c>
      <c r="R19" s="110">
        <f>R15+SUMIF($B18:R18,R$54,$B16:R16)</f>
        <v>2092147.2</v>
      </c>
      <c r="S19" s="110">
        <f>S15+SUMIF($B18:S18,S$54,$B16:S16)</f>
        <v>2092147.2</v>
      </c>
      <c r="T19" s="110">
        <f>T15+SUMIF($B18:T18,T$54,$B16:T16)</f>
        <v>2092147.2</v>
      </c>
      <c r="U19" s="110">
        <f>U15+SUMIF($B18:U18,U$54,$B16:U16)</f>
        <v>2092147.2</v>
      </c>
      <c r="V19" s="110">
        <f>V15+SUMIF($B18:V18,V$54,$B16:V16)</f>
        <v>2092147.2</v>
      </c>
      <c r="W19" s="110">
        <f>W15+SUMIF($B18:W18,W$54,$B16:W16)</f>
        <v>2092147.2</v>
      </c>
      <c r="X19" s="110">
        <f>X15+SUMIF($B18:X18,X$54,$B16:X16)</f>
        <v>2175833.088</v>
      </c>
      <c r="Y19" s="110">
        <f>Y15+SUMIF($B18:Y18,Y$54,$B16:Y16)</f>
        <v>2175833.088</v>
      </c>
      <c r="Z19" s="110">
        <f>Z15+SUMIF($B18:Z18,Z$54,$B16:Z16)</f>
        <v>2175833.088</v>
      </c>
      <c r="AA19" s="110">
        <f>SUM(O19:Z19)</f>
        <v>25356824.063999996</v>
      </c>
      <c r="AB19" s="110">
        <f>AA20+AB14-AB20</f>
        <v>13325547.439226883</v>
      </c>
      <c r="AC19" s="110">
        <f>AB20+AC14-AC20</f>
        <v>20787854.005193938</v>
      </c>
      <c r="AD19" s="110">
        <f>AC20+AD14-AD20</f>
        <v>31327548.803953461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28" customFormat="1" ht="12.75" customHeight="1" x14ac:dyDescent="0.2">
      <c r="A20" s="110" t="s">
        <v>200</v>
      </c>
      <c r="B20" s="110">
        <f>B14-B19</f>
        <v>0</v>
      </c>
      <c r="C20" s="110">
        <f t="shared" ref="C20:M20" si="9">B20+C14-C19</f>
        <v>0</v>
      </c>
      <c r="D20" s="110">
        <f t="shared" si="9"/>
        <v>0</v>
      </c>
      <c r="E20" s="110">
        <f t="shared" si="9"/>
        <v>0</v>
      </c>
      <c r="F20" s="110">
        <f t="shared" si="9"/>
        <v>0</v>
      </c>
      <c r="G20" s="110">
        <f t="shared" si="9"/>
        <v>0</v>
      </c>
      <c r="H20" s="110">
        <f t="shared" si="9"/>
        <v>0</v>
      </c>
      <c r="I20" s="110">
        <f t="shared" si="9"/>
        <v>0</v>
      </c>
      <c r="J20" s="110">
        <f t="shared" si="9"/>
        <v>0</v>
      </c>
      <c r="K20" s="110">
        <f t="shared" si="9"/>
        <v>0</v>
      </c>
      <c r="L20" s="110">
        <f t="shared" si="9"/>
        <v>0</v>
      </c>
      <c r="M20" s="110">
        <f t="shared" si="9"/>
        <v>0</v>
      </c>
      <c r="N20" s="110">
        <f>M20</f>
        <v>0</v>
      </c>
      <c r="O20" s="110">
        <f t="shared" ref="O20:Z20" si="10">N20+O14-O19</f>
        <v>0</v>
      </c>
      <c r="P20" s="110">
        <f t="shared" si="10"/>
        <v>0</v>
      </c>
      <c r="Q20" s="110">
        <f t="shared" si="10"/>
        <v>0</v>
      </c>
      <c r="R20" s="110">
        <f t="shared" si="10"/>
        <v>0</v>
      </c>
      <c r="S20" s="110">
        <f t="shared" si="10"/>
        <v>0</v>
      </c>
      <c r="T20" s="110">
        <f t="shared" si="10"/>
        <v>0</v>
      </c>
      <c r="U20" s="110">
        <f t="shared" si="10"/>
        <v>0</v>
      </c>
      <c r="V20" s="110">
        <f t="shared" si="10"/>
        <v>0</v>
      </c>
      <c r="W20" s="110">
        <f t="shared" si="10"/>
        <v>0</v>
      </c>
      <c r="X20" s="110">
        <f t="shared" si="10"/>
        <v>0</v>
      </c>
      <c r="Y20" s="110">
        <f t="shared" si="10"/>
        <v>0</v>
      </c>
      <c r="Z20" s="110">
        <f t="shared" si="10"/>
        <v>0</v>
      </c>
      <c r="AA20" s="110">
        <f>Z20</f>
        <v>0</v>
      </c>
      <c r="AB20" s="110">
        <f>AB16*AB17/360</f>
        <v>0</v>
      </c>
      <c r="AC20" s="110">
        <f>AC16*AC17/360</f>
        <v>0</v>
      </c>
      <c r="AD20" s="110">
        <f>AD16*AD17/360</f>
        <v>0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28" customFormat="1" ht="12.75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28" customFormat="1" ht="12.7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2.75" customHeight="1" x14ac:dyDescent="0.2">
      <c r="A23" s="186" t="s">
        <v>173</v>
      </c>
      <c r="B23" s="186">
        <f>'Gastos Fijos'!B15</f>
        <v>105489</v>
      </c>
      <c r="C23" s="186">
        <f>'Gastos Fijos'!C15</f>
        <v>105489</v>
      </c>
      <c r="D23" s="186">
        <f>'Gastos Fijos'!D15</f>
        <v>105489</v>
      </c>
      <c r="E23" s="186">
        <f>'Gastos Fijos'!E15</f>
        <v>105489</v>
      </c>
      <c r="F23" s="186">
        <f>'Gastos Fijos'!F15</f>
        <v>105489</v>
      </c>
      <c r="G23" s="186">
        <f>'Gastos Fijos'!G15</f>
        <v>105489</v>
      </c>
      <c r="H23" s="186">
        <f>'Gastos Fijos'!H15</f>
        <v>105489</v>
      </c>
      <c r="I23" s="186">
        <f>'Gastos Fijos'!I15</f>
        <v>105489</v>
      </c>
      <c r="J23" s="186">
        <f>'Gastos Fijos'!J15</f>
        <v>105489</v>
      </c>
      <c r="K23" s="186">
        <f>'Gastos Fijos'!K15</f>
        <v>107596.56</v>
      </c>
      <c r="L23" s="186">
        <f>'Gastos Fijos'!L15</f>
        <v>107596.56</v>
      </c>
      <c r="M23" s="186">
        <f>'Gastos Fijos'!M15</f>
        <v>107596.56</v>
      </c>
      <c r="N23" s="186">
        <f>'Gastos Fijos'!N15</f>
        <v>1272190.6800000002</v>
      </c>
      <c r="O23" s="186">
        <f>'Gastos Fijos'!O15</f>
        <v>133996.56</v>
      </c>
      <c r="P23" s="186">
        <f>'Gastos Fijos'!P15</f>
        <v>133996.56</v>
      </c>
      <c r="Q23" s="186">
        <f>'Gastos Fijos'!Q15</f>
        <v>133996.56</v>
      </c>
      <c r="R23" s="186">
        <f>'Gastos Fijos'!R15</f>
        <v>133996.56</v>
      </c>
      <c r="S23" s="186">
        <f>'Gastos Fijos'!S15</f>
        <v>133996.56</v>
      </c>
      <c r="T23" s="186">
        <f>'Gastos Fijos'!T15</f>
        <v>133996.56</v>
      </c>
      <c r="U23" s="186">
        <f>'Gastos Fijos'!U15</f>
        <v>133996.56</v>
      </c>
      <c r="V23" s="186">
        <f>'Gastos Fijos'!V15</f>
        <v>133996.56</v>
      </c>
      <c r="W23" s="186">
        <f>'Gastos Fijos'!W15</f>
        <v>133996.56</v>
      </c>
      <c r="X23" s="186">
        <f>'Gastos Fijos'!X15</f>
        <v>136188.42239999998</v>
      </c>
      <c r="Y23" s="186">
        <f>'Gastos Fijos'!Y15</f>
        <v>136188.10239999997</v>
      </c>
      <c r="Z23" s="186">
        <f>'Gastos Fijos'!Z15</f>
        <v>136188.10239999997</v>
      </c>
      <c r="AA23" s="186">
        <f>'Gastos Fijos'!AA15</f>
        <v>1614533.6672000003</v>
      </c>
      <c r="AB23" s="186">
        <f>'Gastos Fijos'!AB15</f>
        <v>2093603.7178880002</v>
      </c>
      <c r="AC23" s="186">
        <f>'Gastos Fijos'!AC15</f>
        <v>2833123.8666035202</v>
      </c>
      <c r="AD23" s="186">
        <f>'Gastos Fijos'!AD15</f>
        <v>3930112.8212676607</v>
      </c>
    </row>
    <row r="24" spans="1:256" ht="12.75" customHeight="1" x14ac:dyDescent="0.2">
      <c r="A24" s="110" t="s">
        <v>54</v>
      </c>
      <c r="B24" s="110">
        <f>'Gastos Fijos'!B20+IF(B26&lt;30,'Gastos Fijos'!B21*(30-B26)/30,0)</f>
        <v>105489</v>
      </c>
      <c r="C24" s="110">
        <f>'Gastos Fijos'!C20+IF(C26&lt;30,'Gastos Fijos'!C21*(30-C26)/30,0)</f>
        <v>105489</v>
      </c>
      <c r="D24" s="110">
        <f>'Gastos Fijos'!D20+IF(D26&lt;30,'Gastos Fijos'!D21*(30-D26)/30,0)</f>
        <v>105489</v>
      </c>
      <c r="E24" s="110">
        <f>'Gastos Fijos'!E20+IF(E26&lt;30,'Gastos Fijos'!E21*(30-E26)/30,0)</f>
        <v>105489</v>
      </c>
      <c r="F24" s="110">
        <f>'Gastos Fijos'!F20+IF(F26&lt;30,'Gastos Fijos'!F21*(30-F26)/30,0)</f>
        <v>105489</v>
      </c>
      <c r="G24" s="110">
        <f>'Gastos Fijos'!G20+IF(G26&lt;30,'Gastos Fijos'!G21*(30-G26)/30,0)</f>
        <v>105489</v>
      </c>
      <c r="H24" s="110">
        <f>'Gastos Fijos'!H20+IF(H26&lt;30,'Gastos Fijos'!H21*(30-H26)/30,0)</f>
        <v>105489</v>
      </c>
      <c r="I24" s="110">
        <f>'Gastos Fijos'!I20+IF(I26&lt;30,'Gastos Fijos'!I21*(30-I26)/30,0)</f>
        <v>105489</v>
      </c>
      <c r="J24" s="110">
        <f>'Gastos Fijos'!J20+IF(J26&lt;30,'Gastos Fijos'!J21*(30-J26)/30,0)</f>
        <v>105489</v>
      </c>
      <c r="K24" s="110">
        <f>'Gastos Fijos'!K20+IF(K26&lt;30,'Gastos Fijos'!K21*(30-K26)/30,0)</f>
        <v>107596.56</v>
      </c>
      <c r="L24" s="110">
        <f>'Gastos Fijos'!L20+IF(L26&lt;30,'Gastos Fijos'!L21*(30-L26)/30,0)</f>
        <v>107596.56</v>
      </c>
      <c r="M24" s="110">
        <f>'Gastos Fijos'!M20+IF(M26&lt;30,'Gastos Fijos'!M21*(30-M26)/30,0)</f>
        <v>107596.56</v>
      </c>
      <c r="N24" s="110">
        <f>SUM(B24:M24)</f>
        <v>1272190.6800000002</v>
      </c>
      <c r="O24" s="110">
        <f>'Gastos Fijos'!O20+IF(O26&lt;30,'Gastos Fijos'!O21*(30-O26)/30,0)</f>
        <v>133996.56</v>
      </c>
      <c r="P24" s="110">
        <f>'Gastos Fijos'!P20+IF(P26&lt;30,'Gastos Fijos'!P21*(30-P26)/30,0)</f>
        <v>133996.56</v>
      </c>
      <c r="Q24" s="110">
        <f>'Gastos Fijos'!Q20+IF(Q26&lt;30,'Gastos Fijos'!Q21*(30-Q26)/30,0)</f>
        <v>133996.56</v>
      </c>
      <c r="R24" s="110">
        <f>'Gastos Fijos'!R20+IF(R26&lt;30,'Gastos Fijos'!R21*(30-R26)/30,0)</f>
        <v>133996.56</v>
      </c>
      <c r="S24" s="110">
        <f>'Gastos Fijos'!S20+IF(S26&lt;30,'Gastos Fijos'!S21*(30-S26)/30,0)</f>
        <v>133996.56</v>
      </c>
      <c r="T24" s="110">
        <f>'Gastos Fijos'!T20+IF(T26&lt;30,'Gastos Fijos'!T21*(30-T26)/30,0)</f>
        <v>133996.56</v>
      </c>
      <c r="U24" s="110">
        <f>'Gastos Fijos'!U20+IF(U26&lt;30,'Gastos Fijos'!U21*(30-U26)/30,0)</f>
        <v>133996.56</v>
      </c>
      <c r="V24" s="110">
        <f>'Gastos Fijos'!V20+IF(V26&lt;30,'Gastos Fijos'!V21*(30-V26)/30,0)</f>
        <v>133996.56</v>
      </c>
      <c r="W24" s="110">
        <f>'Gastos Fijos'!W20+IF(W26&lt;30,'Gastos Fijos'!W21*(30-W26)/30,0)</f>
        <v>133996.56</v>
      </c>
      <c r="X24" s="110">
        <f>'Gastos Fijos'!X20+IF(X26&lt;30,'Gastos Fijos'!X21*(30-X26)/30,0)</f>
        <v>136188.42239999998</v>
      </c>
      <c r="Y24" s="110">
        <f>'Gastos Fijos'!Y20+IF(Y26&lt;30,'Gastos Fijos'!Y21*(30-Y26)/30,0)</f>
        <v>136188.10239999997</v>
      </c>
      <c r="Z24" s="110">
        <f>'Gastos Fijos'!Z20+IF(Z26&lt;30,'Gastos Fijos'!Z21*(30-Z26)/30,0)</f>
        <v>136188.10239999997</v>
      </c>
      <c r="AA24" s="110">
        <f>SUM(O24:Z24)</f>
        <v>1614533.6672000003</v>
      </c>
      <c r="AB24" s="110">
        <f>'Gastos Fijos'!AB20</f>
        <v>2093603.7178880002</v>
      </c>
      <c r="AC24" s="110">
        <f>'Gastos Fijos'!AC20</f>
        <v>2833123.8666035202</v>
      </c>
      <c r="AD24" s="110">
        <f>'Gastos Fijos'!AD20</f>
        <v>3930112.8212676607</v>
      </c>
    </row>
    <row r="25" spans="1:256" s="59" customFormat="1" ht="12.75" customHeight="1" x14ac:dyDescent="0.2">
      <c r="A25" s="110" t="s">
        <v>158</v>
      </c>
      <c r="B25" s="110">
        <f>'Gastos Fijos'!B21*IF(B26&lt;30,B26/30,1)</f>
        <v>0</v>
      </c>
      <c r="C25" s="110">
        <f>'Gastos Fijos'!C21*IF(C26&lt;30,C26/30,1)</f>
        <v>0</v>
      </c>
      <c r="D25" s="110">
        <f>'Gastos Fijos'!D21*IF(D26&lt;30,D26/30,1)</f>
        <v>0</v>
      </c>
      <c r="E25" s="110">
        <f>'Gastos Fijos'!E21*IF(E26&lt;30,E26/30,1)</f>
        <v>0</v>
      </c>
      <c r="F25" s="110">
        <f>'Gastos Fijos'!F21*IF(F26&lt;30,F26/30,1)</f>
        <v>0</v>
      </c>
      <c r="G25" s="110">
        <f>'Gastos Fijos'!G21*IF(G26&lt;30,G26/30,1)</f>
        <v>0</v>
      </c>
      <c r="H25" s="110">
        <f>'Gastos Fijos'!H21*IF(H26&lt;30,H26/30,1)</f>
        <v>0</v>
      </c>
      <c r="I25" s="110">
        <f>'Gastos Fijos'!I21*IF(I26&lt;30,I26/30,1)</f>
        <v>0</v>
      </c>
      <c r="J25" s="110">
        <f>'Gastos Fijos'!J21*IF(J26&lt;30,J26/30,1)</f>
        <v>0</v>
      </c>
      <c r="K25" s="110">
        <f>'Gastos Fijos'!K21*IF(K26&lt;30,K26/30,1)</f>
        <v>0</v>
      </c>
      <c r="L25" s="110">
        <f>'Gastos Fijos'!L21*IF(L26&lt;30,L26/30,1)</f>
        <v>0</v>
      </c>
      <c r="M25" s="110">
        <f>'Gastos Fijos'!M21*IF(M26&lt;30,M26/30,1)</f>
        <v>0</v>
      </c>
      <c r="N25" s="110">
        <f>SUM(B25:M25)</f>
        <v>0</v>
      </c>
      <c r="O25" s="110">
        <f>'Gastos Fijos'!O21*IF(O26&lt;30,O26/30,1)</f>
        <v>0</v>
      </c>
      <c r="P25" s="110">
        <f>'Gastos Fijos'!P21*IF(P26&lt;30,P26/30,1)</f>
        <v>0</v>
      </c>
      <c r="Q25" s="110">
        <f>'Gastos Fijos'!Q21*IF(Q26&lt;30,Q26/30,1)</f>
        <v>0</v>
      </c>
      <c r="R25" s="110">
        <f>'Gastos Fijos'!R21*IF(R26&lt;30,R26/30,1)</f>
        <v>0</v>
      </c>
      <c r="S25" s="110">
        <f>'Gastos Fijos'!S21*IF(S26&lt;30,S26/30,1)</f>
        <v>0</v>
      </c>
      <c r="T25" s="110">
        <f>'Gastos Fijos'!T21*IF(T26&lt;30,T26/30,1)</f>
        <v>0</v>
      </c>
      <c r="U25" s="110">
        <f>'Gastos Fijos'!U21*IF(U26&lt;30,U26/30,1)</f>
        <v>0</v>
      </c>
      <c r="V25" s="110">
        <f>'Gastos Fijos'!V21*IF(V26&lt;30,V26/30,1)</f>
        <v>0</v>
      </c>
      <c r="W25" s="110">
        <f>'Gastos Fijos'!W21*IF(W26&lt;30,W26/30,1)</f>
        <v>0</v>
      </c>
      <c r="X25" s="110">
        <f>'Gastos Fijos'!X21*IF(X26&lt;30,X26/30,1)</f>
        <v>0</v>
      </c>
      <c r="Y25" s="110">
        <f>'Gastos Fijos'!Y21*IF(Y26&lt;30,Y26/30,1)</f>
        <v>0</v>
      </c>
      <c r="Z25" s="110">
        <f>'Gastos Fijos'!Z21*IF(Z26&lt;30,Z26/30,1)</f>
        <v>0</v>
      </c>
      <c r="AA25" s="110">
        <f>SUM(O25:Z25)</f>
        <v>0</v>
      </c>
      <c r="AB25" s="110">
        <f>'Gastos Fijos'!AB21</f>
        <v>0</v>
      </c>
      <c r="AC25" s="110">
        <f>'Gastos Fijos'!AC21</f>
        <v>0</v>
      </c>
      <c r="AD25" s="110">
        <f>'Gastos Fijos'!AD21</f>
        <v>0</v>
      </c>
    </row>
    <row r="26" spans="1:256" s="28" customFormat="1" ht="12.75" customHeight="1" x14ac:dyDescent="0.2">
      <c r="A26" s="110" t="s">
        <v>71</v>
      </c>
      <c r="B26" s="72">
        <f>'Gastos Fijos'!B22</f>
        <v>0</v>
      </c>
      <c r="C26" s="72">
        <f>'Gastos Fijos'!C22</f>
        <v>0</v>
      </c>
      <c r="D26" s="72">
        <f>'Gastos Fijos'!D22</f>
        <v>0</v>
      </c>
      <c r="E26" s="72">
        <f>'Gastos Fijos'!E22</f>
        <v>0</v>
      </c>
      <c r="F26" s="72">
        <f>'Gastos Fijos'!F22</f>
        <v>0</v>
      </c>
      <c r="G26" s="72">
        <f>'Gastos Fijos'!G22</f>
        <v>0</v>
      </c>
      <c r="H26" s="72">
        <f>'Gastos Fijos'!H22</f>
        <v>0</v>
      </c>
      <c r="I26" s="72">
        <f>'Gastos Fijos'!I22</f>
        <v>0</v>
      </c>
      <c r="J26" s="72">
        <f>'Gastos Fijos'!J22</f>
        <v>0</v>
      </c>
      <c r="K26" s="72">
        <f>'Gastos Fijos'!K22</f>
        <v>0</v>
      </c>
      <c r="L26" s="72">
        <f>'Gastos Fijos'!L22</f>
        <v>0</v>
      </c>
      <c r="M26" s="72">
        <f>'Gastos Fijos'!M22</f>
        <v>0</v>
      </c>
      <c r="N26" s="63">
        <f>IF(N25=0,0,N29/N25*360)</f>
        <v>0</v>
      </c>
      <c r="O26" s="72">
        <f>'Gastos Fijos'!O22</f>
        <v>0</v>
      </c>
      <c r="P26" s="72">
        <f>'Gastos Fijos'!P22</f>
        <v>0</v>
      </c>
      <c r="Q26" s="72">
        <f>'Gastos Fijos'!Q22</f>
        <v>0</v>
      </c>
      <c r="R26" s="72">
        <f>'Gastos Fijos'!R22</f>
        <v>0</v>
      </c>
      <c r="S26" s="72">
        <f>'Gastos Fijos'!S22</f>
        <v>0</v>
      </c>
      <c r="T26" s="72">
        <f>'Gastos Fijos'!T22</f>
        <v>0</v>
      </c>
      <c r="U26" s="72">
        <f>'Gastos Fijos'!U22</f>
        <v>0</v>
      </c>
      <c r="V26" s="72">
        <f>'Gastos Fijos'!V22</f>
        <v>0</v>
      </c>
      <c r="W26" s="72">
        <f>'Gastos Fijos'!W22</f>
        <v>0</v>
      </c>
      <c r="X26" s="72">
        <f>'Gastos Fijos'!X22</f>
        <v>0</v>
      </c>
      <c r="Y26" s="72">
        <f>'Gastos Fijos'!Y22</f>
        <v>0</v>
      </c>
      <c r="Z26" s="72">
        <f>'Gastos Fijos'!Z22</f>
        <v>0</v>
      </c>
      <c r="AA26" s="63">
        <f>IF(AA25=0,0,AA29/AA25*360)</f>
        <v>0</v>
      </c>
      <c r="AB26" s="72">
        <f>'Gastos Fijos'!AB22</f>
        <v>0</v>
      </c>
      <c r="AC26" s="72">
        <f>'Gastos Fijos'!AC22</f>
        <v>0</v>
      </c>
      <c r="AD26" s="72">
        <f>'Gastos Fijos'!AD22</f>
        <v>0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28" customFormat="1" ht="12.75" customHeight="1" x14ac:dyDescent="0.2">
      <c r="A27" s="110" t="s">
        <v>236</v>
      </c>
      <c r="B27" s="9">
        <f t="shared" ref="B27:M27" si="11">ROUNDUP(B$54+MAX(1,(B26-15)/30),0)</f>
        <v>2</v>
      </c>
      <c r="C27" s="9">
        <f t="shared" si="11"/>
        <v>3</v>
      </c>
      <c r="D27" s="9">
        <f t="shared" si="11"/>
        <v>4</v>
      </c>
      <c r="E27" s="9">
        <f t="shared" si="11"/>
        <v>5</v>
      </c>
      <c r="F27" s="9">
        <f t="shared" si="11"/>
        <v>6</v>
      </c>
      <c r="G27" s="9">
        <f t="shared" si="11"/>
        <v>7</v>
      </c>
      <c r="H27" s="9">
        <f t="shared" si="11"/>
        <v>8</v>
      </c>
      <c r="I27" s="9">
        <f t="shared" si="11"/>
        <v>9</v>
      </c>
      <c r="J27" s="9">
        <f t="shared" si="11"/>
        <v>10</v>
      </c>
      <c r="K27" s="9">
        <f t="shared" si="11"/>
        <v>11</v>
      </c>
      <c r="L27" s="9">
        <f t="shared" si="11"/>
        <v>12</v>
      </c>
      <c r="M27" s="9">
        <f t="shared" si="11"/>
        <v>13</v>
      </c>
      <c r="N27" s="9"/>
      <c r="O27" s="9">
        <f t="shared" ref="O27:Z27" si="12">ROUNDUP(O$54+MAX(1,(O26-15)/30),0)</f>
        <v>14</v>
      </c>
      <c r="P27" s="9">
        <f t="shared" si="12"/>
        <v>15</v>
      </c>
      <c r="Q27" s="9">
        <f t="shared" si="12"/>
        <v>16</v>
      </c>
      <c r="R27" s="9">
        <f t="shared" si="12"/>
        <v>17</v>
      </c>
      <c r="S27" s="9">
        <f t="shared" si="12"/>
        <v>18</v>
      </c>
      <c r="T27" s="9">
        <f t="shared" si="12"/>
        <v>19</v>
      </c>
      <c r="U27" s="9">
        <f t="shared" si="12"/>
        <v>20</v>
      </c>
      <c r="V27" s="9">
        <f t="shared" si="12"/>
        <v>21</v>
      </c>
      <c r="W27" s="9">
        <f t="shared" si="12"/>
        <v>22</v>
      </c>
      <c r="X27" s="9">
        <f t="shared" si="12"/>
        <v>23</v>
      </c>
      <c r="Y27" s="9">
        <f t="shared" si="12"/>
        <v>24</v>
      </c>
      <c r="Z27" s="9">
        <f t="shared" si="12"/>
        <v>25</v>
      </c>
      <c r="AA27" s="9"/>
      <c r="AB27" s="9"/>
      <c r="AC27" s="9"/>
      <c r="AD27" s="9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28" customFormat="1" ht="12.75" customHeight="1" x14ac:dyDescent="0.2">
      <c r="A28" s="110" t="s">
        <v>148</v>
      </c>
      <c r="B28" s="110">
        <f>B24+SUMIF($B27:B27,B$54,$B25:B25)</f>
        <v>105489</v>
      </c>
      <c r="C28" s="110">
        <f>C24+SUMIF($B27:C27,C$54,$B25:C25)</f>
        <v>105489</v>
      </c>
      <c r="D28" s="110">
        <f>D24+SUMIF($B27:D27,D$54,$B25:D25)</f>
        <v>105489</v>
      </c>
      <c r="E28" s="110">
        <f>E24+SUMIF($B27:E27,E$54,$B25:E25)</f>
        <v>105489</v>
      </c>
      <c r="F28" s="110">
        <f>F24+SUMIF($B27:F27,F$54,$B25:F25)</f>
        <v>105489</v>
      </c>
      <c r="G28" s="110">
        <f>G24+SUMIF($B27:G27,G$54,$B25:G25)</f>
        <v>105489</v>
      </c>
      <c r="H28" s="110">
        <f>H24+SUMIF($B27:H27,H$54,$B25:H25)</f>
        <v>105489</v>
      </c>
      <c r="I28" s="110">
        <f>I24+SUMIF($B27:I27,I$54,$B25:I25)</f>
        <v>105489</v>
      </c>
      <c r="J28" s="110">
        <f>J24+SUMIF($B27:J27,J$54,$B25:J25)</f>
        <v>105489</v>
      </c>
      <c r="K28" s="110">
        <f>K24+SUMIF($B27:K27,K$54,$B25:K25)</f>
        <v>107596.56</v>
      </c>
      <c r="L28" s="110">
        <f>L24+SUMIF($B27:L27,L$54,$B25:L25)</f>
        <v>107596.56</v>
      </c>
      <c r="M28" s="110">
        <f>M24+SUMIF($B27:M27,M$54,$B25:M25)</f>
        <v>107596.56</v>
      </c>
      <c r="N28" s="110">
        <f>SUM(B28:M28)</f>
        <v>1272190.6800000002</v>
      </c>
      <c r="O28" s="110">
        <f>O24+SUMIF($B27:O27,O$54,$B25:O25)</f>
        <v>133996.56</v>
      </c>
      <c r="P28" s="110">
        <f>P24+SUMIF($B27:P27,P$54,$B25:P25)</f>
        <v>133996.56</v>
      </c>
      <c r="Q28" s="110">
        <f>Q24+SUMIF($B27:Q27,Q$54,$B25:Q25)</f>
        <v>133996.56</v>
      </c>
      <c r="R28" s="110">
        <f>R24+SUMIF($B27:R27,R$54,$B25:R25)</f>
        <v>133996.56</v>
      </c>
      <c r="S28" s="110">
        <f>S24+SUMIF($B27:S27,S$54,$B25:S25)</f>
        <v>133996.56</v>
      </c>
      <c r="T28" s="110">
        <f>T24+SUMIF($B27:T27,T$54,$B25:T25)</f>
        <v>133996.56</v>
      </c>
      <c r="U28" s="110">
        <f>U24+SUMIF($B27:U27,U$54,$B25:U25)</f>
        <v>133996.56</v>
      </c>
      <c r="V28" s="110">
        <f>V24+SUMIF($B27:V27,V$54,$B25:V25)</f>
        <v>133996.56</v>
      </c>
      <c r="W28" s="110">
        <f>W24+SUMIF($B27:W27,W$54,$B25:W25)</f>
        <v>133996.56</v>
      </c>
      <c r="X28" s="110">
        <f>X24+SUMIF($B27:X27,X$54,$B25:X25)</f>
        <v>136188.42239999998</v>
      </c>
      <c r="Y28" s="110">
        <f>Y24+SUMIF($B27:Y27,Y$54,$B25:Y25)</f>
        <v>136188.10239999997</v>
      </c>
      <c r="Z28" s="110">
        <f>Z24+SUMIF($B27:Z27,Z$54,$B25:Z25)</f>
        <v>136188.10239999997</v>
      </c>
      <c r="AA28" s="110">
        <f>SUM(O28:Z28)</f>
        <v>1614533.6672000003</v>
      </c>
      <c r="AB28" s="110">
        <f>AA29+AB23-AB29</f>
        <v>2093603.7178880002</v>
      </c>
      <c r="AC28" s="110">
        <f>AB29+AC23-AC29</f>
        <v>2833123.8666035202</v>
      </c>
      <c r="AD28" s="110">
        <f>AC29+AD23-AD29</f>
        <v>3930112.8212676607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28" customFormat="1" ht="12.75" customHeight="1" x14ac:dyDescent="0.2">
      <c r="A29" s="110" t="s">
        <v>200</v>
      </c>
      <c r="B29" s="110">
        <f>B23-B28</f>
        <v>0</v>
      </c>
      <c r="C29" s="110">
        <f t="shared" ref="C29:M29" si="13">B29+C23-C28</f>
        <v>0</v>
      </c>
      <c r="D29" s="110">
        <f t="shared" si="13"/>
        <v>0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 t="shared" si="13"/>
        <v>0</v>
      </c>
      <c r="L29" s="110">
        <f t="shared" si="13"/>
        <v>0</v>
      </c>
      <c r="M29" s="110">
        <f t="shared" si="13"/>
        <v>0</v>
      </c>
      <c r="N29" s="110">
        <f>M29</f>
        <v>0</v>
      </c>
      <c r="O29" s="110">
        <f t="shared" ref="O29:Z29" si="14">N29+O23-O28</f>
        <v>0</v>
      </c>
      <c r="P29" s="110">
        <f t="shared" si="14"/>
        <v>0</v>
      </c>
      <c r="Q29" s="110">
        <f t="shared" si="14"/>
        <v>0</v>
      </c>
      <c r="R29" s="110">
        <f t="shared" si="14"/>
        <v>0</v>
      </c>
      <c r="S29" s="110">
        <f t="shared" si="14"/>
        <v>0</v>
      </c>
      <c r="T29" s="110">
        <f t="shared" si="14"/>
        <v>0</v>
      </c>
      <c r="U29" s="110">
        <f t="shared" si="14"/>
        <v>0</v>
      </c>
      <c r="V29" s="110">
        <f t="shared" si="14"/>
        <v>0</v>
      </c>
      <c r="W29" s="110">
        <f t="shared" si="14"/>
        <v>0</v>
      </c>
      <c r="X29" s="110">
        <f t="shared" si="14"/>
        <v>0</v>
      </c>
      <c r="Y29" s="110">
        <f t="shared" si="14"/>
        <v>0</v>
      </c>
      <c r="Z29" s="110">
        <f t="shared" si="14"/>
        <v>0</v>
      </c>
      <c r="AA29" s="110">
        <f>Z29</f>
        <v>0</v>
      </c>
      <c r="AB29" s="110">
        <f>AB25*AB26/360</f>
        <v>0</v>
      </c>
      <c r="AC29" s="110">
        <f>AC25*AC26/360</f>
        <v>0</v>
      </c>
      <c r="AD29" s="110">
        <f>AD25*AD26/360</f>
        <v>0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28" customFormat="1" ht="12.7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28" customFormat="1" ht="12.75" customHeigh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28" customFormat="1" ht="12.75" customHeight="1" x14ac:dyDescent="0.2">
      <c r="A32" s="186" t="s">
        <v>225</v>
      </c>
      <c r="B32" s="186">
        <f>Salarios!B20</f>
        <v>63765</v>
      </c>
      <c r="C32" s="186">
        <f>Salarios!C20</f>
        <v>63765</v>
      </c>
      <c r="D32" s="186">
        <f>Salarios!D20</f>
        <v>63765</v>
      </c>
      <c r="E32" s="186">
        <f>Salarios!E20</f>
        <v>63765</v>
      </c>
      <c r="F32" s="186">
        <f>Salarios!F20</f>
        <v>63765</v>
      </c>
      <c r="G32" s="186">
        <f>Salarios!G20</f>
        <v>63765</v>
      </c>
      <c r="H32" s="186">
        <f>Salarios!H20</f>
        <v>63765</v>
      </c>
      <c r="I32" s="186">
        <f>Salarios!I20</f>
        <v>63765</v>
      </c>
      <c r="J32" s="186">
        <f>Salarios!J20</f>
        <v>63765</v>
      </c>
      <c r="K32" s="186">
        <f>Salarios!K20</f>
        <v>73329.75</v>
      </c>
      <c r="L32" s="186">
        <f>Salarios!L20</f>
        <v>73329.75</v>
      </c>
      <c r="M32" s="186">
        <f>Salarios!M20</f>
        <v>73329.75</v>
      </c>
      <c r="N32" s="186">
        <f>Salarios!N20</f>
        <v>793874.25</v>
      </c>
      <c r="O32" s="186">
        <f>Salarios!O20</f>
        <v>73329.75</v>
      </c>
      <c r="P32" s="186">
        <f>Salarios!P20</f>
        <v>73329.75</v>
      </c>
      <c r="Q32" s="186">
        <f>Salarios!Q20</f>
        <v>73329.75</v>
      </c>
      <c r="R32" s="186">
        <f>Salarios!R20</f>
        <v>73329.75</v>
      </c>
      <c r="S32" s="186">
        <f>Salarios!S20</f>
        <v>73329.75</v>
      </c>
      <c r="T32" s="186">
        <f>Salarios!T20</f>
        <v>73329.75</v>
      </c>
      <c r="U32" s="186">
        <f>Salarios!U20</f>
        <v>73329.75</v>
      </c>
      <c r="V32" s="186">
        <f>Salarios!V20</f>
        <v>73329.75</v>
      </c>
      <c r="W32" s="186">
        <f>Salarios!W20</f>
        <v>73329.75</v>
      </c>
      <c r="X32" s="186">
        <f>Salarios!X20</f>
        <v>84329.212499999994</v>
      </c>
      <c r="Y32" s="186">
        <f>Salarios!Y20</f>
        <v>84329.212499999994</v>
      </c>
      <c r="Z32" s="186">
        <f>Salarios!Z20</f>
        <v>84329.212499999994</v>
      </c>
      <c r="AA32" s="186">
        <f>Salarios!AA20</f>
        <v>912955.38750000007</v>
      </c>
      <c r="AB32" s="186">
        <f>Salarios!AB20</f>
        <v>1539851.42025</v>
      </c>
      <c r="AC32" s="186">
        <f>Salarios!AC20</f>
        <v>1770829.1332875001</v>
      </c>
      <c r="AD32" s="186">
        <f>Salarios!AD20</f>
        <v>2036453.503280625</v>
      </c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2.75" customHeight="1" x14ac:dyDescent="0.2">
      <c r="A33" s="110" t="s">
        <v>54</v>
      </c>
      <c r="B33" s="110">
        <f>Salarios!B28+IF(B35&lt;30,Salarios!B29*(30-B35)/30,0)</f>
        <v>63765</v>
      </c>
      <c r="C33" s="110">
        <f>Salarios!C28+IF(C35&lt;30,Salarios!C29*(30-C35)/30,0)</f>
        <v>63765</v>
      </c>
      <c r="D33" s="110">
        <f>Salarios!D28+IF(D35&lt;30,Salarios!D29*(30-D35)/30,0)</f>
        <v>63765</v>
      </c>
      <c r="E33" s="110">
        <f>Salarios!E28+IF(E35&lt;30,Salarios!E29*(30-E35)/30,0)</f>
        <v>63765</v>
      </c>
      <c r="F33" s="110">
        <f>Salarios!F28+IF(F35&lt;30,Salarios!F29*(30-F35)/30,0)</f>
        <v>63765</v>
      </c>
      <c r="G33" s="110">
        <f>Salarios!G28+IF(G35&lt;30,Salarios!G29*(30-G35)/30,0)</f>
        <v>63765</v>
      </c>
      <c r="H33" s="110">
        <f>Salarios!H28+IF(H35&lt;30,Salarios!H29*(30-H35)/30,0)</f>
        <v>63765</v>
      </c>
      <c r="I33" s="110">
        <f>Salarios!I28+IF(I35&lt;30,Salarios!I29*(30-I35)/30,0)</f>
        <v>63765</v>
      </c>
      <c r="J33" s="110">
        <f>Salarios!J28+IF(J35&lt;30,Salarios!J29*(30-J35)/30,0)</f>
        <v>63765</v>
      </c>
      <c r="K33" s="110">
        <f>Salarios!K28+IF(K35&lt;30,Salarios!K29*(30-K35)/30,0)</f>
        <v>73329.75</v>
      </c>
      <c r="L33" s="110">
        <f>Salarios!L28+IF(L35&lt;30,Salarios!L29*(30-L35)/30,0)</f>
        <v>73329.75</v>
      </c>
      <c r="M33" s="110">
        <f>Salarios!M28+IF(M35&lt;30,Salarios!M29*(30-M35)/30,0)</f>
        <v>73329.75</v>
      </c>
      <c r="N33" s="110">
        <f>SUM(B33:M33)</f>
        <v>793874.25</v>
      </c>
      <c r="O33" s="110">
        <f>Salarios!O28+IF(O35&lt;30,Salarios!O29*(30-O35)/30,0)</f>
        <v>73329.75</v>
      </c>
      <c r="P33" s="110">
        <f>Salarios!P28+IF(P35&lt;30,Salarios!P29*(30-P35)/30,0)</f>
        <v>73329.75</v>
      </c>
      <c r="Q33" s="110">
        <f>Salarios!Q28+IF(Q35&lt;30,Salarios!Q29*(30-Q35)/30,0)</f>
        <v>73329.75</v>
      </c>
      <c r="R33" s="110">
        <f>Salarios!R28+IF(R35&lt;30,Salarios!R29*(30-R35)/30,0)</f>
        <v>73329.75</v>
      </c>
      <c r="S33" s="110">
        <f>Salarios!S28+IF(S35&lt;30,Salarios!S29*(30-S35)/30,0)</f>
        <v>73329.75</v>
      </c>
      <c r="T33" s="110">
        <f>Salarios!T28+IF(T35&lt;30,Salarios!T29*(30-T35)/30,0)</f>
        <v>73329.75</v>
      </c>
      <c r="U33" s="110">
        <f>Salarios!U28+IF(U35&lt;30,Salarios!U29*(30-U35)/30,0)</f>
        <v>73329.75</v>
      </c>
      <c r="V33" s="110">
        <f>Salarios!V28+IF(V35&lt;30,Salarios!V29*(30-V35)/30,0)</f>
        <v>73329.75</v>
      </c>
      <c r="W33" s="110">
        <f>Salarios!W28+IF(W35&lt;30,Salarios!W29*(30-W35)/30,0)</f>
        <v>73329.75</v>
      </c>
      <c r="X33" s="110">
        <f>Salarios!X28+IF(X35&lt;30,Salarios!X29*(30-X35)/30,0)</f>
        <v>84329.212499999994</v>
      </c>
      <c r="Y33" s="110">
        <f>Salarios!Y28+IF(Y35&lt;30,Salarios!Y29*(30-Y35)/30,0)</f>
        <v>84329.212499999994</v>
      </c>
      <c r="Z33" s="110">
        <f>Salarios!Z28+IF(Z35&lt;30,Salarios!Z29*(30-Z35)/30,0)</f>
        <v>84329.212499999994</v>
      </c>
      <c r="AA33" s="110">
        <f>SUM(O33:Z33)</f>
        <v>912955.38750000007</v>
      </c>
      <c r="AB33" s="110">
        <f>Salarios!AB28</f>
        <v>1539851.42025</v>
      </c>
      <c r="AC33" s="110">
        <f>Salarios!AC28</f>
        <v>1770829.1332875001</v>
      </c>
      <c r="AD33" s="110">
        <f>Salarios!AD28</f>
        <v>2036453.503280625</v>
      </c>
    </row>
    <row r="34" spans="1:256" ht="12.75" customHeight="1" x14ac:dyDescent="0.2">
      <c r="A34" s="110" t="s">
        <v>158</v>
      </c>
      <c r="B34" s="110">
        <f>Salarios!B29*IF(B35&lt;30,B35/30,1)</f>
        <v>0</v>
      </c>
      <c r="C34" s="110">
        <f>Salarios!C29*IF(C35&lt;30,C35/30,1)</f>
        <v>0</v>
      </c>
      <c r="D34" s="110">
        <f>Salarios!D29*IF(D35&lt;30,D35/30,1)</f>
        <v>0</v>
      </c>
      <c r="E34" s="110">
        <f>Salarios!E29*IF(E35&lt;30,E35/30,1)</f>
        <v>0</v>
      </c>
      <c r="F34" s="110">
        <f>Salarios!F29*IF(F35&lt;30,F35/30,1)</f>
        <v>0</v>
      </c>
      <c r="G34" s="110">
        <f>Salarios!G29*IF(G35&lt;30,G35/30,1)</f>
        <v>0</v>
      </c>
      <c r="H34" s="110">
        <f>Salarios!H29*IF(H35&lt;30,H35/30,1)</f>
        <v>0</v>
      </c>
      <c r="I34" s="110">
        <f>Salarios!I29*IF(I35&lt;30,I35/30,1)</f>
        <v>0</v>
      </c>
      <c r="J34" s="110">
        <f>Salarios!J29*IF(J35&lt;30,J35/30,1)</f>
        <v>0</v>
      </c>
      <c r="K34" s="110">
        <f>Salarios!K29*IF(K35&lt;30,K35/30,1)</f>
        <v>0</v>
      </c>
      <c r="L34" s="110">
        <f>Salarios!L29*IF(L35&lt;30,L35/30,1)</f>
        <v>0</v>
      </c>
      <c r="M34" s="110">
        <f>Salarios!M29*IF(M35&lt;30,M35/30,1)</f>
        <v>0</v>
      </c>
      <c r="N34" s="110">
        <f>SUM(B34:M34)</f>
        <v>0</v>
      </c>
      <c r="O34" s="110">
        <f>Salarios!O29*IF(O35&lt;30,O35/30,1)</f>
        <v>0</v>
      </c>
      <c r="P34" s="110">
        <f>Salarios!P29*IF(P35&lt;30,P35/30,1)</f>
        <v>0</v>
      </c>
      <c r="Q34" s="110">
        <f>Salarios!Q29*IF(Q35&lt;30,Q35/30,1)</f>
        <v>0</v>
      </c>
      <c r="R34" s="110">
        <f>Salarios!R29*IF(R35&lt;30,R35/30,1)</f>
        <v>0</v>
      </c>
      <c r="S34" s="110">
        <f>Salarios!S29*IF(S35&lt;30,S35/30,1)</f>
        <v>0</v>
      </c>
      <c r="T34" s="110">
        <f>Salarios!T29*IF(T35&lt;30,T35/30,1)</f>
        <v>0</v>
      </c>
      <c r="U34" s="110">
        <f>Salarios!U29*IF(U35&lt;30,U35/30,1)</f>
        <v>0</v>
      </c>
      <c r="V34" s="110">
        <f>Salarios!V29*IF(V35&lt;30,V35/30,1)</f>
        <v>0</v>
      </c>
      <c r="W34" s="110">
        <f>Salarios!W29*IF(W35&lt;30,W35/30,1)</f>
        <v>0</v>
      </c>
      <c r="X34" s="110">
        <f>Salarios!X29*IF(X35&lt;30,X35/30,1)</f>
        <v>0</v>
      </c>
      <c r="Y34" s="110">
        <f>Salarios!Y29*IF(Y35&lt;30,Y35/30,1)</f>
        <v>0</v>
      </c>
      <c r="Z34" s="110">
        <f>Salarios!Z29*IF(Z35&lt;30,Z35/30,1)</f>
        <v>0</v>
      </c>
      <c r="AA34" s="110">
        <f>SUM(O34:Z34)</f>
        <v>0</v>
      </c>
      <c r="AB34" s="110">
        <f>Salarios!AB29</f>
        <v>0</v>
      </c>
      <c r="AC34" s="110">
        <f>Salarios!AC29</f>
        <v>0</v>
      </c>
      <c r="AD34" s="110">
        <f>Salarios!AD29</f>
        <v>0</v>
      </c>
    </row>
    <row r="35" spans="1:256" s="59" customFormat="1" ht="12.75" customHeight="1" x14ac:dyDescent="0.2">
      <c r="A35" s="110" t="s">
        <v>71</v>
      </c>
      <c r="B35" s="72">
        <f>Salarios!B30</f>
        <v>0</v>
      </c>
      <c r="C35" s="72">
        <f>Salarios!C30</f>
        <v>0</v>
      </c>
      <c r="D35" s="72">
        <f>Salarios!D30</f>
        <v>0</v>
      </c>
      <c r="E35" s="72">
        <f>Salarios!E30</f>
        <v>0</v>
      </c>
      <c r="F35" s="72">
        <f>Salarios!F30</f>
        <v>0</v>
      </c>
      <c r="G35" s="72">
        <f>Salarios!G30</f>
        <v>0</v>
      </c>
      <c r="H35" s="72">
        <f>Salarios!H30</f>
        <v>0</v>
      </c>
      <c r="I35" s="72">
        <f>Salarios!I30</f>
        <v>0</v>
      </c>
      <c r="J35" s="72">
        <f>Salarios!J30</f>
        <v>0</v>
      </c>
      <c r="K35" s="72">
        <f>Salarios!K30</f>
        <v>0</v>
      </c>
      <c r="L35" s="72">
        <f>Salarios!L30</f>
        <v>0</v>
      </c>
      <c r="M35" s="72">
        <f>Salarios!M30</f>
        <v>0</v>
      </c>
      <c r="N35" s="63">
        <f>IF(N34=0,0,N38/N34*360)</f>
        <v>0</v>
      </c>
      <c r="O35" s="72">
        <f>Salarios!O30</f>
        <v>0</v>
      </c>
      <c r="P35" s="72">
        <f>Salarios!P30</f>
        <v>0</v>
      </c>
      <c r="Q35" s="72">
        <f>Salarios!Q30</f>
        <v>0</v>
      </c>
      <c r="R35" s="72">
        <f>Salarios!R30</f>
        <v>0</v>
      </c>
      <c r="S35" s="72">
        <f>Salarios!S30</f>
        <v>0</v>
      </c>
      <c r="T35" s="72">
        <f>Salarios!T30</f>
        <v>0</v>
      </c>
      <c r="U35" s="72">
        <f>Salarios!U30</f>
        <v>0</v>
      </c>
      <c r="V35" s="72">
        <f>Salarios!V30</f>
        <v>0</v>
      </c>
      <c r="W35" s="72">
        <f>Salarios!W30</f>
        <v>0</v>
      </c>
      <c r="X35" s="72">
        <f>Salarios!X30</f>
        <v>0</v>
      </c>
      <c r="Y35" s="72">
        <f>Salarios!Y30</f>
        <v>0</v>
      </c>
      <c r="Z35" s="72">
        <f>Salarios!Z30</f>
        <v>0</v>
      </c>
      <c r="AA35" s="63">
        <f>IF(AA34=0,0,AA38/AA34*360)</f>
        <v>0</v>
      </c>
      <c r="AB35" s="72">
        <f>Salarios!AB30</f>
        <v>0</v>
      </c>
      <c r="AC35" s="72">
        <f>Salarios!AC30</f>
        <v>0</v>
      </c>
      <c r="AD35" s="72">
        <f>Salarios!AD30</f>
        <v>0</v>
      </c>
    </row>
    <row r="36" spans="1:256" s="28" customFormat="1" ht="12.75" customHeight="1" x14ac:dyDescent="0.2">
      <c r="A36" s="110" t="s">
        <v>236</v>
      </c>
      <c r="B36" s="9">
        <f t="shared" ref="B36:M36" si="15">ROUNDUP(B$54+MAX(1,(B35-15)/30),0)</f>
        <v>2</v>
      </c>
      <c r="C36" s="9">
        <f t="shared" si="15"/>
        <v>3</v>
      </c>
      <c r="D36" s="9">
        <f t="shared" si="15"/>
        <v>4</v>
      </c>
      <c r="E36" s="9">
        <f t="shared" si="15"/>
        <v>5</v>
      </c>
      <c r="F36" s="9">
        <f t="shared" si="15"/>
        <v>6</v>
      </c>
      <c r="G36" s="9">
        <f t="shared" si="15"/>
        <v>7</v>
      </c>
      <c r="H36" s="9">
        <f t="shared" si="15"/>
        <v>8</v>
      </c>
      <c r="I36" s="9">
        <f t="shared" si="15"/>
        <v>9</v>
      </c>
      <c r="J36" s="9">
        <f t="shared" si="15"/>
        <v>10</v>
      </c>
      <c r="K36" s="9">
        <f t="shared" si="15"/>
        <v>11</v>
      </c>
      <c r="L36" s="9">
        <f t="shared" si="15"/>
        <v>12</v>
      </c>
      <c r="M36" s="9">
        <f t="shared" si="15"/>
        <v>13</v>
      </c>
      <c r="N36" s="9"/>
      <c r="O36" s="9">
        <f t="shared" ref="O36:Z36" si="16">ROUNDUP(O$54+MAX(1,(O35-15)/30),0)</f>
        <v>14</v>
      </c>
      <c r="P36" s="9">
        <f t="shared" si="16"/>
        <v>15</v>
      </c>
      <c r="Q36" s="9">
        <f t="shared" si="16"/>
        <v>16</v>
      </c>
      <c r="R36" s="9">
        <f t="shared" si="16"/>
        <v>17</v>
      </c>
      <c r="S36" s="9">
        <f t="shared" si="16"/>
        <v>18</v>
      </c>
      <c r="T36" s="9">
        <f t="shared" si="16"/>
        <v>19</v>
      </c>
      <c r="U36" s="9">
        <f t="shared" si="16"/>
        <v>20</v>
      </c>
      <c r="V36" s="9">
        <f t="shared" si="16"/>
        <v>21</v>
      </c>
      <c r="W36" s="9">
        <f t="shared" si="16"/>
        <v>22</v>
      </c>
      <c r="X36" s="9">
        <f t="shared" si="16"/>
        <v>23</v>
      </c>
      <c r="Y36" s="9">
        <f t="shared" si="16"/>
        <v>24</v>
      </c>
      <c r="Z36" s="9">
        <f t="shared" si="16"/>
        <v>25</v>
      </c>
      <c r="AA36" s="9"/>
      <c r="AB36" s="9"/>
      <c r="AC36" s="9"/>
      <c r="AD36" s="9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s="28" customFormat="1" ht="12.75" customHeight="1" x14ac:dyDescent="0.2">
      <c r="A37" s="110" t="s">
        <v>148</v>
      </c>
      <c r="B37" s="110">
        <f>B33+SUMIF($B36:B36,B$54,$B34:B34)</f>
        <v>63765</v>
      </c>
      <c r="C37" s="110">
        <f>C33+SUMIF($B36:C36,C$54,$B34:C34)</f>
        <v>63765</v>
      </c>
      <c r="D37" s="110">
        <f>D33+SUMIF($B36:D36,D$54,$B34:D34)</f>
        <v>63765</v>
      </c>
      <c r="E37" s="110">
        <f>E33+SUMIF($B36:E36,E$54,$B34:E34)</f>
        <v>63765</v>
      </c>
      <c r="F37" s="110">
        <f>F33+SUMIF($B36:F36,F$54,$B34:F34)</f>
        <v>63765</v>
      </c>
      <c r="G37" s="110">
        <f>G33+SUMIF($B36:G36,G$54,$B34:G34)</f>
        <v>63765</v>
      </c>
      <c r="H37" s="110">
        <f>H33+SUMIF($B36:H36,H$54,$B34:H34)</f>
        <v>63765</v>
      </c>
      <c r="I37" s="110">
        <f>I33+SUMIF($B36:I36,I$54,$B34:I34)</f>
        <v>63765</v>
      </c>
      <c r="J37" s="110">
        <f>J33+SUMIF($B36:J36,J$54,$B34:J34)</f>
        <v>63765</v>
      </c>
      <c r="K37" s="110">
        <f>K33+SUMIF($B36:K36,K$54,$B34:K34)</f>
        <v>73329.75</v>
      </c>
      <c r="L37" s="110">
        <f>L33+SUMIF($B36:L36,L$54,$B34:L34)</f>
        <v>73329.75</v>
      </c>
      <c r="M37" s="110">
        <f>M33+SUMIF($B36:M36,M$54,$B34:M34)</f>
        <v>73329.75</v>
      </c>
      <c r="N37" s="110">
        <f>SUM(B37:M37)</f>
        <v>793874.25</v>
      </c>
      <c r="O37" s="110">
        <f>O33+SUMIF($B36:O36,O$54,$B34:O34)</f>
        <v>73329.75</v>
      </c>
      <c r="P37" s="110">
        <f>P33+SUMIF($B36:P36,P$54,$B34:P34)</f>
        <v>73329.75</v>
      </c>
      <c r="Q37" s="110">
        <f>Q33+SUMIF($B36:Q36,Q$54,$B34:Q34)</f>
        <v>73329.75</v>
      </c>
      <c r="R37" s="110">
        <f>R33+SUMIF($B36:R36,R$54,$B34:R34)</f>
        <v>73329.75</v>
      </c>
      <c r="S37" s="110">
        <f>S33+SUMIF($B36:S36,S$54,$B34:S34)</f>
        <v>73329.75</v>
      </c>
      <c r="T37" s="110">
        <f>T33+SUMIF($B36:T36,T$54,$B34:T34)</f>
        <v>73329.75</v>
      </c>
      <c r="U37" s="110">
        <f>U33+SUMIF($B36:U36,U$54,$B34:U34)</f>
        <v>73329.75</v>
      </c>
      <c r="V37" s="110">
        <f>V33+SUMIF($B36:V36,V$54,$B34:V34)</f>
        <v>73329.75</v>
      </c>
      <c r="W37" s="110">
        <f>W33+SUMIF($B36:W36,W$54,$B34:W34)</f>
        <v>73329.75</v>
      </c>
      <c r="X37" s="110">
        <f>X33+SUMIF($B36:X36,X$54,$B34:X34)</f>
        <v>84329.212499999994</v>
      </c>
      <c r="Y37" s="110">
        <f>Y33+SUMIF($B36:Y36,Y$54,$B34:Y34)</f>
        <v>84329.212499999994</v>
      </c>
      <c r="Z37" s="110">
        <f>Z33+SUMIF($B36:Z36,Z$54,$B34:Z34)</f>
        <v>84329.212499999994</v>
      </c>
      <c r="AA37" s="110">
        <f>SUM(O37:Z37)</f>
        <v>912955.38750000007</v>
      </c>
      <c r="AB37" s="110">
        <f>AA38+AB32-AB38</f>
        <v>1539851.42025</v>
      </c>
      <c r="AC37" s="110">
        <f>AB38+AC32-AC38</f>
        <v>1770829.1332875001</v>
      </c>
      <c r="AD37" s="110">
        <f>AC38+AD32-AD38</f>
        <v>2036453.503280625</v>
      </c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s="28" customFormat="1" ht="12.75" customHeight="1" x14ac:dyDescent="0.2">
      <c r="A38" s="110" t="s">
        <v>200</v>
      </c>
      <c r="B38" s="110">
        <f>B32-B37</f>
        <v>0</v>
      </c>
      <c r="C38" s="110">
        <f t="shared" ref="C38:M38" si="17">B38+C32-C37</f>
        <v>0</v>
      </c>
      <c r="D38" s="110">
        <f t="shared" si="17"/>
        <v>0</v>
      </c>
      <c r="E38" s="110">
        <f t="shared" si="17"/>
        <v>0</v>
      </c>
      <c r="F38" s="110">
        <f t="shared" si="17"/>
        <v>0</v>
      </c>
      <c r="G38" s="110">
        <f t="shared" si="17"/>
        <v>0</v>
      </c>
      <c r="H38" s="110">
        <f t="shared" si="17"/>
        <v>0</v>
      </c>
      <c r="I38" s="110">
        <f t="shared" si="17"/>
        <v>0</v>
      </c>
      <c r="J38" s="110">
        <f t="shared" si="17"/>
        <v>0</v>
      </c>
      <c r="K38" s="110">
        <f t="shared" si="17"/>
        <v>0</v>
      </c>
      <c r="L38" s="110">
        <f t="shared" si="17"/>
        <v>0</v>
      </c>
      <c r="M38" s="110">
        <f t="shared" si="17"/>
        <v>0</v>
      </c>
      <c r="N38" s="110">
        <f>M38</f>
        <v>0</v>
      </c>
      <c r="O38" s="110">
        <f t="shared" ref="O38:Z38" si="18">N38+O32-O37</f>
        <v>0</v>
      </c>
      <c r="P38" s="110">
        <f t="shared" si="18"/>
        <v>0</v>
      </c>
      <c r="Q38" s="110">
        <f t="shared" si="18"/>
        <v>0</v>
      </c>
      <c r="R38" s="110">
        <f t="shared" si="18"/>
        <v>0</v>
      </c>
      <c r="S38" s="110">
        <f t="shared" si="18"/>
        <v>0</v>
      </c>
      <c r="T38" s="110">
        <f t="shared" si="18"/>
        <v>0</v>
      </c>
      <c r="U38" s="110">
        <f t="shared" si="18"/>
        <v>0</v>
      </c>
      <c r="V38" s="110">
        <f t="shared" si="18"/>
        <v>0</v>
      </c>
      <c r="W38" s="110">
        <f t="shared" si="18"/>
        <v>0</v>
      </c>
      <c r="X38" s="110">
        <f t="shared" si="18"/>
        <v>0</v>
      </c>
      <c r="Y38" s="110">
        <f t="shared" si="18"/>
        <v>0</v>
      </c>
      <c r="Z38" s="110">
        <f t="shared" si="18"/>
        <v>0</v>
      </c>
      <c r="AA38" s="110">
        <f>Z38</f>
        <v>0</v>
      </c>
      <c r="AB38" s="110">
        <f>AB34*AB35/360</f>
        <v>0</v>
      </c>
      <c r="AC38" s="110">
        <f>AC34*AC35/360</f>
        <v>0</v>
      </c>
      <c r="AD38" s="110">
        <f>AD34*AD35/360</f>
        <v>0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s="28" customFormat="1" ht="12.75" customHeigh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s="28" customFormat="1" ht="12.7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s="28" customFormat="1" ht="12.75" customHeight="1" x14ac:dyDescent="0.2">
      <c r="A41" s="186" t="s">
        <v>24</v>
      </c>
      <c r="B41" s="186">
        <f>Inversiones!B17</f>
        <v>775000</v>
      </c>
      <c r="C41" s="186">
        <f>Inversiones!C17</f>
        <v>0</v>
      </c>
      <c r="D41" s="186">
        <f>Inversiones!D17</f>
        <v>0</v>
      </c>
      <c r="E41" s="186">
        <f>Inversiones!E17</f>
        <v>0</v>
      </c>
      <c r="F41" s="186">
        <f>Inversiones!F17</f>
        <v>0</v>
      </c>
      <c r="G41" s="186">
        <f>Inversiones!G17</f>
        <v>0</v>
      </c>
      <c r="H41" s="186">
        <f>Inversiones!H17</f>
        <v>0</v>
      </c>
      <c r="I41" s="186">
        <f>Inversiones!I17</f>
        <v>0</v>
      </c>
      <c r="J41" s="186">
        <f>Inversiones!J17</f>
        <v>0</v>
      </c>
      <c r="K41" s="186">
        <f>Inversiones!K17</f>
        <v>0</v>
      </c>
      <c r="L41" s="186">
        <f>Inversiones!L17</f>
        <v>0</v>
      </c>
      <c r="M41" s="186">
        <f>Inversiones!M17</f>
        <v>0</v>
      </c>
      <c r="N41" s="186">
        <f>Inversiones!N17</f>
        <v>775000</v>
      </c>
      <c r="O41" s="186">
        <f>Inversiones!O17</f>
        <v>0</v>
      </c>
      <c r="P41" s="186">
        <f>Inversiones!P17</f>
        <v>0</v>
      </c>
      <c r="Q41" s="186">
        <f>Inversiones!Q17</f>
        <v>0</v>
      </c>
      <c r="R41" s="186">
        <f>Inversiones!R17</f>
        <v>0</v>
      </c>
      <c r="S41" s="186">
        <f>Inversiones!S17</f>
        <v>0</v>
      </c>
      <c r="T41" s="186">
        <f>Inversiones!T17</f>
        <v>0</v>
      </c>
      <c r="U41" s="186">
        <f>Inversiones!U17</f>
        <v>0</v>
      </c>
      <c r="V41" s="186">
        <f>Inversiones!V17</f>
        <v>0</v>
      </c>
      <c r="W41" s="186">
        <f>Inversiones!W17</f>
        <v>0</v>
      </c>
      <c r="X41" s="186">
        <f>Inversiones!X17</f>
        <v>0</v>
      </c>
      <c r="Y41" s="186">
        <f>Inversiones!Y17</f>
        <v>0</v>
      </c>
      <c r="Z41" s="186">
        <f>Inversiones!Z17</f>
        <v>0</v>
      </c>
      <c r="AA41" s="186">
        <f>Inversiones!AA17</f>
        <v>0</v>
      </c>
      <c r="AB41" s="186">
        <f>Inversiones!AB17</f>
        <v>0</v>
      </c>
      <c r="AC41" s="186">
        <f>Inversiones!AC17</f>
        <v>0</v>
      </c>
      <c r="AD41" s="186">
        <f>Inversiones!AD17</f>
        <v>0</v>
      </c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s="28" customFormat="1" ht="12.75" customHeight="1" x14ac:dyDescent="0.2">
      <c r="A42" s="110" t="s">
        <v>54</v>
      </c>
      <c r="B42" s="110">
        <f>Inversiones!B37+IF(B44&lt;30,Inversiones!B38*(30-B44)/30,0)</f>
        <v>775000</v>
      </c>
      <c r="C42" s="110">
        <f>Inversiones!C37+IF(C44&lt;30,Inversiones!C38*(30-C44)/30,0)</f>
        <v>0</v>
      </c>
      <c r="D42" s="110">
        <f>Inversiones!D37+IF(D44&lt;30,Inversiones!D38*(30-D44)/30,0)</f>
        <v>0</v>
      </c>
      <c r="E42" s="110">
        <f>Inversiones!E37+IF(E44&lt;30,Inversiones!E38*(30-E44)/30,0)</f>
        <v>0</v>
      </c>
      <c r="F42" s="110">
        <f>Inversiones!F37+IF(F44&lt;30,Inversiones!F38*(30-F44)/30,0)</f>
        <v>0</v>
      </c>
      <c r="G42" s="110">
        <f>Inversiones!G37+IF(G44&lt;30,Inversiones!G38*(30-G44)/30,0)</f>
        <v>0</v>
      </c>
      <c r="H42" s="110">
        <f>Inversiones!H37+IF(H44&lt;30,Inversiones!H38*(30-H44)/30,0)</f>
        <v>0</v>
      </c>
      <c r="I42" s="110">
        <f>Inversiones!I37+IF(I44&lt;30,Inversiones!I38*(30-I44)/30,0)</f>
        <v>0</v>
      </c>
      <c r="J42" s="110">
        <f>Inversiones!J37+IF(J44&lt;30,Inversiones!J38*(30-J44)/30,0)</f>
        <v>0</v>
      </c>
      <c r="K42" s="110">
        <f>Inversiones!K37+IF(K44&lt;30,Inversiones!K38*(30-K44)/30,0)</f>
        <v>0</v>
      </c>
      <c r="L42" s="110">
        <f>Inversiones!L37+IF(L44&lt;30,Inversiones!L38*(30-L44)/30,0)</f>
        <v>0</v>
      </c>
      <c r="M42" s="110">
        <f>Inversiones!M37+IF(M44&lt;30,Inversiones!M38*(30-M44)/30,0)</f>
        <v>0</v>
      </c>
      <c r="N42" s="110">
        <f>SUM(B42:M42)</f>
        <v>775000</v>
      </c>
      <c r="O42" s="110">
        <f>Inversiones!O37+IF(O44&lt;30,Inversiones!O38*(30-O44)/30,0)</f>
        <v>0</v>
      </c>
      <c r="P42" s="110">
        <f>Inversiones!P37+IF(P44&lt;30,Inversiones!P38*(30-P44)/30,0)</f>
        <v>0</v>
      </c>
      <c r="Q42" s="110">
        <f>Inversiones!Q37+IF(Q44&lt;30,Inversiones!Q38*(30-Q44)/30,0)</f>
        <v>0</v>
      </c>
      <c r="R42" s="110">
        <f>Inversiones!R37+IF(R44&lt;30,Inversiones!R38*(30-R44)/30,0)</f>
        <v>0</v>
      </c>
      <c r="S42" s="110">
        <f>Inversiones!S37+IF(S44&lt;30,Inversiones!S38*(30-S44)/30,0)</f>
        <v>0</v>
      </c>
      <c r="T42" s="110">
        <f>Inversiones!T37+IF(T44&lt;30,Inversiones!T38*(30-T44)/30,0)</f>
        <v>0</v>
      </c>
      <c r="U42" s="110">
        <f>Inversiones!U37+IF(U44&lt;30,Inversiones!U38*(30-U44)/30,0)</f>
        <v>0</v>
      </c>
      <c r="V42" s="110">
        <f>Inversiones!V37+IF(V44&lt;30,Inversiones!V38*(30-V44)/30,0)</f>
        <v>0</v>
      </c>
      <c r="W42" s="110">
        <f>Inversiones!W37+IF(W44&lt;30,Inversiones!W38*(30-W44)/30,0)</f>
        <v>0</v>
      </c>
      <c r="X42" s="110">
        <f>Inversiones!X37+IF(X44&lt;30,Inversiones!X38*(30-X44)/30,0)</f>
        <v>0</v>
      </c>
      <c r="Y42" s="110">
        <f>Inversiones!Y37+IF(Y44&lt;30,Inversiones!Y38*(30-Y44)/30,0)</f>
        <v>0</v>
      </c>
      <c r="Z42" s="110">
        <f>Inversiones!Z37+IF(Z44&lt;30,Inversiones!Z38*(30-Z44)/30,0)</f>
        <v>0</v>
      </c>
      <c r="AA42" s="110">
        <f>SUM(O42:Z42)</f>
        <v>0</v>
      </c>
      <c r="AB42" s="110">
        <f>Inversiones!AB37</f>
        <v>0</v>
      </c>
      <c r="AC42" s="110">
        <f>Inversiones!AC37</f>
        <v>0</v>
      </c>
      <c r="AD42" s="110">
        <f>Inversiones!AD37</f>
        <v>0</v>
      </c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2.75" customHeight="1" x14ac:dyDescent="0.2">
      <c r="A43" s="110" t="s">
        <v>158</v>
      </c>
      <c r="B43" s="110">
        <f>Inversiones!B38*IF(B44&lt;30,B44/30,1)</f>
        <v>0</v>
      </c>
      <c r="C43" s="110">
        <f>Inversiones!C38*IF(C44&lt;30,C44/30,1)</f>
        <v>0</v>
      </c>
      <c r="D43" s="110">
        <f>Inversiones!D38*IF(D44&lt;30,D44/30,1)</f>
        <v>0</v>
      </c>
      <c r="E43" s="110">
        <f>Inversiones!E38*IF(E44&lt;30,E44/30,1)</f>
        <v>0</v>
      </c>
      <c r="F43" s="110">
        <f>Inversiones!F38*IF(F44&lt;30,F44/30,1)</f>
        <v>0</v>
      </c>
      <c r="G43" s="110">
        <f>Inversiones!G38*IF(G44&lt;30,G44/30,1)</f>
        <v>0</v>
      </c>
      <c r="H43" s="110">
        <f>Inversiones!H38*IF(H44&lt;30,H44/30,1)</f>
        <v>0</v>
      </c>
      <c r="I43" s="110">
        <f>Inversiones!I38*IF(I44&lt;30,I44/30,1)</f>
        <v>0</v>
      </c>
      <c r="J43" s="110">
        <f>Inversiones!J38*IF(J44&lt;30,J44/30,1)</f>
        <v>0</v>
      </c>
      <c r="K43" s="110">
        <f>Inversiones!K38*IF(K44&lt;30,K44/30,1)</f>
        <v>0</v>
      </c>
      <c r="L43" s="110">
        <f>Inversiones!L38*IF(L44&lt;30,L44/30,1)</f>
        <v>0</v>
      </c>
      <c r="M43" s="110">
        <f>Inversiones!M38*IF(M44&lt;30,M44/30,1)</f>
        <v>0</v>
      </c>
      <c r="N43" s="110">
        <f>SUM(B43:M43)</f>
        <v>0</v>
      </c>
      <c r="O43" s="110">
        <f>Inversiones!O38*IF(O44&lt;30,O44/30,1)</f>
        <v>0</v>
      </c>
      <c r="P43" s="110">
        <f>Inversiones!P38*IF(P44&lt;30,P44/30,1)</f>
        <v>0</v>
      </c>
      <c r="Q43" s="110">
        <f>Inversiones!Q38*IF(Q44&lt;30,Q44/30,1)</f>
        <v>0</v>
      </c>
      <c r="R43" s="110">
        <f>Inversiones!R38*IF(R44&lt;30,R44/30,1)</f>
        <v>0</v>
      </c>
      <c r="S43" s="110">
        <f>Inversiones!S38*IF(S44&lt;30,S44/30,1)</f>
        <v>0</v>
      </c>
      <c r="T43" s="110">
        <f>Inversiones!T38*IF(T44&lt;30,T44/30,1)</f>
        <v>0</v>
      </c>
      <c r="U43" s="110">
        <f>Inversiones!U38*IF(U44&lt;30,U44/30,1)</f>
        <v>0</v>
      </c>
      <c r="V43" s="110">
        <f>Inversiones!V38*IF(V44&lt;30,V44/30,1)</f>
        <v>0</v>
      </c>
      <c r="W43" s="110">
        <f>Inversiones!W38*IF(W44&lt;30,W44/30,1)</f>
        <v>0</v>
      </c>
      <c r="X43" s="110">
        <f>Inversiones!X38*IF(X44&lt;30,X44/30,1)</f>
        <v>0</v>
      </c>
      <c r="Y43" s="110">
        <f>Inversiones!Y38*IF(Y44&lt;30,Y44/30,1)</f>
        <v>0</v>
      </c>
      <c r="Z43" s="110">
        <f>Inversiones!Z38*IF(Z44&lt;30,Z44/30,1)</f>
        <v>0</v>
      </c>
      <c r="AA43" s="110">
        <f>SUM(O43:Z43)</f>
        <v>0</v>
      </c>
      <c r="AB43" s="110">
        <f>Inversiones!AB38</f>
        <v>0</v>
      </c>
      <c r="AC43" s="110">
        <f>Inversiones!AC38</f>
        <v>0</v>
      </c>
      <c r="AD43" s="110">
        <f>Inversiones!AD38</f>
        <v>0</v>
      </c>
    </row>
    <row r="44" spans="1:256" ht="12.75" customHeight="1" x14ac:dyDescent="0.2">
      <c r="A44" s="110" t="s">
        <v>71</v>
      </c>
      <c r="B44" s="72">
        <f>Inversiones!B39</f>
        <v>0</v>
      </c>
      <c r="C44" s="72">
        <f>Inversiones!C39</f>
        <v>0</v>
      </c>
      <c r="D44" s="72">
        <f>Inversiones!D39</f>
        <v>0</v>
      </c>
      <c r="E44" s="72">
        <f>Inversiones!E39</f>
        <v>0</v>
      </c>
      <c r="F44" s="72">
        <f>Inversiones!F39</f>
        <v>0</v>
      </c>
      <c r="G44" s="72">
        <f>Inversiones!G39</f>
        <v>0</v>
      </c>
      <c r="H44" s="72">
        <f>Inversiones!H39</f>
        <v>0</v>
      </c>
      <c r="I44" s="72">
        <f>Inversiones!I39</f>
        <v>0</v>
      </c>
      <c r="J44" s="72">
        <f>Inversiones!J39</f>
        <v>0</v>
      </c>
      <c r="K44" s="72">
        <f>Inversiones!K39</f>
        <v>0</v>
      </c>
      <c r="L44" s="72">
        <f>Inversiones!L39</f>
        <v>0</v>
      </c>
      <c r="M44" s="72">
        <f>Inversiones!M39</f>
        <v>0</v>
      </c>
      <c r="N44" s="63">
        <f>IF(N43=0,0,N47/N43*360)</f>
        <v>0</v>
      </c>
      <c r="O44" s="72">
        <f>Inversiones!O39</f>
        <v>0</v>
      </c>
      <c r="P44" s="72">
        <f>Inversiones!P39</f>
        <v>0</v>
      </c>
      <c r="Q44" s="72">
        <f>Inversiones!Q39</f>
        <v>0</v>
      </c>
      <c r="R44" s="72">
        <f>Inversiones!R39</f>
        <v>0</v>
      </c>
      <c r="S44" s="72">
        <f>Inversiones!S39</f>
        <v>0</v>
      </c>
      <c r="T44" s="72">
        <f>Inversiones!T39</f>
        <v>0</v>
      </c>
      <c r="U44" s="72">
        <f>Inversiones!U39</f>
        <v>0</v>
      </c>
      <c r="V44" s="72">
        <f>Inversiones!V39</f>
        <v>0</v>
      </c>
      <c r="W44" s="72">
        <f>Inversiones!W39</f>
        <v>0</v>
      </c>
      <c r="X44" s="72">
        <f>Inversiones!X39</f>
        <v>0</v>
      </c>
      <c r="Y44" s="72">
        <f>Inversiones!Y39</f>
        <v>0</v>
      </c>
      <c r="Z44" s="72">
        <f>Inversiones!Z39</f>
        <v>0</v>
      </c>
      <c r="AA44" s="63">
        <f>IF(AA43=0,0,AA47/AA43*360)</f>
        <v>0</v>
      </c>
      <c r="AB44" s="72">
        <f>Inversiones!AB39</f>
        <v>0</v>
      </c>
      <c r="AC44" s="72">
        <f>Inversiones!AC39</f>
        <v>0</v>
      </c>
      <c r="AD44" s="72">
        <f>Inversiones!AD39</f>
        <v>0</v>
      </c>
    </row>
    <row r="45" spans="1:256" s="59" customFormat="1" ht="12.75" customHeight="1" x14ac:dyDescent="0.2">
      <c r="A45" s="110" t="s">
        <v>236</v>
      </c>
      <c r="B45" s="9">
        <f t="shared" ref="B45:M45" si="19">ROUNDUP(B$54+MAX(1,(B44-15)/30),0)</f>
        <v>2</v>
      </c>
      <c r="C45" s="9">
        <f t="shared" si="19"/>
        <v>3</v>
      </c>
      <c r="D45" s="9">
        <f t="shared" si="19"/>
        <v>4</v>
      </c>
      <c r="E45" s="9">
        <f t="shared" si="19"/>
        <v>5</v>
      </c>
      <c r="F45" s="9">
        <f t="shared" si="19"/>
        <v>6</v>
      </c>
      <c r="G45" s="9">
        <f t="shared" si="19"/>
        <v>7</v>
      </c>
      <c r="H45" s="9">
        <f t="shared" si="19"/>
        <v>8</v>
      </c>
      <c r="I45" s="9">
        <f t="shared" si="19"/>
        <v>9</v>
      </c>
      <c r="J45" s="9">
        <f t="shared" si="19"/>
        <v>10</v>
      </c>
      <c r="K45" s="9">
        <f t="shared" si="19"/>
        <v>11</v>
      </c>
      <c r="L45" s="9">
        <f t="shared" si="19"/>
        <v>12</v>
      </c>
      <c r="M45" s="9">
        <f t="shared" si="19"/>
        <v>13</v>
      </c>
      <c r="N45" s="9"/>
      <c r="O45" s="9">
        <f t="shared" ref="O45:Z45" si="20">ROUNDUP(O$54+MAX(1,(O44-15)/30),0)</f>
        <v>14</v>
      </c>
      <c r="P45" s="9">
        <f t="shared" si="20"/>
        <v>15</v>
      </c>
      <c r="Q45" s="9">
        <f t="shared" si="20"/>
        <v>16</v>
      </c>
      <c r="R45" s="9">
        <f t="shared" si="20"/>
        <v>17</v>
      </c>
      <c r="S45" s="9">
        <f t="shared" si="20"/>
        <v>18</v>
      </c>
      <c r="T45" s="9">
        <f t="shared" si="20"/>
        <v>19</v>
      </c>
      <c r="U45" s="9">
        <f t="shared" si="20"/>
        <v>20</v>
      </c>
      <c r="V45" s="9">
        <f t="shared" si="20"/>
        <v>21</v>
      </c>
      <c r="W45" s="9">
        <f t="shared" si="20"/>
        <v>22</v>
      </c>
      <c r="X45" s="9">
        <f t="shared" si="20"/>
        <v>23</v>
      </c>
      <c r="Y45" s="9">
        <f t="shared" si="20"/>
        <v>24</v>
      </c>
      <c r="Z45" s="9">
        <f t="shared" si="20"/>
        <v>25</v>
      </c>
      <c r="AA45" s="9"/>
      <c r="AB45" s="9"/>
      <c r="AC45" s="9"/>
      <c r="AD45" s="9"/>
    </row>
    <row r="46" spans="1:256" s="28" customFormat="1" ht="12.75" customHeight="1" x14ac:dyDescent="0.2">
      <c r="A46" s="110" t="s">
        <v>148</v>
      </c>
      <c r="B46" s="110">
        <f>B42+SUMIF($B45:B45,B$54,$B43:B43)</f>
        <v>775000</v>
      </c>
      <c r="C46" s="110">
        <f>C42+SUMIF($B45:C45,C$54,$B43:C43)</f>
        <v>0</v>
      </c>
      <c r="D46" s="110">
        <f>D42+SUMIF($B45:D45,D$54,$B43:D43)</f>
        <v>0</v>
      </c>
      <c r="E46" s="110">
        <f>E42+SUMIF($B45:E45,E$54,$B43:E43)</f>
        <v>0</v>
      </c>
      <c r="F46" s="110">
        <f>F42+SUMIF($B45:F45,F$54,$B43:F43)</f>
        <v>0</v>
      </c>
      <c r="G46" s="110">
        <f>G42+SUMIF($B45:G45,G$54,$B43:G43)</f>
        <v>0</v>
      </c>
      <c r="H46" s="110">
        <f>H42+SUMIF($B45:H45,H$54,$B43:H43)</f>
        <v>0</v>
      </c>
      <c r="I46" s="110">
        <f>I42+SUMIF($B45:I45,I$54,$B43:I43)</f>
        <v>0</v>
      </c>
      <c r="J46" s="110">
        <f>J42+SUMIF($B45:J45,J$54,$B43:J43)</f>
        <v>0</v>
      </c>
      <c r="K46" s="110">
        <f>K42+SUMIF($B45:K45,K$54,$B43:K43)</f>
        <v>0</v>
      </c>
      <c r="L46" s="110">
        <f>L42+SUMIF($B45:L45,L$54,$B43:L43)</f>
        <v>0</v>
      </c>
      <c r="M46" s="110">
        <f>M42+SUMIF($B45:M45,M$54,$B43:M43)</f>
        <v>0</v>
      </c>
      <c r="N46" s="110">
        <f>SUM(B46:M46)</f>
        <v>775000</v>
      </c>
      <c r="O46" s="110">
        <f>O42+SUMIF($B45:O45,O$54,$B43:O43)</f>
        <v>0</v>
      </c>
      <c r="P46" s="110">
        <f>P42+SUMIF($B45:P45,P$54,$B43:P43)</f>
        <v>0</v>
      </c>
      <c r="Q46" s="110">
        <f>Q42+SUMIF($B45:Q45,Q$54,$B43:Q43)</f>
        <v>0</v>
      </c>
      <c r="R46" s="110">
        <f>R42+SUMIF($B45:R45,R$54,$B43:R43)</f>
        <v>0</v>
      </c>
      <c r="S46" s="110">
        <f>S42+SUMIF($B45:S45,S$54,$B43:S43)</f>
        <v>0</v>
      </c>
      <c r="T46" s="110">
        <f>T42+SUMIF($B45:T45,T$54,$B43:T43)</f>
        <v>0</v>
      </c>
      <c r="U46" s="110">
        <f>U42+SUMIF($B45:U45,U$54,$B43:U43)</f>
        <v>0</v>
      </c>
      <c r="V46" s="110">
        <f>V42+SUMIF($B45:V45,V$54,$B43:V43)</f>
        <v>0</v>
      </c>
      <c r="W46" s="110">
        <f>W42+SUMIF($B45:W45,W$54,$B43:W43)</f>
        <v>0</v>
      </c>
      <c r="X46" s="110">
        <f>X42+SUMIF($B45:X45,X$54,$B43:X43)</f>
        <v>0</v>
      </c>
      <c r="Y46" s="110">
        <f>Y42+SUMIF($B45:Y45,Y$54,$B43:Y43)</f>
        <v>0</v>
      </c>
      <c r="Z46" s="110">
        <f>Z42+SUMIF($B45:Z45,Z$54,$B43:Z43)</f>
        <v>0</v>
      </c>
      <c r="AA46" s="110">
        <f>SUM(O46:Z46)</f>
        <v>0</v>
      </c>
      <c r="AB46" s="110">
        <f>AA47+AB41-AB47</f>
        <v>0</v>
      </c>
      <c r="AC46" s="110">
        <f>AB47+AC41-AC47</f>
        <v>0</v>
      </c>
      <c r="AD46" s="110">
        <f>AC47+AD41-AD47</f>
        <v>0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s="28" customFormat="1" ht="12.75" customHeight="1" x14ac:dyDescent="0.2">
      <c r="A47" s="110" t="s">
        <v>200</v>
      </c>
      <c r="B47" s="110">
        <f>B41-B46</f>
        <v>0</v>
      </c>
      <c r="C47" s="110">
        <f t="shared" ref="C47:M47" si="21">B47+C41-C46</f>
        <v>0</v>
      </c>
      <c r="D47" s="110">
        <f t="shared" si="21"/>
        <v>0</v>
      </c>
      <c r="E47" s="110">
        <f t="shared" si="21"/>
        <v>0</v>
      </c>
      <c r="F47" s="110">
        <f t="shared" si="21"/>
        <v>0</v>
      </c>
      <c r="G47" s="110">
        <f t="shared" si="21"/>
        <v>0</v>
      </c>
      <c r="H47" s="110">
        <f t="shared" si="21"/>
        <v>0</v>
      </c>
      <c r="I47" s="110">
        <f t="shared" si="21"/>
        <v>0</v>
      </c>
      <c r="J47" s="110">
        <f t="shared" si="21"/>
        <v>0</v>
      </c>
      <c r="K47" s="110">
        <f t="shared" si="21"/>
        <v>0</v>
      </c>
      <c r="L47" s="110">
        <f t="shared" si="21"/>
        <v>0</v>
      </c>
      <c r="M47" s="110">
        <f t="shared" si="21"/>
        <v>0</v>
      </c>
      <c r="N47" s="110">
        <f>M47</f>
        <v>0</v>
      </c>
      <c r="O47" s="110">
        <f t="shared" ref="O47:Z47" si="22">N47+O41-O46</f>
        <v>0</v>
      </c>
      <c r="P47" s="110">
        <f t="shared" si="22"/>
        <v>0</v>
      </c>
      <c r="Q47" s="110">
        <f t="shared" si="22"/>
        <v>0</v>
      </c>
      <c r="R47" s="110">
        <f t="shared" si="22"/>
        <v>0</v>
      </c>
      <c r="S47" s="110">
        <f t="shared" si="22"/>
        <v>0</v>
      </c>
      <c r="T47" s="110">
        <f t="shared" si="22"/>
        <v>0</v>
      </c>
      <c r="U47" s="110">
        <f t="shared" si="22"/>
        <v>0</v>
      </c>
      <c r="V47" s="110">
        <f t="shared" si="22"/>
        <v>0</v>
      </c>
      <c r="W47" s="110">
        <f t="shared" si="22"/>
        <v>0</v>
      </c>
      <c r="X47" s="110">
        <f t="shared" si="22"/>
        <v>0</v>
      </c>
      <c r="Y47" s="110">
        <f t="shared" si="22"/>
        <v>0</v>
      </c>
      <c r="Z47" s="110">
        <f t="shared" si="22"/>
        <v>0</v>
      </c>
      <c r="AA47" s="110">
        <f>Z47</f>
        <v>0</v>
      </c>
      <c r="AB47" s="110">
        <f>AB43*AB44/360</f>
        <v>0</v>
      </c>
      <c r="AC47" s="110">
        <f>AC43*AC44/360</f>
        <v>0</v>
      </c>
      <c r="AD47" s="110">
        <f>AD43*AD44/360</f>
        <v>0</v>
      </c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s="28" customFormat="1" ht="12.75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s="28" customFormat="1" ht="12.75" customHeight="1" x14ac:dyDescent="0.2">
      <c r="A49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s="28" customFormat="1" ht="12.75" customHeight="1" x14ac:dyDescent="0.25">
      <c r="A50" s="174" t="s">
        <v>136</v>
      </c>
      <c r="B50" s="174">
        <f t="shared" ref="B50:AD50" si="23">B20+B29+B38+B47</f>
        <v>0</v>
      </c>
      <c r="C50" s="174">
        <f t="shared" si="23"/>
        <v>0</v>
      </c>
      <c r="D50" s="174">
        <f t="shared" si="23"/>
        <v>0</v>
      </c>
      <c r="E50" s="174">
        <f t="shared" si="23"/>
        <v>0</v>
      </c>
      <c r="F50" s="174">
        <f t="shared" si="23"/>
        <v>0</v>
      </c>
      <c r="G50" s="174">
        <f t="shared" si="23"/>
        <v>0</v>
      </c>
      <c r="H50" s="174">
        <f t="shared" si="23"/>
        <v>0</v>
      </c>
      <c r="I50" s="174">
        <f t="shared" si="23"/>
        <v>0</v>
      </c>
      <c r="J50" s="174">
        <f t="shared" si="23"/>
        <v>0</v>
      </c>
      <c r="K50" s="174">
        <f t="shared" si="23"/>
        <v>0</v>
      </c>
      <c r="L50" s="174">
        <f t="shared" si="23"/>
        <v>0</v>
      </c>
      <c r="M50" s="174">
        <f t="shared" si="23"/>
        <v>0</v>
      </c>
      <c r="N50" s="174">
        <f t="shared" si="23"/>
        <v>0</v>
      </c>
      <c r="O50" s="174">
        <f t="shared" si="23"/>
        <v>0</v>
      </c>
      <c r="P50" s="174">
        <f t="shared" si="23"/>
        <v>0</v>
      </c>
      <c r="Q50" s="174">
        <f t="shared" si="23"/>
        <v>0</v>
      </c>
      <c r="R50" s="174">
        <f t="shared" si="23"/>
        <v>0</v>
      </c>
      <c r="S50" s="174">
        <f t="shared" si="23"/>
        <v>0</v>
      </c>
      <c r="T50" s="174">
        <f t="shared" si="23"/>
        <v>0</v>
      </c>
      <c r="U50" s="174">
        <f t="shared" si="23"/>
        <v>0</v>
      </c>
      <c r="V50" s="174">
        <f t="shared" si="23"/>
        <v>0</v>
      </c>
      <c r="W50" s="174">
        <f t="shared" si="23"/>
        <v>0</v>
      </c>
      <c r="X50" s="174">
        <f t="shared" si="23"/>
        <v>0</v>
      </c>
      <c r="Y50" s="174">
        <f t="shared" si="23"/>
        <v>0</v>
      </c>
      <c r="Z50" s="174">
        <f t="shared" si="23"/>
        <v>0</v>
      </c>
      <c r="AA50" s="174">
        <f t="shared" si="23"/>
        <v>0</v>
      </c>
      <c r="AB50" s="174">
        <f t="shared" si="23"/>
        <v>0</v>
      </c>
      <c r="AC50" s="174">
        <f t="shared" si="23"/>
        <v>0</v>
      </c>
      <c r="AD50" s="174">
        <f t="shared" si="23"/>
        <v>0</v>
      </c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s="28" customFormat="1" ht="12.75" customHeigh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s="28" customFormat="1" ht="12.75" customHeigh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2.75" customHeight="1" x14ac:dyDescent="0.2"/>
    <row r="54" spans="1:256" x14ac:dyDescent="0.2">
      <c r="A54" s="228" t="s">
        <v>15</v>
      </c>
      <c r="B54" s="228">
        <v>1</v>
      </c>
      <c r="C54" s="228">
        <v>2</v>
      </c>
      <c r="D54" s="228">
        <v>3</v>
      </c>
      <c r="E54" s="228">
        <v>4</v>
      </c>
      <c r="F54" s="228">
        <v>5</v>
      </c>
      <c r="G54" s="228">
        <v>6</v>
      </c>
      <c r="H54" s="228">
        <v>7</v>
      </c>
      <c r="I54" s="228">
        <v>8</v>
      </c>
      <c r="J54" s="228">
        <v>9</v>
      </c>
      <c r="K54" s="228">
        <v>10</v>
      </c>
      <c r="L54" s="228">
        <v>11</v>
      </c>
      <c r="M54" s="228">
        <v>12</v>
      </c>
      <c r="N54" s="228"/>
      <c r="O54" s="228">
        <v>13</v>
      </c>
      <c r="P54" s="228">
        <v>14</v>
      </c>
      <c r="Q54" s="228">
        <v>15</v>
      </c>
      <c r="R54" s="228">
        <v>16</v>
      </c>
      <c r="S54" s="228">
        <v>17</v>
      </c>
      <c r="T54" s="228">
        <v>18</v>
      </c>
      <c r="U54" s="228">
        <v>19</v>
      </c>
      <c r="V54" s="228">
        <v>20</v>
      </c>
      <c r="W54" s="228">
        <v>21</v>
      </c>
      <c r="X54" s="228">
        <v>22</v>
      </c>
      <c r="Y54" s="228">
        <v>23</v>
      </c>
      <c r="Z54" s="228">
        <v>24</v>
      </c>
      <c r="AA54" s="228"/>
      <c r="AB54" s="228"/>
      <c r="AC54" s="228"/>
      <c r="AD54" s="228"/>
    </row>
    <row r="57" spans="1:256" ht="12.75" customHeight="1" x14ac:dyDescent="0.2"/>
    <row r="58" spans="1:256" ht="12.75" customHeight="1" x14ac:dyDescent="0.2"/>
  </sheetData>
  <pageMargins left="0.7" right="0.7" top="0.75" bottom="0.7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5"/>
  <sheetViews>
    <sheetView showGridLines="0" workbookViewId="0">
      <pane xSplit="1" ySplit="1" topLeftCell="B2" activePane="bottomRight" state="frozen"/>
      <selection activeCell="G19" sqref="G19"/>
      <selection pane="topRight" activeCell="G19" sqref="G19"/>
      <selection pane="bottomLeft" activeCell="G19" sqref="G19"/>
      <selection pane="bottomRight"/>
    </sheetView>
  </sheetViews>
  <sheetFormatPr baseColWidth="10" defaultColWidth="9.140625" defaultRowHeight="12.75" outlineLevelCol="1" x14ac:dyDescent="0.2"/>
  <cols>
    <col min="1" max="1" width="42.85546875" customWidth="1"/>
    <col min="2" max="13" width="13.28515625" customWidth="1" outlineLevel="1"/>
    <col min="14" max="14" width="13.28515625" customWidth="1"/>
    <col min="15" max="26" width="13.28515625" customWidth="1" outlineLevel="1"/>
    <col min="27" max="30" width="13.28515625" customWidth="1"/>
    <col min="31" max="32" width="9.140625" customWidth="1"/>
    <col min="33" max="33" width="9.42578125" style="184" hidden="1" customWidth="1"/>
  </cols>
  <sheetData>
    <row r="1" spans="1:33" ht="15.75" customHeight="1" x14ac:dyDescent="0.25">
      <c r="A1" s="213" t="str">
        <f>"EXTRAORDINARIOS  (" &amp; Introducción!E17 &amp; ")"</f>
        <v>EXTRAORDINARIOS  (Pesos)</v>
      </c>
      <c r="B1" s="99">
        <f>DATE(Introducción!E14,Introducción!E13,1)</f>
        <v>44287</v>
      </c>
      <c r="C1" s="99">
        <f t="shared" ref="C1:M1" si="0">IF(MONTH(B1)=12,DATE(YEAR(B1)+1,1,1),DATE(YEAR(B1),MONTH(B1)+1,1))</f>
        <v>44317</v>
      </c>
      <c r="D1" s="99">
        <f t="shared" si="0"/>
        <v>44348</v>
      </c>
      <c r="E1" s="99">
        <f t="shared" si="0"/>
        <v>44378</v>
      </c>
      <c r="F1" s="99">
        <f t="shared" si="0"/>
        <v>44409</v>
      </c>
      <c r="G1" s="99">
        <f t="shared" si="0"/>
        <v>44440</v>
      </c>
      <c r="H1" s="99">
        <f t="shared" si="0"/>
        <v>44470</v>
      </c>
      <c r="I1" s="99">
        <f t="shared" si="0"/>
        <v>44501</v>
      </c>
      <c r="J1" s="99">
        <f t="shared" si="0"/>
        <v>44531</v>
      </c>
      <c r="K1" s="99">
        <f t="shared" si="0"/>
        <v>44562</v>
      </c>
      <c r="L1" s="99">
        <f t="shared" si="0"/>
        <v>44593</v>
      </c>
      <c r="M1" s="99">
        <f t="shared" si="0"/>
        <v>44621</v>
      </c>
      <c r="N1" s="69">
        <f>YEAR(M1)</f>
        <v>2022</v>
      </c>
      <c r="O1" s="99">
        <f>IF(MONTH(M1)=12,DATE(YEAR(M1)+1,1,1),DATE(YEAR(M1),MONTH(M1)+1,1))</f>
        <v>44652</v>
      </c>
      <c r="P1" s="99">
        <f t="shared" ref="P1:Z1" si="1">IF(MONTH(O1)=12,DATE(YEAR(O1)+1,1,1),DATE(YEAR(O1),MONTH(O1)+1,1))</f>
        <v>44682</v>
      </c>
      <c r="Q1" s="99">
        <f t="shared" si="1"/>
        <v>44713</v>
      </c>
      <c r="R1" s="99">
        <f t="shared" si="1"/>
        <v>44743</v>
      </c>
      <c r="S1" s="99">
        <f t="shared" si="1"/>
        <v>44774</v>
      </c>
      <c r="T1" s="99">
        <f t="shared" si="1"/>
        <v>44805</v>
      </c>
      <c r="U1" s="99">
        <f t="shared" si="1"/>
        <v>44835</v>
      </c>
      <c r="V1" s="99">
        <f t="shared" si="1"/>
        <v>44866</v>
      </c>
      <c r="W1" s="99">
        <f t="shared" si="1"/>
        <v>44896</v>
      </c>
      <c r="X1" s="99">
        <f t="shared" si="1"/>
        <v>44927</v>
      </c>
      <c r="Y1" s="99">
        <f t="shared" si="1"/>
        <v>44958</v>
      </c>
      <c r="Z1" s="99">
        <f t="shared" si="1"/>
        <v>44986</v>
      </c>
      <c r="AA1" s="69">
        <f>YEAR(Z1)</f>
        <v>2023</v>
      </c>
      <c r="AB1" s="69">
        <f>1 + AA1</f>
        <v>2024</v>
      </c>
      <c r="AC1" s="69">
        <f>1 + AB1</f>
        <v>2025</v>
      </c>
      <c r="AD1" s="69">
        <f>1 + AC1</f>
        <v>2026</v>
      </c>
      <c r="AE1" s="210"/>
      <c r="AG1" t="s">
        <v>159</v>
      </c>
    </row>
    <row r="2" spans="1:33" x14ac:dyDescent="0.2">
      <c r="A2" s="158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210"/>
    </row>
    <row r="3" spans="1:33" s="102" customFormat="1" ht="15" x14ac:dyDescent="0.25">
      <c r="A3" s="174" t="s">
        <v>130</v>
      </c>
      <c r="B3" s="174">
        <v>0</v>
      </c>
      <c r="C3" s="174">
        <v>0</v>
      </c>
      <c r="D3" s="174">
        <v>0</v>
      </c>
      <c r="E3" s="174">
        <v>0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4">
        <v>0</v>
      </c>
      <c r="N3" s="174">
        <v>0</v>
      </c>
      <c r="O3" s="174">
        <v>0</v>
      </c>
      <c r="P3" s="174">
        <v>0</v>
      </c>
      <c r="Q3" s="174">
        <v>0</v>
      </c>
      <c r="R3" s="174">
        <v>0</v>
      </c>
      <c r="S3" s="174">
        <v>0</v>
      </c>
      <c r="T3" s="174">
        <v>0</v>
      </c>
      <c r="U3" s="174">
        <v>0</v>
      </c>
      <c r="V3" s="174">
        <v>0</v>
      </c>
      <c r="W3" s="174">
        <v>0</v>
      </c>
      <c r="X3" s="174">
        <v>0</v>
      </c>
      <c r="Y3" s="174">
        <v>0</v>
      </c>
      <c r="Z3" s="174">
        <v>0</v>
      </c>
      <c r="AA3" s="174">
        <v>0</v>
      </c>
      <c r="AB3" s="174">
        <v>0</v>
      </c>
      <c r="AC3" s="174">
        <v>0</v>
      </c>
      <c r="AD3" s="174">
        <v>0</v>
      </c>
      <c r="AG3" s="132"/>
    </row>
    <row r="4" spans="1:33" x14ac:dyDescent="0.2">
      <c r="AG4" s="132"/>
    </row>
    <row r="6" spans="1:33" s="68" customFormat="1" ht="11.25" hidden="1" x14ac:dyDescent="0.2">
      <c r="A6" s="68" t="s">
        <v>221</v>
      </c>
      <c r="B6" s="68">
        <v>0</v>
      </c>
      <c r="C6" s="68">
        <v>0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68">
        <v>0</v>
      </c>
      <c r="M6" s="68">
        <v>0</v>
      </c>
      <c r="O6" s="68">
        <v>0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8">
        <v>0</v>
      </c>
      <c r="AB6" s="68">
        <v>0</v>
      </c>
      <c r="AC6" s="68">
        <v>0</v>
      </c>
      <c r="AD6" s="68">
        <v>0</v>
      </c>
      <c r="AG6" s="184"/>
    </row>
    <row r="7" spans="1:33" s="68" customFormat="1" ht="11.25" hidden="1" x14ac:dyDescent="0.2">
      <c r="A7" s="68" t="s">
        <v>39</v>
      </c>
      <c r="B7" s="68">
        <v>0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O7" s="68">
        <v>0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68">
        <v>0</v>
      </c>
      <c r="W7" s="68">
        <v>0</v>
      </c>
      <c r="X7" s="68">
        <v>0</v>
      </c>
      <c r="Y7" s="68">
        <v>0</v>
      </c>
      <c r="Z7" s="68">
        <v>0</v>
      </c>
      <c r="AB7" s="68">
        <v>0</v>
      </c>
      <c r="AC7" s="68">
        <v>0</v>
      </c>
      <c r="AD7" s="68">
        <v>0</v>
      </c>
      <c r="AG7" s="132"/>
    </row>
    <row r="8" spans="1:33" x14ac:dyDescent="0.2">
      <c r="AG8" s="132"/>
    </row>
    <row r="9" spans="1:33" x14ac:dyDescent="0.2">
      <c r="AG9" s="132"/>
    </row>
    <row r="11" spans="1:33" x14ac:dyDescent="0.2">
      <c r="AG11" s="222"/>
    </row>
    <row r="14" spans="1:33" x14ac:dyDescent="0.2">
      <c r="AG14" s="222"/>
    </row>
    <row r="15" spans="1:33" x14ac:dyDescent="0.2">
      <c r="AG15" s="222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Introducción</vt:lpstr>
      <vt:lpstr>Costo de Ventas</vt:lpstr>
      <vt:lpstr>Inventarios</vt:lpstr>
      <vt:lpstr>Ingresos</vt:lpstr>
      <vt:lpstr>Gastos Fijos</vt:lpstr>
      <vt:lpstr>Salarios</vt:lpstr>
      <vt:lpstr>Inversiones</vt:lpstr>
      <vt:lpstr>Cobranzas y pagos</vt:lpstr>
      <vt:lpstr>Extraordinarios</vt:lpstr>
      <vt:lpstr>Impuestos</vt:lpstr>
      <vt:lpstr>Financiamiento</vt:lpstr>
      <vt:lpstr>Valores de Inicio</vt:lpstr>
      <vt:lpstr>Resumen</vt:lpstr>
      <vt:lpstr>Graficos</vt:lpstr>
      <vt:lpstr>Flujo de Caja</vt:lpstr>
      <vt:lpstr>Estado Resultados</vt:lpstr>
      <vt:lpstr>Balance</vt:lpstr>
      <vt:lpstr>Flujo Caja Acumulado</vt:lpstr>
      <vt:lpstr>Indices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Valdivieso</dc:creator>
  <cp:lastModifiedBy>Valdivieso</cp:lastModifiedBy>
  <dcterms:created xsi:type="dcterms:W3CDTF">2021-03-17T05:04:58Z</dcterms:created>
  <dcterms:modified xsi:type="dcterms:W3CDTF">2021-04-10T05:35:42Z</dcterms:modified>
</cp:coreProperties>
</file>