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vto.tipo" sheetId="1" r:id="rId4"/>
    <sheet state="visible" name="Coberta" sheetId="2" r:id="rId5"/>
    <sheet state="visible" name="Pavto.térreo" sheetId="3" r:id="rId6"/>
    <sheet state="visible" name="Casa de máquinas e zelador" sheetId="4" r:id="rId7"/>
    <sheet state="visible" name="Subsolo" sheetId="5" r:id="rId8"/>
  </sheets>
  <definedNames/>
  <calcPr/>
  <extLst>
    <ext uri="GoogleSheetsCustomDataVersion1">
      <go:sheetsCustomData xmlns:go="http://customooxmlschemas.google.com/" r:id="rId9" roundtripDataSignature="AMtx7mgRi89NSz+XTopg2yuwc+yz1xNYpQ=="/>
    </ext>
  </extLst>
</workbook>
</file>

<file path=xl/sharedStrings.xml><?xml version="1.0" encoding="utf-8"?>
<sst xmlns="http://schemas.openxmlformats.org/spreadsheetml/2006/main" count="270" uniqueCount="95">
  <si>
    <t>Dependências</t>
  </si>
  <si>
    <t>Dimensões</t>
  </si>
  <si>
    <t>Potência de iluminação (VA)</t>
  </si>
  <si>
    <t>Tomadas de uso geral (TUGs)</t>
  </si>
  <si>
    <t>Tomadas de uso específico (TUEs)</t>
  </si>
  <si>
    <t>Área (m²)</t>
  </si>
  <si>
    <t>Perímetro (m)</t>
  </si>
  <si>
    <t>Quant.</t>
  </si>
  <si>
    <t>Potência (VA)</t>
  </si>
  <si>
    <t>Discriminação</t>
  </si>
  <si>
    <t>Potência (W)</t>
  </si>
  <si>
    <t>FP (ind)</t>
  </si>
  <si>
    <t>BWC 1</t>
  </si>
  <si>
    <t>1 x chuveiro elétrico</t>
  </si>
  <si>
    <t>BWC 2</t>
  </si>
  <si>
    <t>BWC 3</t>
  </si>
  <si>
    <t>BWC 4</t>
  </si>
  <si>
    <t>Cozinha</t>
  </si>
  <si>
    <t>Dependência</t>
  </si>
  <si>
    <t>-</t>
  </si>
  <si>
    <t>Depósito</t>
  </si>
  <si>
    <t>Despensa</t>
  </si>
  <si>
    <t>Dormitório 1</t>
  </si>
  <si>
    <t>1 x ar-condicionado (9 mil BTU/h)</t>
  </si>
  <si>
    <t>Dormitório 2</t>
  </si>
  <si>
    <t>Dormitório 3</t>
  </si>
  <si>
    <t>Dormitório 4</t>
  </si>
  <si>
    <t>Elevador 1</t>
  </si>
  <si>
    <t>Elevador 2</t>
  </si>
  <si>
    <t>Estar</t>
  </si>
  <si>
    <t>Hall 1</t>
  </si>
  <si>
    <t>Hall 2</t>
  </si>
  <si>
    <t>Hall 3</t>
  </si>
  <si>
    <t>Jantar</t>
  </si>
  <si>
    <t>Serviço</t>
  </si>
  <si>
    <t>Terraço</t>
  </si>
  <si>
    <t>Vestir 1</t>
  </si>
  <si>
    <t>Vestir 2</t>
  </si>
  <si>
    <t>WC</t>
  </si>
  <si>
    <t>TOTAL</t>
  </si>
  <si>
    <t>Circuito</t>
  </si>
  <si>
    <t>Tensão (V)</t>
  </si>
  <si>
    <t>Local</t>
  </si>
  <si>
    <t>Corrente (A)</t>
  </si>
  <si>
    <t>Nº de circuitos agrupados</t>
  </si>
  <si>
    <t>Seção dos condutores (mm²)</t>
  </si>
  <si>
    <t>Proteção</t>
  </si>
  <si>
    <t>Nº</t>
  </si>
  <si>
    <t>Tipo</t>
  </si>
  <si>
    <t>Nº de polos</t>
  </si>
  <si>
    <t>Corrente nominal</t>
  </si>
  <si>
    <t xml:space="preserve">Ilum. Social </t>
  </si>
  <si>
    <t>Ilum. de Serviço</t>
  </si>
  <si>
    <t>PTUG's</t>
  </si>
  <si>
    <t>PTUE's</t>
  </si>
  <si>
    <t>Chuveiro 1</t>
  </si>
  <si>
    <t>Chuveiro 2</t>
  </si>
  <si>
    <t>Chuveiro 3</t>
  </si>
  <si>
    <t>Chuveiro 4</t>
  </si>
  <si>
    <t>AC 1</t>
  </si>
  <si>
    <t>AC 2</t>
  </si>
  <si>
    <t>AC 3</t>
  </si>
  <si>
    <t>AC 4</t>
  </si>
  <si>
    <t>AC Jantar</t>
  </si>
  <si>
    <t>AC Estar</t>
  </si>
  <si>
    <t>Lavadora/Secadora</t>
  </si>
  <si>
    <t>Geladeira/Freezer/Exaustor</t>
  </si>
  <si>
    <t>Microondas</t>
  </si>
  <si>
    <t>Lavadora de louça</t>
  </si>
  <si>
    <t>Air fryer</t>
  </si>
  <si>
    <t>Fogão</t>
  </si>
  <si>
    <t>Forno</t>
  </si>
  <si>
    <t>Cx. d'água</t>
  </si>
  <si>
    <t>Iluminação</t>
  </si>
  <si>
    <t>Copa</t>
  </si>
  <si>
    <t>1 x microondas</t>
  </si>
  <si>
    <t>1 x freezer horizontal</t>
  </si>
  <si>
    <t>Medição</t>
  </si>
  <si>
    <t>Portaria</t>
  </si>
  <si>
    <t>Salão de festas</t>
  </si>
  <si>
    <t>5 x ar-condicionado (9 mil BTU/h)</t>
  </si>
  <si>
    <t>Vestiário</t>
  </si>
  <si>
    <t>WC Fem.</t>
  </si>
  <si>
    <t>* uma tomada dupla</t>
  </si>
  <si>
    <t>WC Masc.</t>
  </si>
  <si>
    <t>Ilum. Serviço</t>
  </si>
  <si>
    <t>Ilum. Social</t>
  </si>
  <si>
    <t>Bombas</t>
  </si>
  <si>
    <t>BWC</t>
  </si>
  <si>
    <t>Hall</t>
  </si>
  <si>
    <t>Chuveiro</t>
  </si>
  <si>
    <t>Escada</t>
  </si>
  <si>
    <t>Garagem</t>
  </si>
  <si>
    <t>Sala</t>
  </si>
  <si>
    <t>Ilum. Garagem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</si>
</sst>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sz val="11.0"/>
      <color theme="1"/>
    </font>
    <font>
      <sz val="11.0"/>
      <color rgb="FF1155CC"/>
      <name val="Inconsolata"/>
    </font>
    <font>
      <sz val="11.0"/>
      <color rgb="FF000000"/>
      <name val="Inconsolata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25">
    <border/>
    <border>
      <left style="thin">
        <color rgb="FF8EAADB"/>
      </left>
      <right style="thin">
        <color theme="0"/>
      </right>
      <top style="thin">
        <color rgb="FF8EAADB"/>
      </top>
    </border>
    <border>
      <left style="thin">
        <color theme="0"/>
      </left>
      <top style="thin">
        <color rgb="FF8EAADB"/>
      </top>
      <bottom style="thin">
        <color theme="0"/>
      </bottom>
    </border>
    <border>
      <right style="thin">
        <color theme="0"/>
      </right>
      <top style="thin">
        <color rgb="FF8EAADB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8EAADB"/>
      </top>
    </border>
    <border>
      <right/>
      <top style="thin">
        <color rgb="FF8EAADB"/>
      </top>
      <bottom style="thin">
        <color theme="0"/>
      </bottom>
    </border>
    <border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bottom style="thin">
        <color theme="0"/>
      </bottom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right style="thin">
        <color theme="0"/>
      </right>
      <bottom style="thin">
        <color rgb="FF8EAADB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rgb="FF8EAADB"/>
      </left>
      <right/>
      <top style="thin">
        <color theme="0"/>
      </top>
      <bottom style="thin">
        <color theme="0"/>
      </bottom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 style="thin">
        <color rgb="FF8EAADB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8EAADB"/>
      </left>
      <top style="thin">
        <color rgb="FF8EAADB"/>
      </top>
      <bottom style="thin">
        <color theme="0"/>
      </bottom>
    </border>
    <border>
      <right style="thin">
        <color rgb="FF8EAADB"/>
      </right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right style="thin">
        <color rgb="FF8EAADB"/>
      </right>
      <top style="thin">
        <color theme="0"/>
      </top>
      <bottom style="thin">
        <color rgb="FF8EAADB"/>
      </bottom>
    </border>
    <border>
      <left/>
      <right/>
      <top/>
      <bottom/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8EAADB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ill="1" applyFont="1">
      <alignment readingOrder="0" shrinkToFit="0" vertical="center" wrapText="1"/>
    </xf>
    <xf borderId="14" fillId="0" fontId="1" numFmtId="2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4" fillId="4" fontId="3" numFmtId="0" xfId="0" applyAlignment="1" applyBorder="1" applyFill="1" applyFont="1">
      <alignment horizontal="center" readingOrder="0" shrinkToFit="0" vertical="center" wrapText="1"/>
    </xf>
    <xf borderId="14" fillId="0" fontId="1" numFmtId="2" xfId="0" applyAlignment="1" applyBorder="1" applyFont="1" applyNumberForma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shrinkToFit="0" vertical="center" wrapText="1"/>
    </xf>
    <xf borderId="0" fillId="5" fontId="4" numFmtId="0" xfId="0" applyFill="1" applyFont="1"/>
    <xf borderId="13" fillId="6" fontId="1" numFmtId="0" xfId="0" applyAlignment="1" applyBorder="1" applyFill="1" applyFont="1">
      <alignment readingOrder="0" shrinkToFit="0" vertical="center" wrapText="1"/>
    </xf>
    <xf borderId="14" fillId="6" fontId="1" numFmtId="2" xfId="0" applyAlignment="1" applyBorder="1" applyFont="1" applyNumberFormat="1">
      <alignment horizontal="center" shrinkToFit="0" vertical="center" wrapText="1"/>
    </xf>
    <xf borderId="14" fillId="6" fontId="1" numFmtId="0" xfId="0" applyAlignment="1" applyBorder="1" applyFont="1">
      <alignment horizontal="center" shrinkToFit="0" vertical="center" wrapText="1"/>
    </xf>
    <xf borderId="15" fillId="0" fontId="1" numFmtId="2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1" numFmtId="0" xfId="0" applyAlignment="1" applyBorder="1" applyFont="1">
      <alignment shrinkToFit="0" vertical="center" wrapText="1"/>
    </xf>
    <xf borderId="17" fillId="2" fontId="1" numFmtId="2" xfId="0" applyAlignment="1" applyBorder="1" applyFont="1" applyNumberFormat="1">
      <alignment horizontal="center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shrinkToFit="0" vertical="center" wrapText="1"/>
    </xf>
    <xf borderId="17" fillId="2" fontId="1" numFmtId="0" xfId="0" applyAlignment="1" applyBorder="1" applyFont="1">
      <alignment horizontal="center" readingOrder="0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2" fontId="1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vertical="center"/>
    </xf>
    <xf borderId="14" fillId="0" fontId="1" numFmtId="2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shrinkToFit="0" wrapText="1"/>
    </xf>
    <xf borderId="14" fillId="0" fontId="1" numFmtId="0" xfId="0" applyBorder="1" applyFont="1"/>
    <xf borderId="14" fillId="0" fontId="1" numFmtId="0" xfId="0" applyAlignment="1" applyBorder="1" applyFont="1">
      <alignment horizontal="center" readingOrder="0"/>
    </xf>
    <xf borderId="14" fillId="0" fontId="1" numFmtId="2" xfId="0" applyAlignment="1" applyBorder="1" applyFont="1" applyNumberFormat="1">
      <alignment horizontal="center" readingOrder="0" vertical="center"/>
    </xf>
    <xf borderId="22" fillId="2" fontId="1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shrinkToFit="0" wrapText="1"/>
    </xf>
    <xf borderId="15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shrinkToFit="0" wrapText="1"/>
    </xf>
    <xf borderId="16" fillId="2" fontId="1" numFmtId="0" xfId="0" applyAlignment="1" applyBorder="1" applyFont="1">
      <alignment shrinkToFit="0" wrapText="1"/>
    </xf>
    <xf borderId="23" fillId="2" fontId="1" numFmtId="2" xfId="0" applyAlignment="1" applyBorder="1" applyFont="1" applyNumberFormat="1">
      <alignment horizontal="center" shrinkToFit="0" vertical="center" wrapText="1"/>
    </xf>
    <xf borderId="17" fillId="2" fontId="1" numFmtId="0" xfId="0" applyAlignment="1" applyBorder="1" applyFont="1">
      <alignment shrinkToFit="0" wrapText="1"/>
    </xf>
    <xf borderId="24" fillId="2" fontId="1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 readingOrder="0" shrinkToFit="0" vertical="center" wrapText="1"/>
    </xf>
    <xf borderId="14" fillId="5" fontId="3" numFmtId="0" xfId="0" applyAlignment="1" applyBorder="1" applyFont="1">
      <alignment horizontal="center" readingOrder="0" shrinkToFit="0" wrapText="1"/>
    </xf>
    <xf borderId="14" fillId="0" fontId="3" numFmtId="0" xfId="0" applyAlignment="1" applyBorder="1" applyFont="1">
      <alignment readingOrder="0" shrinkToFit="0" wrapText="1"/>
    </xf>
    <xf borderId="13" fillId="7" fontId="3" numFmtId="0" xfId="0" applyAlignment="1" applyBorder="1" applyFont="1">
      <alignment readingOrder="0" shrinkToFit="0" wrapText="1"/>
    </xf>
    <xf borderId="14" fillId="7" fontId="3" numFmtId="2" xfId="0" applyAlignment="1" applyBorder="1" applyFont="1" applyNumberFormat="1">
      <alignment horizontal="center" shrinkToFit="0" vertical="center" wrapText="1"/>
    </xf>
    <xf borderId="14" fillId="7" fontId="1" numFmtId="0" xfId="0" applyAlignment="1" applyBorder="1" applyFont="1">
      <alignment horizontal="center" shrinkToFit="0" vertical="center" wrapText="1"/>
    </xf>
    <xf borderId="14" fillId="7" fontId="3" numFmtId="0" xfId="0" applyAlignment="1" applyBorder="1" applyFont="1">
      <alignment shrinkToFit="0" wrapText="1"/>
    </xf>
    <xf borderId="13" fillId="3" fontId="1" numFmtId="0" xfId="0" applyAlignment="1" applyBorder="1" applyFont="1">
      <alignment readingOrder="0" shrinkToFit="0" wrapText="1"/>
    </xf>
    <xf borderId="14" fillId="5" fontId="3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14" fillId="8" fontId="3" numFmtId="2" xfId="0" applyAlignment="1" applyBorder="1" applyFill="1" applyFont="1" applyNumberFormat="1">
      <alignment horizontal="center" shrinkToFit="0" vertical="center" wrapText="1"/>
    </xf>
    <xf borderId="14" fillId="8" fontId="1" numFmtId="0" xfId="0" applyAlignment="1" applyBorder="1" applyFont="1">
      <alignment horizontal="center" shrinkToFit="0" vertical="center" wrapText="1"/>
    </xf>
    <xf borderId="14" fillId="8" fontId="3" numFmtId="0" xfId="0" applyAlignment="1" applyBorder="1" applyFont="1">
      <alignment shrinkToFit="0" wrapText="1"/>
    </xf>
    <xf borderId="14" fillId="5" fontId="3" numFmtId="0" xfId="0" applyAlignment="1" applyBorder="1" applyFont="1">
      <alignment readingOrder="0" shrinkToFit="0" wrapText="1"/>
    </xf>
    <xf borderId="0" fillId="5" fontId="5" numFmtId="0" xfId="0" applyAlignment="1" applyFont="1">
      <alignment readingOrder="0"/>
    </xf>
    <xf borderId="0" fillId="0" fontId="6" numFmtId="0" xfId="0" applyAlignment="1" applyFont="1">
      <alignment readingOrder="0"/>
    </xf>
    <xf borderId="14" fillId="0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shrinkToFit="0" vertical="center" wrapText="1"/>
    </xf>
    <xf borderId="14" fillId="0" fontId="3" numFmtId="2" xfId="0" applyAlignment="1" applyBorder="1" applyFont="1" applyNumberFormat="1">
      <alignment horizontal="center" vertical="center"/>
    </xf>
    <xf borderId="14" fillId="0" fontId="3" numFmtId="0" xfId="0" applyAlignment="1" applyBorder="1" applyFont="1">
      <alignment horizontal="center" readingOrder="0" shrinkToFit="0" wrapText="1"/>
    </xf>
    <xf borderId="13" fillId="7" fontId="3" numFmtId="0" xfId="0" applyAlignment="1" applyBorder="1" applyFont="1">
      <alignment shrinkToFit="0" wrapText="1"/>
    </xf>
    <xf borderId="14" fillId="9" fontId="1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5.13"/>
    <col customWidth="1" min="10" max="10" width="11.25"/>
    <col customWidth="1" min="11" max="12" width="7.63"/>
    <col customWidth="1" min="13" max="13" width="16.0"/>
    <col customWidth="1" min="14" max="14" width="13.38"/>
    <col customWidth="1" min="15" max="15" width="15.5"/>
    <col customWidth="1" min="16" max="16" width="11.75"/>
    <col customWidth="1" min="17" max="17" width="7.63"/>
    <col customWidth="1" min="18" max="18" width="9.63"/>
    <col customWidth="1" min="19" max="19" width="10.38"/>
    <col customWidth="1" min="20" max="20" width="10.63"/>
    <col customWidth="1" min="21" max="21" width="8.63"/>
    <col customWidth="1" min="22" max="27" width="7.63"/>
  </cols>
  <sheetData>
    <row r="1" ht="15.0" customHeight="1">
      <c r="A1" s="1" t="s">
        <v>0</v>
      </c>
      <c r="B1" s="2" t="s">
        <v>1</v>
      </c>
      <c r="C1" s="3"/>
      <c r="D1" s="4" t="s">
        <v>2</v>
      </c>
      <c r="E1" s="2" t="s">
        <v>3</v>
      </c>
      <c r="F1" s="5"/>
      <c r="G1" s="2" t="s">
        <v>4</v>
      </c>
      <c r="H1" s="6"/>
      <c r="I1" s="6"/>
      <c r="J1" s="6"/>
    </row>
    <row r="2" ht="36.0" customHeight="1">
      <c r="A2" s="7"/>
      <c r="B2" s="8" t="s">
        <v>5</v>
      </c>
      <c r="C2" s="9" t="s">
        <v>6</v>
      </c>
      <c r="D2" s="10"/>
      <c r="E2" s="11" t="s">
        <v>7</v>
      </c>
      <c r="F2" s="12" t="s">
        <v>8</v>
      </c>
      <c r="G2" s="12" t="s">
        <v>9</v>
      </c>
      <c r="H2" s="12" t="s">
        <v>10</v>
      </c>
      <c r="I2" s="13" t="s">
        <v>11</v>
      </c>
      <c r="J2" s="13" t="s">
        <v>8</v>
      </c>
    </row>
    <row r="3">
      <c r="A3" s="14" t="s">
        <v>12</v>
      </c>
      <c r="B3" s="15">
        <v>3.705</v>
      </c>
      <c r="C3" s="15">
        <v>7.7</v>
      </c>
      <c r="D3" s="16">
        <f t="shared" ref="D3:D26" si="1">IF(B3&lt;=6,100,100+ROUNDDOWN((B3-6)/4,0)*60)</f>
        <v>100</v>
      </c>
      <c r="E3" s="17">
        <v>2.0</v>
      </c>
      <c r="F3" s="16">
        <f t="shared" ref="F3:F6" si="2">IF(E3&lt;4,E3*600,1800+(E3-3)*100)</f>
        <v>1200</v>
      </c>
      <c r="G3" s="18" t="s">
        <v>13</v>
      </c>
      <c r="H3" s="19">
        <v>5500.0</v>
      </c>
      <c r="I3" s="19">
        <v>1.0</v>
      </c>
      <c r="J3" s="19">
        <f t="shared" ref="J3:J6" si="3">H3/I3</f>
        <v>5500</v>
      </c>
    </row>
    <row r="4">
      <c r="A4" s="14" t="s">
        <v>14</v>
      </c>
      <c r="B4" s="15">
        <v>3.9515</v>
      </c>
      <c r="C4" s="15">
        <v>8.2687</v>
      </c>
      <c r="D4" s="16">
        <f t="shared" si="1"/>
        <v>100</v>
      </c>
      <c r="E4" s="17">
        <v>2.0</v>
      </c>
      <c r="F4" s="16">
        <f t="shared" si="2"/>
        <v>1200</v>
      </c>
      <c r="G4" s="19" t="s">
        <v>13</v>
      </c>
      <c r="H4" s="19">
        <v>5500.0</v>
      </c>
      <c r="I4" s="19">
        <v>1.0</v>
      </c>
      <c r="J4" s="19">
        <f t="shared" si="3"/>
        <v>5500</v>
      </c>
    </row>
    <row r="5">
      <c r="A5" s="14" t="s">
        <v>15</v>
      </c>
      <c r="B5" s="15">
        <v>3.4354</v>
      </c>
      <c r="C5" s="15">
        <v>7.42</v>
      </c>
      <c r="D5" s="16">
        <f t="shared" si="1"/>
        <v>100</v>
      </c>
      <c r="E5" s="17">
        <v>2.0</v>
      </c>
      <c r="F5" s="16">
        <f t="shared" si="2"/>
        <v>1200</v>
      </c>
      <c r="G5" s="19" t="s">
        <v>13</v>
      </c>
      <c r="H5" s="19">
        <v>5500.0</v>
      </c>
      <c r="I5" s="19">
        <v>1.0</v>
      </c>
      <c r="J5" s="19">
        <f t="shared" si="3"/>
        <v>5500</v>
      </c>
    </row>
    <row r="6">
      <c r="A6" s="14" t="s">
        <v>16</v>
      </c>
      <c r="B6" s="15">
        <v>2.07</v>
      </c>
      <c r="C6" s="15">
        <v>5.76</v>
      </c>
      <c r="D6" s="16">
        <f t="shared" si="1"/>
        <v>100</v>
      </c>
      <c r="E6" s="17">
        <v>2.0</v>
      </c>
      <c r="F6" s="16">
        <f t="shared" si="2"/>
        <v>1200</v>
      </c>
      <c r="G6" s="19" t="s">
        <v>13</v>
      </c>
      <c r="H6" s="19">
        <v>5500.0</v>
      </c>
      <c r="I6" s="19">
        <v>1.0</v>
      </c>
      <c r="J6" s="19">
        <f t="shared" si="3"/>
        <v>5500</v>
      </c>
    </row>
    <row r="7">
      <c r="A7" s="20" t="s">
        <v>17</v>
      </c>
      <c r="B7" s="15">
        <v>12.9435</v>
      </c>
      <c r="C7" s="15">
        <v>15.3022</v>
      </c>
      <c r="D7" s="16">
        <f t="shared" si="1"/>
        <v>160</v>
      </c>
      <c r="E7" s="16">
        <f>ROUNDUP(C7/3.5,0)</f>
        <v>5</v>
      </c>
      <c r="F7" s="16">
        <f>IF(E7&lt;4,E7*600,1800+(E7-3)*100)</f>
        <v>2000</v>
      </c>
      <c r="G7" s="16" t="str">
        <f>CONCATENATE("1 x geladeira duplex",CHAR(10),"1 x forno de microondas",CHAR(10),"1 x lavadora de louça",CHAR(10),"1 x freezer vertical",CHAR(10),"1 x air fryer",CHAR(10),"1 x fogão elétrico 4 bocas",CHAR(10),"1 x forno elétrico pequeno",CHAR(10),"1 x exaustor")</f>
        <v>1 x geladeira duplex
1 x forno de microondas
1 x lavadora de louça
1 x freezer vertical
1 x air fryer
1 x fogão elétrico 4 bocas
1 x forno elétrico pequeno
1 x exaustor</v>
      </c>
      <c r="H7" s="16" t="str">
        <f>CONCATENATE(500,CHAR(10),2000,CHAR(10),1500,CHAR(10),300,CHAR(10),1900,CHAR(10),6000,CHAR(10),1500,CHAR(10),150)</f>
        <v>500
2000
1500
300
1900
6000
1500
150</v>
      </c>
      <c r="I7" s="19" t="str">
        <f>CONCATENATE(0.85,CHAR(10),0.85,CHAR(10),0.85,CHAR(10),0.85,CHAR(10),0.85,CHAR(10),1,CHAR(10),1,CHAR(10),0.85)</f>
        <v>0.85
0.85
0.85
0.85
0.85
1
1
0.85</v>
      </c>
      <c r="J7" s="18">
        <f>500/0.85+2000/0.85+1500/0.85+300/0.85+1900/0.85+6000/1+1500/1+150/0.85</f>
        <v>14970.58824</v>
      </c>
      <c r="K7" s="21"/>
    </row>
    <row r="8">
      <c r="A8" s="20" t="s">
        <v>18</v>
      </c>
      <c r="B8" s="15">
        <v>4.048</v>
      </c>
      <c r="C8" s="15">
        <v>8.12</v>
      </c>
      <c r="D8" s="16">
        <f t="shared" si="1"/>
        <v>100</v>
      </c>
      <c r="E8" s="19">
        <v>4.0</v>
      </c>
      <c r="F8" s="16">
        <f t="shared" ref="F8:F21" si="4">100*E8</f>
        <v>400</v>
      </c>
      <c r="G8" s="19" t="s">
        <v>19</v>
      </c>
      <c r="H8" s="16"/>
      <c r="I8" s="19"/>
      <c r="J8" s="19"/>
    </row>
    <row r="9">
      <c r="A9" s="20" t="s">
        <v>20</v>
      </c>
      <c r="B9" s="15">
        <v>2.07</v>
      </c>
      <c r="C9" s="15">
        <v>5.76</v>
      </c>
      <c r="D9" s="16">
        <f t="shared" si="1"/>
        <v>100</v>
      </c>
      <c r="E9" s="16">
        <f t="shared" ref="E9:E10" si="5">IF(B9&lt;=6,1,ROUNDUP(C9/5,0))</f>
        <v>1</v>
      </c>
      <c r="F9" s="16">
        <f t="shared" si="4"/>
        <v>100</v>
      </c>
      <c r="G9" s="19" t="s">
        <v>19</v>
      </c>
      <c r="H9" s="16"/>
      <c r="I9" s="19"/>
      <c r="J9" s="19"/>
    </row>
    <row r="10">
      <c r="A10" s="20" t="s">
        <v>21</v>
      </c>
      <c r="B10" s="15">
        <v>1.87</v>
      </c>
      <c r="C10" s="15">
        <v>6.1</v>
      </c>
      <c r="D10" s="16">
        <f t="shared" si="1"/>
        <v>100</v>
      </c>
      <c r="E10" s="16">
        <f t="shared" si="5"/>
        <v>1</v>
      </c>
      <c r="F10" s="16">
        <f t="shared" si="4"/>
        <v>100</v>
      </c>
      <c r="G10" s="19" t="s">
        <v>19</v>
      </c>
      <c r="H10" s="16"/>
      <c r="I10" s="16"/>
      <c r="J10" s="19"/>
    </row>
    <row r="11">
      <c r="A11" s="14" t="s">
        <v>22</v>
      </c>
      <c r="B11" s="15">
        <v>9.4278</v>
      </c>
      <c r="C11" s="15">
        <v>12.8493</v>
      </c>
      <c r="D11" s="16">
        <f t="shared" si="1"/>
        <v>100</v>
      </c>
      <c r="E11" s="19">
        <v>6.0</v>
      </c>
      <c r="F11" s="16">
        <f t="shared" si="4"/>
        <v>600</v>
      </c>
      <c r="G11" s="19" t="s">
        <v>23</v>
      </c>
      <c r="H11" s="19">
        <v>1200.0</v>
      </c>
      <c r="I11" s="19">
        <v>0.85</v>
      </c>
      <c r="J11" s="18">
        <f t="shared" ref="J11:J14" si="6">H11/I11</f>
        <v>1411.764706</v>
      </c>
    </row>
    <row r="12">
      <c r="A12" s="14" t="s">
        <v>24</v>
      </c>
      <c r="B12" s="15">
        <v>11.7128</v>
      </c>
      <c r="C12" s="15">
        <v>14.038</v>
      </c>
      <c r="D12" s="16">
        <f t="shared" si="1"/>
        <v>160</v>
      </c>
      <c r="E12" s="19">
        <v>6.0</v>
      </c>
      <c r="F12" s="16">
        <f t="shared" si="4"/>
        <v>600</v>
      </c>
      <c r="G12" s="19" t="s">
        <v>23</v>
      </c>
      <c r="H12" s="19">
        <v>1200.0</v>
      </c>
      <c r="I12" s="19">
        <v>0.85</v>
      </c>
      <c r="J12" s="18">
        <f t="shared" si="6"/>
        <v>1411.764706</v>
      </c>
    </row>
    <row r="13">
      <c r="A13" s="14" t="s">
        <v>25</v>
      </c>
      <c r="B13" s="15">
        <v>9.572</v>
      </c>
      <c r="C13" s="15">
        <v>12.8766</v>
      </c>
      <c r="D13" s="16">
        <f t="shared" si="1"/>
        <v>100</v>
      </c>
      <c r="E13" s="19">
        <v>6.0</v>
      </c>
      <c r="F13" s="16">
        <f t="shared" si="4"/>
        <v>600</v>
      </c>
      <c r="G13" s="19" t="s">
        <v>23</v>
      </c>
      <c r="H13" s="19">
        <v>1200.0</v>
      </c>
      <c r="I13" s="19">
        <v>0.85</v>
      </c>
      <c r="J13" s="18">
        <f t="shared" si="6"/>
        <v>1411.764706</v>
      </c>
    </row>
    <row r="14">
      <c r="A14" s="14" t="s">
        <v>26</v>
      </c>
      <c r="B14" s="15">
        <v>8.932</v>
      </c>
      <c r="C14" s="15">
        <v>11.96</v>
      </c>
      <c r="D14" s="16">
        <f t="shared" si="1"/>
        <v>100</v>
      </c>
      <c r="E14" s="19">
        <v>6.0</v>
      </c>
      <c r="F14" s="16">
        <f t="shared" si="4"/>
        <v>600</v>
      </c>
      <c r="G14" s="19" t="s">
        <v>23</v>
      </c>
      <c r="H14" s="19">
        <v>1200.0</v>
      </c>
      <c r="I14" s="19">
        <v>0.85</v>
      </c>
      <c r="J14" s="18">
        <f t="shared" si="6"/>
        <v>1411.764706</v>
      </c>
    </row>
    <row r="15">
      <c r="A15" s="22" t="s">
        <v>27</v>
      </c>
      <c r="B15" s="23">
        <v>2.25</v>
      </c>
      <c r="C15" s="23">
        <v>6.0</v>
      </c>
      <c r="D15" s="24">
        <f t="shared" si="1"/>
        <v>100</v>
      </c>
      <c r="E15" s="24">
        <f t="shared" ref="E15:E16" si="7">IF(B15&lt;=6,1,ROUNDUP(C15/5,0))</f>
        <v>1</v>
      </c>
      <c r="F15" s="24">
        <f t="shared" si="4"/>
        <v>100</v>
      </c>
      <c r="G15" s="24"/>
      <c r="H15" s="24"/>
      <c r="I15" s="16"/>
      <c r="J15" s="19"/>
    </row>
    <row r="16">
      <c r="A16" s="22" t="s">
        <v>28</v>
      </c>
      <c r="B16" s="23">
        <v>2.43</v>
      </c>
      <c r="C16" s="23">
        <v>6.24</v>
      </c>
      <c r="D16" s="24">
        <f t="shared" si="1"/>
        <v>100</v>
      </c>
      <c r="E16" s="24">
        <f t="shared" si="7"/>
        <v>1</v>
      </c>
      <c r="F16" s="24">
        <f t="shared" si="4"/>
        <v>100</v>
      </c>
      <c r="G16" s="24"/>
      <c r="H16" s="24"/>
      <c r="I16" s="16"/>
      <c r="J16" s="19"/>
    </row>
    <row r="17">
      <c r="A17" s="20" t="s">
        <v>29</v>
      </c>
      <c r="B17" s="15">
        <v>20.3932</v>
      </c>
      <c r="C17" s="15">
        <v>19.9</v>
      </c>
      <c r="D17" s="16">
        <f t="shared" si="1"/>
        <v>280</v>
      </c>
      <c r="E17" s="19">
        <v>8.0</v>
      </c>
      <c r="F17" s="16">
        <f t="shared" si="4"/>
        <v>800</v>
      </c>
      <c r="G17" s="19" t="s">
        <v>23</v>
      </c>
      <c r="H17" s="19">
        <v>1200.0</v>
      </c>
      <c r="I17" s="19">
        <v>0.85</v>
      </c>
      <c r="J17" s="18">
        <f>H17/I17</f>
        <v>1411.764706</v>
      </c>
    </row>
    <row r="18">
      <c r="A18" s="14" t="s">
        <v>30</v>
      </c>
      <c r="B18" s="15">
        <v>5.4425</v>
      </c>
      <c r="C18" s="15">
        <v>11.46</v>
      </c>
      <c r="D18" s="16">
        <f t="shared" si="1"/>
        <v>100</v>
      </c>
      <c r="E18" s="16">
        <f t="shared" ref="E18:E21" si="8">IF(B18&lt;=6,1,ROUNDUP(C18/5,0))</f>
        <v>1</v>
      </c>
      <c r="F18" s="16">
        <f t="shared" si="4"/>
        <v>100</v>
      </c>
      <c r="G18" s="19" t="s">
        <v>19</v>
      </c>
      <c r="H18" s="16"/>
      <c r="I18" s="16"/>
      <c r="J18" s="19"/>
    </row>
    <row r="19">
      <c r="A19" s="14" t="s">
        <v>31</v>
      </c>
      <c r="B19" s="15">
        <v>3.3585</v>
      </c>
      <c r="C19" s="15">
        <v>7.86</v>
      </c>
      <c r="D19" s="16">
        <f t="shared" si="1"/>
        <v>100</v>
      </c>
      <c r="E19" s="16">
        <f t="shared" si="8"/>
        <v>1</v>
      </c>
      <c r="F19" s="16">
        <f t="shared" si="4"/>
        <v>100</v>
      </c>
      <c r="G19" s="19" t="s">
        <v>19</v>
      </c>
      <c r="H19" s="16"/>
      <c r="I19" s="16"/>
      <c r="J19" s="19"/>
    </row>
    <row r="20">
      <c r="A20" s="14" t="s">
        <v>32</v>
      </c>
      <c r="B20" s="15">
        <v>3.43</v>
      </c>
      <c r="C20" s="15">
        <v>7.7</v>
      </c>
      <c r="D20" s="16">
        <f t="shared" si="1"/>
        <v>100</v>
      </c>
      <c r="E20" s="16">
        <f t="shared" si="8"/>
        <v>1</v>
      </c>
      <c r="F20" s="16">
        <f t="shared" si="4"/>
        <v>100</v>
      </c>
      <c r="G20" s="19" t="s">
        <v>19</v>
      </c>
      <c r="H20" s="16"/>
      <c r="I20" s="16"/>
      <c r="J20" s="19"/>
    </row>
    <row r="21" ht="15.75" customHeight="1">
      <c r="A21" s="20" t="s">
        <v>33</v>
      </c>
      <c r="B21" s="15">
        <v>26.7517</v>
      </c>
      <c r="C21" s="15">
        <v>25.8882</v>
      </c>
      <c r="D21" s="16">
        <f t="shared" si="1"/>
        <v>400</v>
      </c>
      <c r="E21" s="16">
        <f t="shared" si="8"/>
        <v>6</v>
      </c>
      <c r="F21" s="16">
        <f t="shared" si="4"/>
        <v>600</v>
      </c>
      <c r="G21" s="19" t="s">
        <v>23</v>
      </c>
      <c r="H21" s="19">
        <v>1200.0</v>
      </c>
      <c r="I21" s="19">
        <v>0.85</v>
      </c>
      <c r="J21" s="18">
        <f t="shared" ref="J21:J22" si="9">H21/I21</f>
        <v>1411.764706</v>
      </c>
    </row>
    <row r="22" ht="15.75" customHeight="1">
      <c r="A22" s="20" t="s">
        <v>34</v>
      </c>
      <c r="B22" s="15">
        <v>12.956</v>
      </c>
      <c r="C22" s="15">
        <v>20.04</v>
      </c>
      <c r="D22" s="16">
        <f t="shared" si="1"/>
        <v>160</v>
      </c>
      <c r="E22" s="16">
        <f>ROUNDUP(C22/3.5,0)</f>
        <v>6</v>
      </c>
      <c r="F22" s="16">
        <f>IF(E22&lt;4,E22*600,1800+(E22-3)*100)</f>
        <v>2100</v>
      </c>
      <c r="G22" s="19" t="str">
        <f>CONCATENATE("1 x lavadora de roupas",CHAR(10),"1 x secadora de roupas")</f>
        <v>1 x lavadora de roupas
1 x secadora de roupas</v>
      </c>
      <c r="H22" s="16">
        <f>1000+3500</f>
        <v>4500</v>
      </c>
      <c r="I22" s="19">
        <v>0.85</v>
      </c>
      <c r="J22" s="18">
        <f t="shared" si="9"/>
        <v>5294.117647</v>
      </c>
    </row>
    <row r="23" ht="15.75" customHeight="1">
      <c r="A23" s="20" t="s">
        <v>35</v>
      </c>
      <c r="B23" s="15">
        <v>14.4899</v>
      </c>
      <c r="C23" s="15">
        <v>17.44</v>
      </c>
      <c r="D23" s="16">
        <f t="shared" si="1"/>
        <v>220</v>
      </c>
      <c r="E23" s="16">
        <f t="shared" ref="E23:E25" si="10">IF(B23&lt;=6,1,ROUNDUP(C23/5,0))</f>
        <v>4</v>
      </c>
      <c r="F23" s="16">
        <f t="shared" ref="F23:F25" si="11">100*E23</f>
        <v>400</v>
      </c>
      <c r="G23" s="19" t="s">
        <v>19</v>
      </c>
      <c r="H23" s="16"/>
      <c r="I23" s="16"/>
      <c r="J23" s="19"/>
    </row>
    <row r="24" ht="15.75" customHeight="1">
      <c r="A24" s="14" t="s">
        <v>36</v>
      </c>
      <c r="B24" s="15">
        <v>5.719</v>
      </c>
      <c r="C24" s="15">
        <v>9.62</v>
      </c>
      <c r="D24" s="16">
        <f t="shared" si="1"/>
        <v>100</v>
      </c>
      <c r="E24" s="16">
        <f t="shared" si="10"/>
        <v>1</v>
      </c>
      <c r="F24" s="16">
        <f t="shared" si="11"/>
        <v>100</v>
      </c>
      <c r="G24" s="19" t="s">
        <v>19</v>
      </c>
      <c r="H24" s="16"/>
      <c r="I24" s="16"/>
      <c r="J24" s="19"/>
    </row>
    <row r="25" ht="15.75" customHeight="1">
      <c r="A25" s="20" t="s">
        <v>37</v>
      </c>
      <c r="B25" s="15">
        <v>2.2195</v>
      </c>
      <c r="C25" s="15">
        <v>6.16</v>
      </c>
      <c r="D25" s="16">
        <f t="shared" si="1"/>
        <v>100</v>
      </c>
      <c r="E25" s="16">
        <f t="shared" si="10"/>
        <v>1</v>
      </c>
      <c r="F25" s="16">
        <f t="shared" si="11"/>
        <v>100</v>
      </c>
      <c r="G25" s="19" t="s">
        <v>19</v>
      </c>
      <c r="H25" s="16"/>
      <c r="I25" s="16"/>
      <c r="J25" s="19"/>
    </row>
    <row r="26" ht="15.75" customHeight="1">
      <c r="A26" s="20" t="s">
        <v>38</v>
      </c>
      <c r="B26" s="15">
        <v>1.19</v>
      </c>
      <c r="C26" s="25">
        <v>4.5</v>
      </c>
      <c r="D26" s="16">
        <f t="shared" si="1"/>
        <v>100</v>
      </c>
      <c r="E26" s="19">
        <v>2.0</v>
      </c>
      <c r="F26" s="26">
        <f>IF(E26&lt;4,E26*600,1800+(E26-3)*100)</f>
        <v>1200</v>
      </c>
      <c r="G26" s="27" t="s">
        <v>19</v>
      </c>
      <c r="H26" s="26"/>
      <c r="I26" s="16"/>
      <c r="J26" s="19"/>
    </row>
    <row r="27" ht="15.75" customHeight="1">
      <c r="A27" s="28" t="s">
        <v>39</v>
      </c>
      <c r="B27" s="29">
        <f>SUM(B3:B26)</f>
        <v>174.3683</v>
      </c>
      <c r="C27" s="30" t="s">
        <v>19</v>
      </c>
      <c r="D27" s="30">
        <f t="shared" ref="D27:F27" si="12">SUM(D3:D26)</f>
        <v>3180</v>
      </c>
      <c r="E27" s="30">
        <f t="shared" si="12"/>
        <v>76</v>
      </c>
      <c r="F27" s="30">
        <f t="shared" si="12"/>
        <v>15600</v>
      </c>
      <c r="G27" s="31"/>
      <c r="H27" s="30">
        <f>SUM(H3:H26)</f>
        <v>33700</v>
      </c>
      <c r="I27" s="32" t="s">
        <v>19</v>
      </c>
      <c r="J27" s="29">
        <f>SUM(J3:J26)</f>
        <v>50735.29412</v>
      </c>
    </row>
    <row r="28" ht="15.75" customHeight="1"/>
    <row r="29" ht="15.75" customHeight="1"/>
    <row r="30" ht="15.75" customHeight="1"/>
    <row r="31" ht="17.25" customHeight="1">
      <c r="M31" s="33" t="s">
        <v>40</v>
      </c>
      <c r="N31" s="3"/>
      <c r="O31" s="4" t="s">
        <v>41</v>
      </c>
      <c r="P31" s="4" t="s">
        <v>42</v>
      </c>
      <c r="Q31" s="4" t="s">
        <v>8</v>
      </c>
      <c r="R31" s="4" t="s">
        <v>43</v>
      </c>
      <c r="S31" s="4" t="s">
        <v>44</v>
      </c>
      <c r="T31" s="4" t="s">
        <v>45</v>
      </c>
      <c r="U31" s="2" t="s">
        <v>46</v>
      </c>
      <c r="V31" s="6"/>
      <c r="W31" s="34"/>
    </row>
    <row r="32" ht="15.75" customHeight="1">
      <c r="M32" s="35" t="s">
        <v>47</v>
      </c>
      <c r="N32" s="12" t="s">
        <v>48</v>
      </c>
      <c r="O32" s="10"/>
      <c r="P32" s="10"/>
      <c r="Q32" s="10"/>
      <c r="R32" s="10"/>
      <c r="S32" s="10"/>
      <c r="T32" s="10"/>
      <c r="U32" s="12" t="s">
        <v>48</v>
      </c>
      <c r="V32" s="12" t="s">
        <v>49</v>
      </c>
      <c r="W32" s="36" t="s">
        <v>50</v>
      </c>
    </row>
    <row r="33" ht="15.75" customHeight="1">
      <c r="M33" s="37">
        <v>1.0</v>
      </c>
      <c r="N33" s="37" t="s">
        <v>51</v>
      </c>
      <c r="O33" s="37">
        <v>220.0</v>
      </c>
      <c r="P33" s="16" t="str">
        <f>CONCATENATE(A11,CHAR(10),A12,CHAR(10),A13,CHAR(10),A14,CHAR(10),A24,CHAR(10),A25,CHAR(10),A18,CHAR(10),A3,CHAR(10),A4,CHAR(10),A5,CHAR(10),A23)</f>
        <v>Dormitório 1
Dormitório 2
Dormitório 3
Dormitório 4
Vestir 1
Vestir 2
Hall 1
BWC 1
BWC 2
BWC 3
Terraço</v>
      </c>
      <c r="Q33" s="37">
        <f>SUM(D11,D12,D13,D14,D24,D25,D18,D3,D4,D5,D23)</f>
        <v>1280</v>
      </c>
      <c r="R33" s="38">
        <f t="shared" ref="R33:R60" si="13">Q33/O33</f>
        <v>5.818181818</v>
      </c>
      <c r="S33" s="37"/>
      <c r="T33" s="37"/>
      <c r="U33" s="37"/>
      <c r="V33" s="37"/>
      <c r="W33" s="37"/>
    </row>
    <row r="34" ht="15.75" customHeight="1">
      <c r="M34" s="37">
        <v>2.0</v>
      </c>
      <c r="N34" s="37" t="s">
        <v>52</v>
      </c>
      <c r="O34" s="37">
        <v>220.0</v>
      </c>
      <c r="P34" s="16" t="str">
        <f>CONCATENATE(A7,CHAR(10),A8,CHAR(10),A9,CHAR(10),A10,CHAR(10),A22,CHAR(10),A6,CHAR(10),A19,CHAR(10),A20,CHAR(10),A26,CHAR(10),A17,CHAR(10),A21)</f>
        <v>Cozinha
Dependência
Depósito
Despensa
Serviço
BWC 4
Hall 2
Hall 3
WC
Estar
Jantar</v>
      </c>
      <c r="Q34" s="37">
        <f>SUM(D7,D8,D9,D10,D22,D6,D19,D20,D26,D17,D21)</f>
        <v>1700</v>
      </c>
      <c r="R34" s="38">
        <f t="shared" si="13"/>
        <v>7.727272727</v>
      </c>
      <c r="S34" s="37"/>
      <c r="T34" s="37"/>
      <c r="U34" s="37"/>
      <c r="V34" s="37"/>
      <c r="W34" s="37"/>
    </row>
    <row r="35" ht="15.75" customHeight="1">
      <c r="M35" s="37">
        <v>4.0</v>
      </c>
      <c r="N35" s="37" t="s">
        <v>53</v>
      </c>
      <c r="O35" s="37">
        <v>220.0</v>
      </c>
      <c r="P35" s="16" t="str">
        <f>CONCATENATE(A24,CHAR(10),A4,CHAR(10),A12)</f>
        <v>Vestir 1
BWC 2
Dormitório 2</v>
      </c>
      <c r="Q35" s="37">
        <f>SUM(F24,F4,F12)</f>
        <v>1900</v>
      </c>
      <c r="R35" s="38">
        <f t="shared" si="13"/>
        <v>8.636363636</v>
      </c>
      <c r="S35" s="37"/>
      <c r="T35" s="37"/>
      <c r="U35" s="37"/>
      <c r="V35" s="37"/>
      <c r="W35" s="37"/>
    </row>
    <row r="36" ht="15.75" customHeight="1">
      <c r="M36" s="37">
        <v>5.0</v>
      </c>
      <c r="N36" s="37" t="s">
        <v>53</v>
      </c>
      <c r="O36" s="37">
        <v>220.0</v>
      </c>
      <c r="P36" s="16" t="str">
        <f>CONCATENATE(A11,CHAR(10),A3)</f>
        <v>Dormitório 1
BWC 1</v>
      </c>
      <c r="Q36" s="37">
        <f>SUM(F11,F3)</f>
        <v>1800</v>
      </c>
      <c r="R36" s="38">
        <f t="shared" si="13"/>
        <v>8.181818182</v>
      </c>
      <c r="S36" s="37"/>
      <c r="T36" s="37"/>
      <c r="U36" s="37"/>
      <c r="V36" s="37"/>
      <c r="W36" s="37"/>
    </row>
    <row r="37" ht="15.75" customHeight="1">
      <c r="M37" s="37">
        <v>6.0</v>
      </c>
      <c r="N37" s="37" t="s">
        <v>53</v>
      </c>
      <c r="O37" s="37">
        <v>220.0</v>
      </c>
      <c r="P37" s="16" t="str">
        <f>CONCATENATE(A13,CHAR(10),A14,CHAR(10),A18)</f>
        <v>Dormitório 3
Dormitório 4
Hall 1</v>
      </c>
      <c r="Q37" s="37">
        <f>SUM(F13,F14,F18)</f>
        <v>1300</v>
      </c>
      <c r="R37" s="38">
        <f t="shared" si="13"/>
        <v>5.909090909</v>
      </c>
      <c r="S37" s="37"/>
      <c r="T37" s="37"/>
      <c r="U37" s="37"/>
      <c r="V37" s="37"/>
      <c r="W37" s="37"/>
    </row>
    <row r="38" ht="15.75" customHeight="1">
      <c r="M38" s="37">
        <v>7.0</v>
      </c>
      <c r="N38" s="37" t="s">
        <v>53</v>
      </c>
      <c r="O38" s="37">
        <v>220.0</v>
      </c>
      <c r="P38" s="16" t="str">
        <f>CONCATENATE(A5,CHAR(10),A25,CHAR(10),A23)</f>
        <v>BWC 3
Vestir 2
Terraço</v>
      </c>
      <c r="Q38" s="37">
        <f>SUM(F5,F25,F23)</f>
        <v>1700</v>
      </c>
      <c r="R38" s="38">
        <f t="shared" si="13"/>
        <v>7.727272727</v>
      </c>
      <c r="S38" s="37"/>
      <c r="T38" s="37"/>
      <c r="U38" s="37"/>
      <c r="V38" s="37"/>
      <c r="W38" s="37"/>
    </row>
    <row r="39" ht="15.75" customHeight="1">
      <c r="M39" s="37">
        <v>8.0</v>
      </c>
      <c r="N39" s="37" t="s">
        <v>53</v>
      </c>
      <c r="O39" s="37">
        <v>220.0</v>
      </c>
      <c r="P39" s="16" t="str">
        <f>CONCATENATE(A21,CHAR(10),A17)</f>
        <v>Jantar
Estar</v>
      </c>
      <c r="Q39" s="37">
        <f>SUM(F21,F17)</f>
        <v>1400</v>
      </c>
      <c r="R39" s="38">
        <f t="shared" si="13"/>
        <v>6.363636364</v>
      </c>
      <c r="S39" s="37"/>
      <c r="T39" s="37"/>
      <c r="U39" s="37"/>
      <c r="V39" s="37"/>
      <c r="W39" s="37"/>
    </row>
    <row r="40" ht="15.75" customHeight="1">
      <c r="M40" s="37">
        <v>9.0</v>
      </c>
      <c r="N40" s="37" t="s">
        <v>53</v>
      </c>
      <c r="O40" s="37">
        <v>220.0</v>
      </c>
      <c r="P40" s="16" t="str">
        <f>CONCATENATE(A7,CHAR(10),A10)</f>
        <v>Cozinha
Despensa</v>
      </c>
      <c r="Q40" s="37">
        <f>SUM(F7,F10)</f>
        <v>2100</v>
      </c>
      <c r="R40" s="38">
        <f t="shared" si="13"/>
        <v>9.545454545</v>
      </c>
      <c r="S40" s="37"/>
      <c r="T40" s="37"/>
      <c r="U40" s="37"/>
      <c r="V40" s="37"/>
      <c r="W40" s="37"/>
    </row>
    <row r="41" ht="15.75" customHeight="1">
      <c r="M41" s="37">
        <v>10.0</v>
      </c>
      <c r="N41" s="37" t="s">
        <v>53</v>
      </c>
      <c r="O41" s="37">
        <v>220.0</v>
      </c>
      <c r="P41" s="16" t="str">
        <f>CONCATENATE(A22)</f>
        <v>Serviço</v>
      </c>
      <c r="Q41" s="37">
        <f>SUM(F22)</f>
        <v>2100</v>
      </c>
      <c r="R41" s="38">
        <f t="shared" si="13"/>
        <v>9.545454545</v>
      </c>
      <c r="S41" s="37"/>
      <c r="T41" s="37"/>
      <c r="U41" s="37"/>
      <c r="V41" s="37"/>
      <c r="W41" s="37"/>
    </row>
    <row r="42" ht="15.75" customHeight="1">
      <c r="M42" s="37">
        <v>11.0</v>
      </c>
      <c r="N42" s="37" t="s">
        <v>53</v>
      </c>
      <c r="O42" s="37">
        <v>220.0</v>
      </c>
      <c r="P42" s="16" t="str">
        <f>CONCATENATE(A9,CHAR(10),A6,CHAR(10),A8)</f>
        <v>Depósito
BWC 4
Dependência</v>
      </c>
      <c r="Q42" s="37">
        <f>SUM(F9,F6,F8)</f>
        <v>1700</v>
      </c>
      <c r="R42" s="38">
        <f t="shared" si="13"/>
        <v>7.727272727</v>
      </c>
      <c r="S42" s="37"/>
      <c r="T42" s="37"/>
      <c r="U42" s="37"/>
      <c r="V42" s="37"/>
      <c r="W42" s="37"/>
    </row>
    <row r="43" ht="15.75" customHeight="1">
      <c r="M43" s="37">
        <v>12.0</v>
      </c>
      <c r="N43" s="37" t="s">
        <v>53</v>
      </c>
      <c r="O43" s="37">
        <v>220.0</v>
      </c>
      <c r="P43" s="16" t="str">
        <f>CONCATENATE(A19,CHAR(10),A20,CHAR(10),A26)</f>
        <v>Hall 2
Hall 3
WC</v>
      </c>
      <c r="Q43" s="37">
        <f>SUM(F19,F20,F26)</f>
        <v>1400</v>
      </c>
      <c r="R43" s="38">
        <f t="shared" si="13"/>
        <v>6.363636364</v>
      </c>
      <c r="S43" s="37"/>
      <c r="T43" s="37"/>
      <c r="U43" s="37"/>
      <c r="V43" s="37"/>
      <c r="W43" s="37"/>
    </row>
    <row r="44" ht="15.75" customHeight="1">
      <c r="M44" s="37">
        <v>13.0</v>
      </c>
      <c r="N44" s="39" t="s">
        <v>54</v>
      </c>
      <c r="O44" s="37">
        <v>220.0</v>
      </c>
      <c r="P44" s="19" t="s">
        <v>55</v>
      </c>
      <c r="Q44" s="39">
        <v>5500.0</v>
      </c>
      <c r="R44" s="38">
        <f t="shared" si="13"/>
        <v>25</v>
      </c>
      <c r="S44" s="37"/>
      <c r="T44" s="37"/>
      <c r="U44" s="37"/>
      <c r="V44" s="37"/>
      <c r="W44" s="37"/>
    </row>
    <row r="45" ht="15.75" customHeight="1">
      <c r="M45" s="37">
        <v>14.0</v>
      </c>
      <c r="N45" s="39" t="s">
        <v>54</v>
      </c>
      <c r="O45" s="37">
        <v>220.0</v>
      </c>
      <c r="P45" s="19" t="s">
        <v>56</v>
      </c>
      <c r="Q45" s="39">
        <v>5500.0</v>
      </c>
      <c r="R45" s="38">
        <f t="shared" si="13"/>
        <v>25</v>
      </c>
      <c r="S45" s="37"/>
      <c r="T45" s="37"/>
      <c r="U45" s="37"/>
      <c r="V45" s="37"/>
      <c r="W45" s="37"/>
    </row>
    <row r="46" ht="15.75" customHeight="1">
      <c r="M46" s="37">
        <v>15.0</v>
      </c>
      <c r="N46" s="39" t="s">
        <v>54</v>
      </c>
      <c r="O46" s="37">
        <v>220.0</v>
      </c>
      <c r="P46" s="19" t="s">
        <v>57</v>
      </c>
      <c r="Q46" s="39">
        <v>5500.0</v>
      </c>
      <c r="R46" s="38">
        <f t="shared" si="13"/>
        <v>25</v>
      </c>
      <c r="S46" s="37"/>
      <c r="T46" s="37"/>
      <c r="U46" s="37"/>
      <c r="V46" s="37"/>
      <c r="W46" s="37"/>
    </row>
    <row r="47" ht="15.75" customHeight="1">
      <c r="M47" s="37">
        <v>16.0</v>
      </c>
      <c r="N47" s="39" t="s">
        <v>54</v>
      </c>
      <c r="O47" s="37">
        <v>220.0</v>
      </c>
      <c r="P47" s="19" t="s">
        <v>58</v>
      </c>
      <c r="Q47" s="39">
        <v>5500.0</v>
      </c>
      <c r="R47" s="38">
        <f t="shared" si="13"/>
        <v>25</v>
      </c>
      <c r="S47" s="37"/>
      <c r="T47" s="37"/>
      <c r="U47" s="37"/>
      <c r="V47" s="37"/>
      <c r="W47" s="37"/>
    </row>
    <row r="48" ht="15.75" customHeight="1">
      <c r="M48" s="37">
        <v>17.0</v>
      </c>
      <c r="N48" s="39" t="s">
        <v>54</v>
      </c>
      <c r="O48" s="37">
        <v>220.0</v>
      </c>
      <c r="P48" s="19" t="s">
        <v>59</v>
      </c>
      <c r="Q48" s="39">
        <v>1411.76</v>
      </c>
      <c r="R48" s="38">
        <f t="shared" si="13"/>
        <v>6.417090909</v>
      </c>
      <c r="S48" s="37"/>
      <c r="T48" s="37"/>
      <c r="U48" s="37"/>
      <c r="V48" s="37"/>
      <c r="W48" s="37"/>
    </row>
    <row r="49" ht="15.75" customHeight="1">
      <c r="M49" s="37">
        <v>18.0</v>
      </c>
      <c r="N49" s="39" t="s">
        <v>54</v>
      </c>
      <c r="O49" s="37">
        <v>220.0</v>
      </c>
      <c r="P49" s="19" t="s">
        <v>60</v>
      </c>
      <c r="Q49" s="39">
        <v>1411.76</v>
      </c>
      <c r="R49" s="38">
        <f t="shared" si="13"/>
        <v>6.417090909</v>
      </c>
      <c r="S49" s="37"/>
      <c r="T49" s="37"/>
      <c r="U49" s="37"/>
      <c r="V49" s="37"/>
      <c r="W49" s="37"/>
    </row>
    <row r="50" ht="15.75" customHeight="1">
      <c r="M50" s="37">
        <v>19.0</v>
      </c>
      <c r="N50" s="39" t="s">
        <v>54</v>
      </c>
      <c r="O50" s="37">
        <v>220.0</v>
      </c>
      <c r="P50" s="19" t="s">
        <v>61</v>
      </c>
      <c r="Q50" s="39">
        <v>1411.76</v>
      </c>
      <c r="R50" s="38">
        <f t="shared" si="13"/>
        <v>6.417090909</v>
      </c>
      <c r="S50" s="37"/>
      <c r="T50" s="37"/>
      <c r="U50" s="37"/>
      <c r="V50" s="37"/>
      <c r="W50" s="37"/>
    </row>
    <row r="51" ht="15.75" customHeight="1">
      <c r="M51" s="37">
        <v>20.0</v>
      </c>
      <c r="N51" s="39" t="s">
        <v>54</v>
      </c>
      <c r="O51" s="37">
        <v>220.0</v>
      </c>
      <c r="P51" s="19" t="s">
        <v>62</v>
      </c>
      <c r="Q51" s="39">
        <v>1411.76</v>
      </c>
      <c r="R51" s="38">
        <f t="shared" si="13"/>
        <v>6.417090909</v>
      </c>
      <c r="S51" s="37"/>
      <c r="T51" s="37"/>
      <c r="U51" s="37"/>
      <c r="V51" s="37"/>
      <c r="W51" s="37"/>
    </row>
    <row r="52" ht="15.75" customHeight="1">
      <c r="M52" s="37">
        <v>21.0</v>
      </c>
      <c r="N52" s="39" t="s">
        <v>54</v>
      </c>
      <c r="O52" s="37">
        <v>220.0</v>
      </c>
      <c r="P52" s="19" t="s">
        <v>63</v>
      </c>
      <c r="Q52" s="39">
        <v>1411.76</v>
      </c>
      <c r="R52" s="38">
        <f t="shared" si="13"/>
        <v>6.417090909</v>
      </c>
      <c r="S52" s="37"/>
      <c r="T52" s="37"/>
      <c r="U52" s="37"/>
      <c r="V52" s="37"/>
      <c r="W52" s="37"/>
    </row>
    <row r="53" ht="15.75" customHeight="1">
      <c r="M53" s="37">
        <v>22.0</v>
      </c>
      <c r="N53" s="39" t="s">
        <v>54</v>
      </c>
      <c r="O53" s="37">
        <v>220.0</v>
      </c>
      <c r="P53" s="19" t="s">
        <v>64</v>
      </c>
      <c r="Q53" s="39">
        <v>1411.76</v>
      </c>
      <c r="R53" s="38">
        <f t="shared" si="13"/>
        <v>6.417090909</v>
      </c>
      <c r="S53" s="37"/>
      <c r="T53" s="37"/>
      <c r="U53" s="37"/>
      <c r="V53" s="37"/>
      <c r="W53" s="37"/>
    </row>
    <row r="54" ht="15.75" customHeight="1">
      <c r="M54" s="37">
        <v>23.0</v>
      </c>
      <c r="N54" s="39" t="s">
        <v>54</v>
      </c>
      <c r="O54" s="39">
        <v>220.0</v>
      </c>
      <c r="P54" s="19" t="s">
        <v>65</v>
      </c>
      <c r="Q54" s="38">
        <f>J22</f>
        <v>5294.117647</v>
      </c>
      <c r="R54" s="38">
        <f t="shared" si="13"/>
        <v>24.06417112</v>
      </c>
      <c r="S54" s="37"/>
      <c r="T54" s="37"/>
      <c r="U54" s="37"/>
      <c r="V54" s="37"/>
      <c r="W54" s="37"/>
    </row>
    <row r="55" ht="15.75" customHeight="1">
      <c r="M55" s="37">
        <v>24.0</v>
      </c>
      <c r="N55" s="39" t="s">
        <v>54</v>
      </c>
      <c r="O55" s="39">
        <v>220.0</v>
      </c>
      <c r="P55" s="40" t="s">
        <v>66</v>
      </c>
      <c r="Q55" s="38">
        <f>500/0.85+300/0.85+150/0.85</f>
        <v>1117.647059</v>
      </c>
      <c r="R55" s="38">
        <f t="shared" si="13"/>
        <v>5.080213904</v>
      </c>
      <c r="S55" s="41"/>
      <c r="T55" s="41"/>
      <c r="U55" s="41"/>
      <c r="V55" s="41"/>
      <c r="W55" s="41"/>
    </row>
    <row r="56" ht="15.75" customHeight="1">
      <c r="M56" s="37">
        <v>25.0</v>
      </c>
      <c r="N56" s="39" t="s">
        <v>54</v>
      </c>
      <c r="O56" s="39">
        <v>220.0</v>
      </c>
      <c r="P56" s="42" t="s">
        <v>67</v>
      </c>
      <c r="Q56" s="38">
        <f>2000/0.85</f>
        <v>2352.941176</v>
      </c>
      <c r="R56" s="38">
        <f t="shared" si="13"/>
        <v>10.69518717</v>
      </c>
      <c r="S56" s="41"/>
      <c r="T56" s="41"/>
      <c r="U56" s="41"/>
      <c r="V56" s="41"/>
      <c r="W56" s="41"/>
    </row>
    <row r="57" ht="15.75" customHeight="1">
      <c r="M57" s="37">
        <v>26.0</v>
      </c>
      <c r="N57" s="39" t="s">
        <v>54</v>
      </c>
      <c r="O57" s="39">
        <v>220.0</v>
      </c>
      <c r="P57" s="40" t="s">
        <v>68</v>
      </c>
      <c r="Q57" s="38">
        <f>1500/0.85</f>
        <v>1764.705882</v>
      </c>
      <c r="R57" s="38">
        <f t="shared" si="13"/>
        <v>8.021390374</v>
      </c>
      <c r="S57" s="41"/>
      <c r="T57" s="41"/>
      <c r="U57" s="41"/>
      <c r="V57" s="41"/>
      <c r="W57" s="41"/>
    </row>
    <row r="58" ht="15.75" customHeight="1">
      <c r="M58" s="37">
        <v>27.0</v>
      </c>
      <c r="N58" s="39" t="s">
        <v>54</v>
      </c>
      <c r="O58" s="39">
        <v>220.0</v>
      </c>
      <c r="P58" s="42" t="s">
        <v>69</v>
      </c>
      <c r="Q58" s="38">
        <f>1900/0.85</f>
        <v>2235.294118</v>
      </c>
      <c r="R58" s="38">
        <f t="shared" si="13"/>
        <v>10.16042781</v>
      </c>
      <c r="S58" s="41"/>
      <c r="T58" s="41"/>
      <c r="U58" s="41"/>
      <c r="V58" s="41"/>
      <c r="W58" s="41"/>
    </row>
    <row r="59" ht="15.75" customHeight="1">
      <c r="M59" s="37">
        <v>28.0</v>
      </c>
      <c r="N59" s="39" t="s">
        <v>54</v>
      </c>
      <c r="O59" s="39">
        <v>220.0</v>
      </c>
      <c r="P59" s="42" t="s">
        <v>70</v>
      </c>
      <c r="Q59" s="38">
        <f>6000</f>
        <v>6000</v>
      </c>
      <c r="R59" s="38">
        <f t="shared" si="13"/>
        <v>27.27272727</v>
      </c>
      <c r="S59" s="41"/>
      <c r="T59" s="41"/>
      <c r="U59" s="41"/>
      <c r="V59" s="41"/>
      <c r="W59" s="41"/>
    </row>
    <row r="60" ht="15.75" customHeight="1">
      <c r="M60" s="37">
        <v>29.0</v>
      </c>
      <c r="N60" s="39" t="s">
        <v>54</v>
      </c>
      <c r="O60" s="39">
        <v>220.0</v>
      </c>
      <c r="P60" s="42" t="s">
        <v>71</v>
      </c>
      <c r="Q60" s="43">
        <v>1500.0</v>
      </c>
      <c r="R60" s="38">
        <f t="shared" si="13"/>
        <v>6.818181818</v>
      </c>
      <c r="S60" s="41"/>
      <c r="T60" s="41"/>
      <c r="U60" s="41"/>
      <c r="V60" s="41"/>
      <c r="W60" s="41"/>
    </row>
    <row r="61" ht="15.75" customHeight="1"/>
    <row r="62" ht="15.75" customHeight="1"/>
    <row r="63" ht="15.75" customHeight="1">
      <c r="M63" s="16">
        <f>500+2000+1500+300+1900+6000+1500+150</f>
        <v>13850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3">
    <mergeCell ref="P31:P32"/>
    <mergeCell ref="Q31:Q32"/>
    <mergeCell ref="R31:R32"/>
    <mergeCell ref="S31:S32"/>
    <mergeCell ref="T31:T32"/>
    <mergeCell ref="U31:W31"/>
    <mergeCell ref="A1:A2"/>
    <mergeCell ref="B1:C1"/>
    <mergeCell ref="D1:D2"/>
    <mergeCell ref="E1:F1"/>
    <mergeCell ref="G1:J1"/>
    <mergeCell ref="M31:N31"/>
    <mergeCell ref="O31:O3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16.0"/>
    <col customWidth="1" min="12" max="12" width="13.38"/>
    <col customWidth="1" min="13" max="13" width="15.5"/>
    <col customWidth="1" min="14" max="14" width="12.0"/>
    <col customWidth="1" min="15" max="15" width="7.63"/>
    <col customWidth="1" min="16" max="16" width="9.63"/>
    <col customWidth="1" min="17" max="17" width="10.38"/>
    <col customWidth="1" min="18" max="18" width="10.63"/>
    <col customWidth="1" min="19" max="19" width="8.63"/>
    <col customWidth="1" min="20" max="26" width="7.63"/>
  </cols>
  <sheetData>
    <row r="1" ht="15.0" customHeight="1">
      <c r="A1" s="1" t="s">
        <v>0</v>
      </c>
      <c r="B1" s="2" t="s">
        <v>1</v>
      </c>
      <c r="C1" s="3"/>
      <c r="D1" s="4" t="s">
        <v>2</v>
      </c>
      <c r="E1" s="2" t="s">
        <v>3</v>
      </c>
      <c r="F1" s="5"/>
      <c r="G1" s="2" t="s">
        <v>4</v>
      </c>
      <c r="H1" s="34"/>
    </row>
    <row r="2">
      <c r="A2" s="7"/>
      <c r="B2" s="8" t="s">
        <v>5</v>
      </c>
      <c r="C2" s="9" t="s">
        <v>6</v>
      </c>
      <c r="D2" s="10"/>
      <c r="E2" s="11" t="s">
        <v>7</v>
      </c>
      <c r="F2" s="12" t="s">
        <v>8</v>
      </c>
      <c r="G2" s="44" t="s">
        <v>9</v>
      </c>
      <c r="H2" s="36" t="s">
        <v>10</v>
      </c>
    </row>
    <row r="3">
      <c r="A3" s="45" t="s">
        <v>72</v>
      </c>
      <c r="B3" s="15">
        <v>12.4581</v>
      </c>
      <c r="C3" s="25">
        <v>14.2</v>
      </c>
      <c r="D3" s="26">
        <f>IF(B3&lt;=6,100,100+ROUNDDOWN((B3-6)/4,0)*60)</f>
        <v>160</v>
      </c>
      <c r="E3" s="46">
        <f>IF(B3&lt;=6,1,ROUNDUP(C3/5,0))</f>
        <v>3</v>
      </c>
      <c r="F3" s="26">
        <f>100*E3</f>
        <v>300</v>
      </c>
      <c r="G3" s="47"/>
      <c r="H3" s="47"/>
    </row>
    <row r="4" ht="15.0" customHeight="1">
      <c r="A4" s="48" t="s">
        <v>39</v>
      </c>
      <c r="B4" s="49">
        <f>SUM(B3)</f>
        <v>12.4581</v>
      </c>
      <c r="C4" s="29" t="s">
        <v>19</v>
      </c>
      <c r="D4" s="30">
        <f t="shared" ref="D4:F4" si="1">SUM(D3)</f>
        <v>160</v>
      </c>
      <c r="E4" s="30">
        <f t="shared" si="1"/>
        <v>3</v>
      </c>
      <c r="F4" s="30">
        <f t="shared" si="1"/>
        <v>300</v>
      </c>
      <c r="G4" s="50"/>
      <c r="H4" s="51"/>
    </row>
    <row r="5" ht="15.0" customHeight="1"/>
    <row r="7" ht="20.25" customHeight="1">
      <c r="K7" s="33" t="s">
        <v>40</v>
      </c>
      <c r="L7" s="3"/>
      <c r="M7" s="4" t="s">
        <v>41</v>
      </c>
      <c r="N7" s="4" t="s">
        <v>42</v>
      </c>
      <c r="O7" s="4" t="s">
        <v>8</v>
      </c>
      <c r="P7" s="4" t="s">
        <v>43</v>
      </c>
      <c r="Q7" s="4" t="s">
        <v>44</v>
      </c>
      <c r="R7" s="4" t="s">
        <v>45</v>
      </c>
      <c r="S7" s="2" t="s">
        <v>46</v>
      </c>
      <c r="T7" s="6"/>
      <c r="U7" s="34"/>
    </row>
    <row r="8" ht="35.25" customHeight="1">
      <c r="K8" s="35" t="s">
        <v>47</v>
      </c>
      <c r="L8" s="12" t="s">
        <v>48</v>
      </c>
      <c r="M8" s="10"/>
      <c r="N8" s="10"/>
      <c r="O8" s="10"/>
      <c r="P8" s="10"/>
      <c r="Q8" s="10"/>
      <c r="R8" s="10"/>
      <c r="S8" s="12" t="s">
        <v>48</v>
      </c>
      <c r="T8" s="12" t="s">
        <v>49</v>
      </c>
      <c r="U8" s="36" t="s">
        <v>50</v>
      </c>
    </row>
    <row r="9">
      <c r="K9" s="37">
        <v>1.0</v>
      </c>
      <c r="L9" s="37" t="s">
        <v>73</v>
      </c>
      <c r="M9" s="37">
        <v>220.0</v>
      </c>
      <c r="N9" s="16" t="str">
        <f>CONCATENATE(A3)</f>
        <v>Cx. d'água</v>
      </c>
      <c r="O9" s="37">
        <f>D3</f>
        <v>160</v>
      </c>
      <c r="P9" s="38">
        <f t="shared" ref="P9:P10" si="2">O9/M9</f>
        <v>0.7272727273</v>
      </c>
      <c r="Q9" s="37"/>
      <c r="R9" s="37"/>
      <c r="S9" s="37"/>
      <c r="T9" s="37"/>
      <c r="U9" s="37"/>
    </row>
    <row r="10">
      <c r="K10" s="37">
        <v>2.0</v>
      </c>
      <c r="L10" s="37" t="s">
        <v>53</v>
      </c>
      <c r="M10" s="37">
        <v>220.0</v>
      </c>
      <c r="N10" s="16" t="str">
        <f>CONCATENATE(A3)</f>
        <v>Cx. d'água</v>
      </c>
      <c r="O10" s="37">
        <f>F3</f>
        <v>300</v>
      </c>
      <c r="P10" s="38">
        <f t="shared" si="2"/>
        <v>1.363636364</v>
      </c>
      <c r="Q10" s="37"/>
      <c r="R10" s="37"/>
      <c r="S10" s="37"/>
      <c r="T10" s="37"/>
      <c r="U10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N7:N8"/>
    <mergeCell ref="O7:O8"/>
    <mergeCell ref="P7:P8"/>
    <mergeCell ref="Q7:Q8"/>
    <mergeCell ref="R7:R8"/>
    <mergeCell ref="S7:U7"/>
    <mergeCell ref="A1:A2"/>
    <mergeCell ref="B1:C1"/>
    <mergeCell ref="D1:D2"/>
    <mergeCell ref="E1:F1"/>
    <mergeCell ref="G1:H1"/>
    <mergeCell ref="K7:L7"/>
    <mergeCell ref="M7:M8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16.0"/>
    <col customWidth="1" min="12" max="12" width="13.38"/>
    <col customWidth="1" min="13" max="13" width="15.5"/>
    <col customWidth="1" min="14" max="14" width="12.0"/>
    <col customWidth="1" min="15" max="15" width="7.63"/>
    <col customWidth="1" min="16" max="16" width="9.63"/>
    <col customWidth="1" min="17" max="17" width="10.38"/>
    <col customWidth="1" min="18" max="18" width="10.63"/>
    <col customWidth="1" min="19" max="19" width="8.63"/>
    <col customWidth="1" min="20" max="26" width="7.63"/>
  </cols>
  <sheetData>
    <row r="1" ht="15.0" customHeight="1">
      <c r="A1" s="1" t="s">
        <v>0</v>
      </c>
      <c r="B1" s="2" t="s">
        <v>1</v>
      </c>
      <c r="C1" s="3"/>
      <c r="D1" s="4" t="s">
        <v>2</v>
      </c>
      <c r="E1" s="2" t="s">
        <v>3</v>
      </c>
      <c r="F1" s="5"/>
      <c r="G1" s="2" t="s">
        <v>4</v>
      </c>
      <c r="H1" s="34"/>
    </row>
    <row r="2">
      <c r="A2" s="7"/>
      <c r="B2" s="8" t="s">
        <v>5</v>
      </c>
      <c r="C2" s="9" t="s">
        <v>6</v>
      </c>
      <c r="D2" s="10"/>
      <c r="E2" s="11" t="s">
        <v>7</v>
      </c>
      <c r="F2" s="12" t="s">
        <v>8</v>
      </c>
      <c r="G2" s="44" t="s">
        <v>9</v>
      </c>
      <c r="H2" s="36" t="s">
        <v>10</v>
      </c>
    </row>
    <row r="3">
      <c r="A3" s="45" t="s">
        <v>74</v>
      </c>
      <c r="B3" s="15">
        <v>1.95</v>
      </c>
      <c r="C3" s="15">
        <v>5.6</v>
      </c>
      <c r="D3" s="16">
        <f t="shared" ref="D3:D15" si="1">IF(B3&lt;=6,100,100+ROUNDDOWN((B3-6)/4,0)*60)</f>
        <v>100</v>
      </c>
      <c r="E3" s="52">
        <v>3.0</v>
      </c>
      <c r="F3" s="16">
        <f>IF(E3&lt;4,E3*600,1800+(E3-3)*100)</f>
        <v>1800</v>
      </c>
      <c r="G3" s="53" t="s">
        <v>75</v>
      </c>
      <c r="H3" s="54">
        <v>2000.0</v>
      </c>
    </row>
    <row r="4">
      <c r="A4" s="45" t="s">
        <v>20</v>
      </c>
      <c r="B4" s="15">
        <v>8.0625</v>
      </c>
      <c r="C4" s="15">
        <v>11.8</v>
      </c>
      <c r="D4" s="16">
        <f t="shared" si="1"/>
        <v>100</v>
      </c>
      <c r="E4" s="16">
        <f t="shared" ref="E4:E9" si="2">IF(B4&lt;=6,1,ROUNDUP(C4/5,0))</f>
        <v>3</v>
      </c>
      <c r="F4" s="16">
        <f t="shared" ref="F4:F12" si="3">E4*100</f>
        <v>300</v>
      </c>
      <c r="G4" s="53" t="s">
        <v>76</v>
      </c>
      <c r="H4" s="54">
        <v>500.0</v>
      </c>
    </row>
    <row r="5">
      <c r="A5" s="55" t="s">
        <v>27</v>
      </c>
      <c r="B5" s="56">
        <v>2.25</v>
      </c>
      <c r="C5" s="56">
        <v>6.0</v>
      </c>
      <c r="D5" s="57">
        <f t="shared" si="1"/>
        <v>100</v>
      </c>
      <c r="E5" s="57">
        <f t="shared" si="2"/>
        <v>1</v>
      </c>
      <c r="F5" s="57">
        <f t="shared" si="3"/>
        <v>100</v>
      </c>
      <c r="G5" s="58"/>
      <c r="H5" s="58"/>
    </row>
    <row r="6">
      <c r="A6" s="55" t="s">
        <v>28</v>
      </c>
      <c r="B6" s="56">
        <v>2.43</v>
      </c>
      <c r="C6" s="56">
        <v>6.24</v>
      </c>
      <c r="D6" s="57">
        <f t="shared" si="1"/>
        <v>100</v>
      </c>
      <c r="E6" s="57">
        <f t="shared" si="2"/>
        <v>1</v>
      </c>
      <c r="F6" s="57">
        <f t="shared" si="3"/>
        <v>100</v>
      </c>
      <c r="G6" s="58"/>
      <c r="H6" s="58"/>
    </row>
    <row r="7">
      <c r="A7" s="59" t="s">
        <v>30</v>
      </c>
      <c r="B7" s="15">
        <v>3.3585</v>
      </c>
      <c r="C7" s="15">
        <v>7.86</v>
      </c>
      <c r="D7" s="16">
        <f t="shared" si="1"/>
        <v>100</v>
      </c>
      <c r="E7" s="16">
        <f t="shared" si="2"/>
        <v>1</v>
      </c>
      <c r="F7" s="16">
        <f t="shared" si="3"/>
        <v>100</v>
      </c>
      <c r="G7" s="60"/>
      <c r="H7" s="61"/>
    </row>
    <row r="8">
      <c r="A8" s="59" t="s">
        <v>31</v>
      </c>
      <c r="B8" s="15">
        <v>12.4844</v>
      </c>
      <c r="C8" s="15">
        <v>18.42</v>
      </c>
      <c r="D8" s="16">
        <f t="shared" si="1"/>
        <v>160</v>
      </c>
      <c r="E8" s="16">
        <f t="shared" si="2"/>
        <v>4</v>
      </c>
      <c r="F8" s="16">
        <f t="shared" si="3"/>
        <v>400</v>
      </c>
      <c r="G8" s="60"/>
      <c r="H8" s="61"/>
    </row>
    <row r="9">
      <c r="A9" s="45" t="s">
        <v>77</v>
      </c>
      <c r="B9" s="62">
        <v>11.553</v>
      </c>
      <c r="C9" s="62">
        <v>14.56</v>
      </c>
      <c r="D9" s="63">
        <f t="shared" si="1"/>
        <v>160</v>
      </c>
      <c r="E9" s="63">
        <f t="shared" si="2"/>
        <v>3</v>
      </c>
      <c r="F9" s="63">
        <f t="shared" si="3"/>
        <v>300</v>
      </c>
      <c r="G9" s="64"/>
      <c r="H9" s="64"/>
    </row>
    <row r="10">
      <c r="A10" s="45" t="s">
        <v>78</v>
      </c>
      <c r="B10" s="15">
        <v>2.2605</v>
      </c>
      <c r="C10" s="15">
        <v>6.64</v>
      </c>
      <c r="D10" s="16">
        <f t="shared" si="1"/>
        <v>100</v>
      </c>
      <c r="E10" s="52">
        <v>3.0</v>
      </c>
      <c r="F10" s="16">
        <f t="shared" si="3"/>
        <v>300</v>
      </c>
      <c r="G10" s="60"/>
      <c r="H10" s="61"/>
    </row>
    <row r="11">
      <c r="A11" s="45" t="s">
        <v>79</v>
      </c>
      <c r="B11" s="15">
        <v>66.4914</v>
      </c>
      <c r="C11" s="15">
        <v>39.0662</v>
      </c>
      <c r="D11" s="16">
        <f t="shared" si="1"/>
        <v>1000</v>
      </c>
      <c r="E11" s="16">
        <f>IF(B11&lt;=6,1,ROUNDUP(C11/5,0))</f>
        <v>8</v>
      </c>
      <c r="F11" s="16">
        <f t="shared" si="3"/>
        <v>800</v>
      </c>
      <c r="G11" s="65" t="s">
        <v>80</v>
      </c>
      <c r="H11" s="61">
        <f>5*1200</f>
        <v>6000</v>
      </c>
      <c r="I11" s="66"/>
    </row>
    <row r="12">
      <c r="A12" s="45" t="s">
        <v>81</v>
      </c>
      <c r="B12" s="15">
        <v>3.211</v>
      </c>
      <c r="C12" s="15">
        <v>7.54</v>
      </c>
      <c r="D12" s="16">
        <f t="shared" si="1"/>
        <v>100</v>
      </c>
      <c r="E12" s="52">
        <v>3.0</v>
      </c>
      <c r="F12" s="16">
        <f t="shared" si="3"/>
        <v>300</v>
      </c>
      <c r="G12" s="60"/>
      <c r="H12" s="61"/>
    </row>
    <row r="13">
      <c r="A13" s="45" t="s">
        <v>38</v>
      </c>
      <c r="B13" s="15">
        <v>1.4025</v>
      </c>
      <c r="C13" s="15">
        <v>5.0</v>
      </c>
      <c r="D13" s="16">
        <f t="shared" si="1"/>
        <v>100</v>
      </c>
      <c r="E13" s="16">
        <f t="shared" ref="E13:E15" si="4">IF(B13&lt;=6,1,ROUNDUP(C13/5,0))</f>
        <v>1</v>
      </c>
      <c r="F13" s="16">
        <f t="shared" ref="F13:F15" si="5">IF(E13&lt;4,E13*600,1800+(E13-3)*100)</f>
        <v>600</v>
      </c>
      <c r="G13" s="60"/>
      <c r="H13" s="61"/>
    </row>
    <row r="14">
      <c r="A14" s="45" t="s">
        <v>82</v>
      </c>
      <c r="B14" s="15">
        <v>4.1932</v>
      </c>
      <c r="C14" s="15">
        <v>9.1493</v>
      </c>
      <c r="D14" s="16">
        <f t="shared" si="1"/>
        <v>100</v>
      </c>
      <c r="E14" s="16">
        <f t="shared" si="4"/>
        <v>1</v>
      </c>
      <c r="F14" s="16">
        <f t="shared" si="5"/>
        <v>600</v>
      </c>
      <c r="G14" s="60"/>
      <c r="H14" s="61"/>
      <c r="K14" s="67" t="s">
        <v>83</v>
      </c>
    </row>
    <row r="15">
      <c r="A15" s="45" t="s">
        <v>84</v>
      </c>
      <c r="B15" s="15">
        <v>4.2325</v>
      </c>
      <c r="C15" s="25">
        <v>10.2729</v>
      </c>
      <c r="D15" s="16">
        <f t="shared" si="1"/>
        <v>100</v>
      </c>
      <c r="E15" s="16">
        <f t="shared" si="4"/>
        <v>1</v>
      </c>
      <c r="F15" s="16">
        <f t="shared" si="5"/>
        <v>600</v>
      </c>
      <c r="G15" s="60"/>
      <c r="H15" s="47"/>
      <c r="K15" s="67" t="s">
        <v>83</v>
      </c>
    </row>
    <row r="16">
      <c r="A16" s="48" t="s">
        <v>39</v>
      </c>
      <c r="B16" s="49">
        <f>SUM(B3:B15)</f>
        <v>123.8795</v>
      </c>
      <c r="C16" s="29" t="s">
        <v>19</v>
      </c>
      <c r="D16" s="30">
        <f t="shared" ref="D16:F16" si="6">SUM(D3:D15)</f>
        <v>2320</v>
      </c>
      <c r="E16" s="30">
        <f t="shared" si="6"/>
        <v>33</v>
      </c>
      <c r="F16" s="30">
        <f t="shared" si="6"/>
        <v>6300</v>
      </c>
      <c r="G16" s="50"/>
      <c r="H16" s="51"/>
    </row>
    <row r="19">
      <c r="K19" s="33" t="s">
        <v>40</v>
      </c>
      <c r="L19" s="3"/>
      <c r="M19" s="4" t="s">
        <v>41</v>
      </c>
      <c r="N19" s="4" t="s">
        <v>42</v>
      </c>
      <c r="O19" s="4" t="s">
        <v>8</v>
      </c>
      <c r="P19" s="4" t="s">
        <v>43</v>
      </c>
      <c r="Q19" s="4" t="s">
        <v>44</v>
      </c>
      <c r="R19" s="4" t="s">
        <v>45</v>
      </c>
      <c r="S19" s="2" t="s">
        <v>46</v>
      </c>
      <c r="T19" s="6"/>
      <c r="U19" s="34"/>
    </row>
    <row r="20">
      <c r="K20" s="35" t="s">
        <v>47</v>
      </c>
      <c r="L20" s="12" t="s">
        <v>48</v>
      </c>
      <c r="M20" s="10"/>
      <c r="N20" s="10"/>
      <c r="O20" s="10"/>
      <c r="P20" s="10"/>
      <c r="Q20" s="10"/>
      <c r="R20" s="10"/>
      <c r="S20" s="12" t="s">
        <v>48</v>
      </c>
      <c r="T20" s="12" t="s">
        <v>49</v>
      </c>
      <c r="U20" s="36" t="s">
        <v>50</v>
      </c>
    </row>
    <row r="21" ht="15.75" customHeight="1">
      <c r="K21" s="37">
        <v>1.0</v>
      </c>
      <c r="L21" s="37" t="s">
        <v>85</v>
      </c>
      <c r="M21" s="37">
        <v>220.0</v>
      </c>
      <c r="N21" s="16" t="str">
        <f>CONCATENATE(A3,CHAR(10),A9,CHAR(10),A12,CHAR(10),A13,CHAR(10),A7,CHAR(10),A8,CHAR(10),A10)</f>
        <v>Copa
Medição
Vestiário
WC
Hall 1
Hall 2
Portaria</v>
      </c>
      <c r="O21" s="38">
        <f>SUM(D3,D9,D12,D13,D7,D8,D10)</f>
        <v>820</v>
      </c>
      <c r="P21" s="38">
        <f t="shared" ref="P21:P24" si="7">O21/M21</f>
        <v>3.727272727</v>
      </c>
      <c r="Q21" s="37"/>
      <c r="R21" s="37"/>
      <c r="S21" s="37"/>
      <c r="T21" s="37"/>
      <c r="U21" s="37"/>
    </row>
    <row r="22" ht="15.75" customHeight="1">
      <c r="K22" s="37">
        <v>2.0</v>
      </c>
      <c r="L22" s="37" t="s">
        <v>86</v>
      </c>
      <c r="M22" s="37">
        <v>220.0</v>
      </c>
      <c r="N22" s="16" t="str">
        <f>CONCATENATE(A14,CHAR(10),A15,CHAR(10),A11,CHAR(10),A4)</f>
        <v>WC Fem.
WC Masc.
Salão de festas
Depósito</v>
      </c>
      <c r="O22" s="37">
        <f>SUM(D14,D15,D11,D4)</f>
        <v>1300</v>
      </c>
      <c r="P22" s="38">
        <f t="shared" si="7"/>
        <v>5.909090909</v>
      </c>
      <c r="Q22" s="37"/>
      <c r="R22" s="37"/>
      <c r="S22" s="37"/>
      <c r="T22" s="37"/>
      <c r="U22" s="37"/>
    </row>
    <row r="23" ht="15.75" customHeight="1">
      <c r="K23" s="37">
        <v>3.0</v>
      </c>
      <c r="L23" s="37" t="s">
        <v>53</v>
      </c>
      <c r="M23" s="37">
        <v>220.0</v>
      </c>
      <c r="N23" s="16" t="str">
        <f>CONCATENATE(A4,CHAR(10),A7,CHAR(10),A8,CHAR(10),A9,CHAR(10),A10,CHAR(10),A11)</f>
        <v>Depósito
Hall 1
Hall 2
Medição
Portaria
Salão de festas</v>
      </c>
      <c r="O23" s="37">
        <f>SUM(F4,F7:F10,F11)</f>
        <v>2200</v>
      </c>
      <c r="P23" s="38">
        <f t="shared" si="7"/>
        <v>10</v>
      </c>
      <c r="Q23" s="37"/>
      <c r="R23" s="37"/>
      <c r="S23" s="37"/>
      <c r="T23" s="37"/>
      <c r="U23" s="37"/>
    </row>
    <row r="24" ht="15.75" customHeight="1">
      <c r="K24" s="37">
        <v>4.0</v>
      </c>
      <c r="L24" s="37" t="s">
        <v>53</v>
      </c>
      <c r="M24" s="37">
        <v>220.0</v>
      </c>
      <c r="N24" s="16" t="str">
        <f>CONCATENATE(A3)</f>
        <v>Copa</v>
      </c>
      <c r="O24" s="37">
        <f>SUM(F3)</f>
        <v>1800</v>
      </c>
      <c r="P24" s="38">
        <f t="shared" si="7"/>
        <v>8.181818182</v>
      </c>
      <c r="Q24" s="37"/>
      <c r="R24" s="37"/>
      <c r="S24" s="37"/>
      <c r="T24" s="37"/>
      <c r="U24" s="37"/>
    </row>
    <row r="25" ht="15.75" customHeight="1">
      <c r="K25" s="68">
        <v>5.0</v>
      </c>
      <c r="L25" s="68" t="s">
        <v>54</v>
      </c>
      <c r="M25" s="69">
        <v>220.0</v>
      </c>
      <c r="N25" s="16"/>
      <c r="O25" s="37"/>
      <c r="P25" s="38"/>
      <c r="Q25" s="37"/>
      <c r="R25" s="37"/>
      <c r="S25" s="37"/>
      <c r="T25" s="37"/>
      <c r="U25" s="37"/>
    </row>
    <row r="26" ht="15.75" customHeight="1">
      <c r="K26" s="68">
        <v>6.0</v>
      </c>
      <c r="L26" s="68" t="s">
        <v>54</v>
      </c>
      <c r="M26" s="37">
        <v>220.0</v>
      </c>
      <c r="N26" s="70"/>
      <c r="O26" s="69"/>
      <c r="P26" s="71"/>
      <c r="Q26" s="37"/>
      <c r="R26" s="37"/>
      <c r="S26" s="37"/>
      <c r="T26" s="37"/>
      <c r="U26" s="3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N19:N20"/>
    <mergeCell ref="O19:O20"/>
    <mergeCell ref="P19:P20"/>
    <mergeCell ref="Q19:Q20"/>
    <mergeCell ref="R19:R20"/>
    <mergeCell ref="S19:U19"/>
    <mergeCell ref="A1:A2"/>
    <mergeCell ref="B1:C1"/>
    <mergeCell ref="D1:D2"/>
    <mergeCell ref="E1:F1"/>
    <mergeCell ref="G1:H1"/>
    <mergeCell ref="K19:L19"/>
    <mergeCell ref="M19:M20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5.63"/>
    <col customWidth="1" min="12" max="12" width="13.38"/>
    <col customWidth="1" min="13" max="13" width="15.5"/>
    <col customWidth="1" min="14" max="14" width="12.0"/>
    <col customWidth="1" min="15" max="15" width="7.63"/>
    <col customWidth="1" min="16" max="16" width="9.63"/>
    <col customWidth="1" min="17" max="17" width="10.38"/>
    <col customWidth="1" min="18" max="18" width="10.63"/>
    <col customWidth="1" min="19" max="19" width="8.63"/>
    <col customWidth="1" min="20" max="26" width="7.63"/>
  </cols>
  <sheetData>
    <row r="1" ht="15.0" customHeight="1">
      <c r="A1" s="1" t="s">
        <v>0</v>
      </c>
      <c r="B1" s="2" t="s">
        <v>1</v>
      </c>
      <c r="C1" s="3"/>
      <c r="D1" s="4" t="s">
        <v>2</v>
      </c>
      <c r="E1" s="2" t="s">
        <v>3</v>
      </c>
      <c r="F1" s="5"/>
      <c r="G1" s="2" t="s">
        <v>4</v>
      </c>
      <c r="H1" s="34"/>
    </row>
    <row r="2">
      <c r="A2" s="7"/>
      <c r="B2" s="8" t="s">
        <v>5</v>
      </c>
      <c r="C2" s="9" t="s">
        <v>6</v>
      </c>
      <c r="D2" s="10"/>
      <c r="E2" s="11" t="s">
        <v>7</v>
      </c>
      <c r="F2" s="12" t="s">
        <v>8</v>
      </c>
      <c r="G2" s="44" t="s">
        <v>9</v>
      </c>
      <c r="H2" s="36" t="s">
        <v>10</v>
      </c>
    </row>
    <row r="3">
      <c r="A3" s="45" t="s">
        <v>87</v>
      </c>
      <c r="B3" s="15">
        <v>11.165</v>
      </c>
      <c r="C3" s="15">
        <v>13.5</v>
      </c>
      <c r="D3" s="16">
        <f t="shared" ref="D3:D7" si="1">IF(B3&lt;=6,100,100+ROUNDDOWN((B3-6)/4,0)*60)</f>
        <v>160</v>
      </c>
      <c r="E3" s="52">
        <v>1.0</v>
      </c>
      <c r="F3" s="52">
        <v>100.0</v>
      </c>
      <c r="G3" s="61"/>
      <c r="H3" s="61"/>
    </row>
    <row r="4">
      <c r="A4" s="45" t="s">
        <v>88</v>
      </c>
      <c r="B4" s="15">
        <v>2.475</v>
      </c>
      <c r="C4" s="15">
        <v>6.3</v>
      </c>
      <c r="D4" s="16">
        <f t="shared" si="1"/>
        <v>100</v>
      </c>
      <c r="E4" s="16">
        <f>IF(B4&lt;=6,1,ROUNDUP(C4/5,0))</f>
        <v>1</v>
      </c>
      <c r="F4" s="16">
        <f>IF(E4&lt;4,E4*600,1800+(E4-3)*100)</f>
        <v>600</v>
      </c>
      <c r="G4" s="72" t="s">
        <v>13</v>
      </c>
      <c r="H4" s="72">
        <v>5000.0</v>
      </c>
    </row>
    <row r="5">
      <c r="A5" s="45" t="s">
        <v>18</v>
      </c>
      <c r="B5" s="15">
        <v>5.0</v>
      </c>
      <c r="C5" s="15">
        <v>9.0</v>
      </c>
      <c r="D5" s="16">
        <f t="shared" si="1"/>
        <v>100</v>
      </c>
      <c r="E5" s="52">
        <v>4.0</v>
      </c>
      <c r="F5" s="16">
        <f t="shared" ref="F5:F6" si="2">100*E5</f>
        <v>400</v>
      </c>
      <c r="G5" s="61"/>
      <c r="H5" s="61"/>
    </row>
    <row r="6">
      <c r="A6" s="73" t="s">
        <v>89</v>
      </c>
      <c r="B6" s="56">
        <v>9.9301</v>
      </c>
      <c r="C6" s="56">
        <v>18.9099</v>
      </c>
      <c r="D6" s="57">
        <f t="shared" si="1"/>
        <v>100</v>
      </c>
      <c r="E6" s="57">
        <f>IF(B6&lt;=6,1,ROUNDUP(C6/5,0))</f>
        <v>4</v>
      </c>
      <c r="F6" s="57">
        <f t="shared" si="2"/>
        <v>400</v>
      </c>
      <c r="G6" s="58"/>
      <c r="H6" s="58"/>
    </row>
    <row r="7">
      <c r="A7" s="45" t="s">
        <v>34</v>
      </c>
      <c r="B7" s="15">
        <v>13.5315</v>
      </c>
      <c r="C7" s="25">
        <v>18.37</v>
      </c>
      <c r="D7" s="16">
        <f t="shared" si="1"/>
        <v>160</v>
      </c>
      <c r="E7" s="26">
        <f>IF(B7&lt;=6,1,ROUNDUP(C7/3.5,0))</f>
        <v>6</v>
      </c>
      <c r="F7" s="26">
        <f>IF(E7&lt;4,E7*600,1800+(E7-3)*100)</f>
        <v>2100</v>
      </c>
      <c r="G7" s="47"/>
      <c r="H7" s="47"/>
    </row>
    <row r="8">
      <c r="A8" s="48" t="s">
        <v>39</v>
      </c>
      <c r="B8" s="49">
        <f>SUM(B3:B7)</f>
        <v>42.1016</v>
      </c>
      <c r="C8" s="29" t="s">
        <v>19</v>
      </c>
      <c r="D8" s="30">
        <f t="shared" ref="D8:F8" si="3">SUM(D3:D7)</f>
        <v>620</v>
      </c>
      <c r="E8" s="30">
        <f t="shared" si="3"/>
        <v>16</v>
      </c>
      <c r="F8" s="30">
        <f t="shared" si="3"/>
        <v>3600</v>
      </c>
      <c r="G8" s="50"/>
      <c r="H8" s="51"/>
    </row>
    <row r="11">
      <c r="K11" s="33" t="s">
        <v>40</v>
      </c>
      <c r="L11" s="3"/>
      <c r="M11" s="4" t="s">
        <v>41</v>
      </c>
      <c r="N11" s="4" t="s">
        <v>42</v>
      </c>
      <c r="O11" s="4" t="s">
        <v>8</v>
      </c>
      <c r="P11" s="4" t="s">
        <v>43</v>
      </c>
      <c r="Q11" s="4" t="s">
        <v>44</v>
      </c>
      <c r="R11" s="4" t="s">
        <v>45</v>
      </c>
      <c r="S11" s="2" t="s">
        <v>46</v>
      </c>
      <c r="T11" s="6"/>
      <c r="U11" s="34"/>
    </row>
    <row r="12">
      <c r="K12" s="35" t="s">
        <v>47</v>
      </c>
      <c r="L12" s="12" t="s">
        <v>48</v>
      </c>
      <c r="M12" s="10"/>
      <c r="N12" s="10"/>
      <c r="O12" s="10"/>
      <c r="P12" s="10"/>
      <c r="Q12" s="10"/>
      <c r="R12" s="10"/>
      <c r="S12" s="12" t="s">
        <v>48</v>
      </c>
      <c r="T12" s="12" t="s">
        <v>49</v>
      </c>
      <c r="U12" s="36" t="s">
        <v>50</v>
      </c>
    </row>
    <row r="13">
      <c r="K13" s="37">
        <v>1.0</v>
      </c>
      <c r="L13" s="37" t="s">
        <v>73</v>
      </c>
      <c r="M13" s="37">
        <v>220.0</v>
      </c>
      <c r="N13" s="16" t="str">
        <f>CONCATENATE(A3,CHAR(10),A4,CHAR(10),A5,CHAR(10),A7)</f>
        <v>Bombas
BWC
Dependência
Serviço</v>
      </c>
      <c r="O13" s="37">
        <f>SUM(D3,D4,D5,D7)</f>
        <v>520</v>
      </c>
      <c r="P13" s="38">
        <f t="shared" ref="P13:P17" si="4">O13/M13</f>
        <v>2.363636364</v>
      </c>
      <c r="Q13" s="37"/>
      <c r="R13" s="37"/>
      <c r="S13" s="37"/>
      <c r="T13" s="37"/>
      <c r="U13" s="37"/>
    </row>
    <row r="14">
      <c r="K14" s="37">
        <v>2.0</v>
      </c>
      <c r="L14" s="37" t="s">
        <v>53</v>
      </c>
      <c r="M14" s="37">
        <v>220.0</v>
      </c>
      <c r="N14" s="16" t="str">
        <f>CONCATENATE(A3,CHAR(10),A4,CHAR(10),A5)</f>
        <v>Bombas
BWC
Dependência</v>
      </c>
      <c r="O14" s="37">
        <f>SUM(F3:F5)</f>
        <v>1100</v>
      </c>
      <c r="P14" s="38">
        <f t="shared" si="4"/>
        <v>5</v>
      </c>
      <c r="Q14" s="37"/>
      <c r="R14" s="37"/>
      <c r="S14" s="37"/>
      <c r="T14" s="37"/>
      <c r="U14" s="37"/>
    </row>
    <row r="15">
      <c r="K15" s="37">
        <v>3.0</v>
      </c>
      <c r="L15" s="37" t="s">
        <v>53</v>
      </c>
      <c r="M15" s="37">
        <v>220.0</v>
      </c>
      <c r="N15" s="16" t="str">
        <f>CONCATENATE(A7)</f>
        <v>Serviço</v>
      </c>
      <c r="O15" s="37">
        <f>SUM(F7)</f>
        <v>2100</v>
      </c>
      <c r="P15" s="38">
        <f t="shared" si="4"/>
        <v>9.545454545</v>
      </c>
      <c r="Q15" s="37"/>
      <c r="R15" s="37"/>
      <c r="S15" s="37"/>
      <c r="T15" s="37"/>
      <c r="U15" s="37"/>
    </row>
    <row r="16">
      <c r="K16" s="69">
        <v>4.0</v>
      </c>
      <c r="L16" s="68" t="s">
        <v>54</v>
      </c>
      <c r="M16" s="69">
        <v>220.0</v>
      </c>
      <c r="N16" s="52" t="s">
        <v>90</v>
      </c>
      <c r="O16" s="68">
        <v>5000.0</v>
      </c>
      <c r="P16" s="38">
        <f t="shared" si="4"/>
        <v>22.72727273</v>
      </c>
      <c r="Q16" s="37"/>
      <c r="R16" s="37"/>
      <c r="S16" s="37"/>
      <c r="T16" s="37"/>
      <c r="U16" s="37"/>
    </row>
    <row r="17">
      <c r="K17" s="68">
        <v>5.0</v>
      </c>
      <c r="L17" s="39" t="s">
        <v>54</v>
      </c>
      <c r="M17" s="37">
        <v>220.0</v>
      </c>
      <c r="N17" s="52"/>
      <c r="O17" s="68"/>
      <c r="P17" s="38">
        <f t="shared" si="4"/>
        <v>0</v>
      </c>
      <c r="Q17" s="37"/>
      <c r="R17" s="37"/>
      <c r="S17" s="37"/>
      <c r="T17" s="37"/>
      <c r="U17" s="3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N11:N12"/>
    <mergeCell ref="O11:O12"/>
    <mergeCell ref="P11:P12"/>
    <mergeCell ref="Q11:Q12"/>
    <mergeCell ref="R11:R12"/>
    <mergeCell ref="S11:U11"/>
    <mergeCell ref="A1:A2"/>
    <mergeCell ref="B1:C1"/>
    <mergeCell ref="D1:D2"/>
    <mergeCell ref="E1:F1"/>
    <mergeCell ref="G1:H1"/>
    <mergeCell ref="K11:L11"/>
    <mergeCell ref="M11:M12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16.0"/>
    <col customWidth="1" min="12" max="12" width="13.38"/>
    <col customWidth="1" min="13" max="13" width="15.5"/>
    <col customWidth="1" min="14" max="14" width="12.0"/>
    <col customWidth="1" min="15" max="15" width="7.63"/>
    <col customWidth="1" min="16" max="16" width="9.63"/>
    <col customWidth="1" min="17" max="17" width="10.38"/>
    <col customWidth="1" min="18" max="18" width="10.63"/>
    <col customWidth="1" min="19" max="19" width="8.63"/>
    <col customWidth="1" min="20" max="26" width="7.63"/>
  </cols>
  <sheetData>
    <row r="1" ht="15.0" customHeight="1">
      <c r="A1" s="1" t="s">
        <v>0</v>
      </c>
      <c r="B1" s="2" t="s">
        <v>1</v>
      </c>
      <c r="C1" s="3"/>
      <c r="D1" s="4" t="s">
        <v>2</v>
      </c>
      <c r="E1" s="2" t="s">
        <v>3</v>
      </c>
      <c r="F1" s="5"/>
      <c r="G1" s="2" t="s">
        <v>4</v>
      </c>
      <c r="H1" s="34"/>
    </row>
    <row r="2">
      <c r="A2" s="7"/>
      <c r="B2" s="8" t="s">
        <v>5</v>
      </c>
      <c r="C2" s="9" t="s">
        <v>6</v>
      </c>
      <c r="D2" s="10"/>
      <c r="E2" s="11" t="s">
        <v>7</v>
      </c>
      <c r="F2" s="12" t="s">
        <v>8</v>
      </c>
      <c r="G2" s="44" t="s">
        <v>9</v>
      </c>
      <c r="H2" s="36" t="s">
        <v>10</v>
      </c>
    </row>
    <row r="3">
      <c r="A3" s="55" t="s">
        <v>27</v>
      </c>
      <c r="B3" s="56">
        <v>2.43</v>
      </c>
      <c r="C3" s="56">
        <v>6.24</v>
      </c>
      <c r="D3" s="57">
        <f t="shared" ref="D3:D8" si="1">IF(B3&lt;=6,100,100+ROUNDDOWN((B3-6)/4,0)*60)</f>
        <v>100</v>
      </c>
      <c r="E3" s="57">
        <f t="shared" ref="E3:E5" si="2">IF(B3&lt;=6,1,ROUNDUP(C3/5,0))</f>
        <v>1</v>
      </c>
      <c r="F3" s="57">
        <f t="shared" ref="F3:F8" si="3">100*E3</f>
        <v>100</v>
      </c>
      <c r="G3" s="58"/>
      <c r="H3" s="58"/>
    </row>
    <row r="4">
      <c r="A4" s="55" t="s">
        <v>28</v>
      </c>
      <c r="B4" s="56">
        <v>2.25</v>
      </c>
      <c r="C4" s="56">
        <v>6.0</v>
      </c>
      <c r="D4" s="57">
        <f t="shared" si="1"/>
        <v>100</v>
      </c>
      <c r="E4" s="57">
        <f t="shared" si="2"/>
        <v>1</v>
      </c>
      <c r="F4" s="57">
        <f t="shared" si="3"/>
        <v>100</v>
      </c>
      <c r="G4" s="58"/>
      <c r="H4" s="58"/>
    </row>
    <row r="5">
      <c r="A5" s="73" t="s">
        <v>91</v>
      </c>
      <c r="B5" s="56">
        <v>10.554</v>
      </c>
      <c r="C5" s="56">
        <v>14.16</v>
      </c>
      <c r="D5" s="57">
        <f t="shared" si="1"/>
        <v>160</v>
      </c>
      <c r="E5" s="57">
        <f t="shared" si="2"/>
        <v>3</v>
      </c>
      <c r="F5" s="57">
        <f t="shared" si="3"/>
        <v>300</v>
      </c>
      <c r="G5" s="58"/>
      <c r="H5" s="58"/>
    </row>
    <row r="6">
      <c r="A6" s="45" t="s">
        <v>92</v>
      </c>
      <c r="B6" s="15">
        <f>626.6259-SUM(B3:B5,B7:B8)</f>
        <v>597.7634</v>
      </c>
      <c r="C6" s="15">
        <v>108.225</v>
      </c>
      <c r="D6" s="74">
        <f t="shared" si="1"/>
        <v>8920</v>
      </c>
      <c r="E6" s="52">
        <v>2.0</v>
      </c>
      <c r="F6" s="16">
        <f t="shared" si="3"/>
        <v>200</v>
      </c>
      <c r="G6" s="61"/>
      <c r="H6" s="61"/>
    </row>
    <row r="7">
      <c r="A7" s="45" t="s">
        <v>89</v>
      </c>
      <c r="B7" s="15">
        <v>3.3585</v>
      </c>
      <c r="C7" s="15">
        <v>7.86</v>
      </c>
      <c r="D7" s="16">
        <f t="shared" si="1"/>
        <v>100</v>
      </c>
      <c r="E7" s="16">
        <f t="shared" ref="E7:E8" si="4">IF(B7&lt;=6,1,ROUNDUP(C7/5,0))</f>
        <v>1</v>
      </c>
      <c r="F7" s="16">
        <f t="shared" si="3"/>
        <v>100</v>
      </c>
      <c r="G7" s="61"/>
      <c r="H7" s="61"/>
    </row>
    <row r="8">
      <c r="A8" s="45" t="s">
        <v>93</v>
      </c>
      <c r="B8" s="15">
        <v>10.27</v>
      </c>
      <c r="C8" s="25">
        <v>13.1</v>
      </c>
      <c r="D8" s="16">
        <f t="shared" si="1"/>
        <v>160</v>
      </c>
      <c r="E8" s="16">
        <f t="shared" si="4"/>
        <v>3</v>
      </c>
      <c r="F8" s="26">
        <f t="shared" si="3"/>
        <v>300</v>
      </c>
      <c r="G8" s="47"/>
      <c r="H8" s="47"/>
    </row>
    <row r="9">
      <c r="A9" s="48" t="s">
        <v>39</v>
      </c>
      <c r="B9" s="49">
        <f>SUM(B3:B8)</f>
        <v>626.6259</v>
      </c>
      <c r="C9" s="29" t="s">
        <v>19</v>
      </c>
      <c r="D9" s="30">
        <f t="shared" ref="D9:F9" si="5">SUM(D3:D8)</f>
        <v>9540</v>
      </c>
      <c r="E9" s="30">
        <f t="shared" si="5"/>
        <v>11</v>
      </c>
      <c r="F9" s="30">
        <f t="shared" si="5"/>
        <v>1100</v>
      </c>
      <c r="G9" s="50"/>
      <c r="H9" s="51"/>
    </row>
    <row r="12">
      <c r="K12" s="33" t="s">
        <v>40</v>
      </c>
      <c r="L12" s="3"/>
      <c r="M12" s="4" t="s">
        <v>41</v>
      </c>
      <c r="N12" s="4" t="s">
        <v>42</v>
      </c>
      <c r="O12" s="4" t="s">
        <v>8</v>
      </c>
      <c r="P12" s="4" t="s">
        <v>43</v>
      </c>
      <c r="Q12" s="4" t="s">
        <v>44</v>
      </c>
      <c r="R12" s="4" t="s">
        <v>45</v>
      </c>
      <c r="S12" s="2" t="s">
        <v>46</v>
      </c>
      <c r="T12" s="6"/>
      <c r="U12" s="34"/>
    </row>
    <row r="13">
      <c r="K13" s="35" t="s">
        <v>47</v>
      </c>
      <c r="L13" s="12" t="s">
        <v>48</v>
      </c>
      <c r="M13" s="10"/>
      <c r="N13" s="10"/>
      <c r="O13" s="10"/>
      <c r="P13" s="10"/>
      <c r="Q13" s="10"/>
      <c r="R13" s="10"/>
      <c r="S13" s="12" t="s">
        <v>48</v>
      </c>
      <c r="T13" s="12" t="s">
        <v>49</v>
      </c>
      <c r="U13" s="36" t="s">
        <v>50</v>
      </c>
    </row>
    <row r="14">
      <c r="K14" s="37">
        <v>1.0</v>
      </c>
      <c r="L14" s="37" t="s">
        <v>51</v>
      </c>
      <c r="M14" s="37">
        <v>220.0</v>
      </c>
      <c r="N14" s="16" t="str">
        <f>CONCATENATE(A7,CHAR(10),A8)</f>
        <v>Hall
Sala</v>
      </c>
      <c r="O14" s="37">
        <f>SUM(D7:D8)</f>
        <v>260</v>
      </c>
      <c r="P14" s="38">
        <f t="shared" ref="P14:P16" si="6">O14/M14</f>
        <v>1.181818182</v>
      </c>
      <c r="Q14" s="37"/>
      <c r="R14" s="37"/>
      <c r="S14" s="37"/>
      <c r="T14" s="37"/>
      <c r="U14" s="37"/>
    </row>
    <row r="15" ht="19.5" customHeight="1">
      <c r="K15" s="37">
        <v>1.0</v>
      </c>
      <c r="L15" s="37" t="s">
        <v>94</v>
      </c>
      <c r="M15" s="37">
        <v>220.0</v>
      </c>
      <c r="N15" s="16" t="str">
        <f>CONCATENATE(A6)</f>
        <v>Garagem</v>
      </c>
      <c r="O15" s="37">
        <f>SUM(D6)</f>
        <v>8920</v>
      </c>
      <c r="P15" s="38">
        <f t="shared" si="6"/>
        <v>40.54545455</v>
      </c>
      <c r="Q15" s="37"/>
      <c r="R15" s="37"/>
      <c r="S15" s="37"/>
      <c r="T15" s="37"/>
      <c r="U15" s="37"/>
    </row>
    <row r="16">
      <c r="K16" s="37">
        <v>1.0</v>
      </c>
      <c r="L16" s="37" t="s">
        <v>53</v>
      </c>
      <c r="M16" s="37">
        <v>220.0</v>
      </c>
      <c r="N16" s="16" t="str">
        <f>CONCATENATE(A6,CHAR(10),A7,CHAR(10),A8)</f>
        <v>Garagem
Hall
Sala</v>
      </c>
      <c r="O16" s="37">
        <f>SUM(F6:F8)</f>
        <v>600</v>
      </c>
      <c r="P16" s="38">
        <f t="shared" si="6"/>
        <v>2.727272727</v>
      </c>
      <c r="Q16" s="37"/>
      <c r="R16" s="37"/>
      <c r="S16" s="37"/>
      <c r="T16" s="37"/>
      <c r="U16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N12:N13"/>
    <mergeCell ref="O12:O13"/>
    <mergeCell ref="P12:P13"/>
    <mergeCell ref="Q12:Q13"/>
    <mergeCell ref="R12:R13"/>
    <mergeCell ref="S12:U12"/>
    <mergeCell ref="A1:A2"/>
    <mergeCell ref="B1:C1"/>
    <mergeCell ref="D1:D2"/>
    <mergeCell ref="E1:F1"/>
    <mergeCell ref="G1:H1"/>
    <mergeCell ref="K12:L12"/>
    <mergeCell ref="M12:M13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2020-03-26T17:12:55Z</dcterms:created>
  <dc:creator>Levy Gabriel</dc:creator>
</cp:coreProperties>
</file>