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vto.tipo" sheetId="1" r:id="rId4"/>
    <sheet state="visible" name="Coberta" sheetId="2" r:id="rId5"/>
    <sheet state="visible" name="Pavto.térreo" sheetId="3" r:id="rId6"/>
    <sheet state="visible" name="Casa de máquinas e zelador" sheetId="4" r:id="rId7"/>
    <sheet state="visible" name="Subsolo" sheetId="5" r:id="rId8"/>
  </sheets>
  <definedNames/>
  <calcPr/>
  <extLst>
    <ext uri="GoogleSheetsCustomDataVersion1">
      <go:sheetsCustomData xmlns:go="http://customooxmlschemas.google.com/" r:id="rId9" roundtripDataSignature="AMtx7mhDajU67tNi4wGfBqnY3bhpUp+hHg=="/>
    </ext>
  </extLst>
</workbook>
</file>

<file path=xl/sharedStrings.xml><?xml version="1.0" encoding="utf-8"?>
<sst xmlns="http://schemas.openxmlformats.org/spreadsheetml/2006/main" count="212" uniqueCount="69">
  <si>
    <t>Dependências</t>
  </si>
  <si>
    <t>Dimensões</t>
  </si>
  <si>
    <t>Potência de iluminação (VA)</t>
  </si>
  <si>
    <t>Tomadas de uso geral (TUGs)</t>
  </si>
  <si>
    <t>Tomadas de uso específico (TUEs)</t>
  </si>
  <si>
    <t>Área (m²)</t>
  </si>
  <si>
    <t>Perímetro (m)</t>
  </si>
  <si>
    <t>Quant.</t>
  </si>
  <si>
    <t>Potência (VA)</t>
  </si>
  <si>
    <t>Discriminação</t>
  </si>
  <si>
    <t>Potência (W)</t>
  </si>
  <si>
    <t>BWC 1</t>
  </si>
  <si>
    <t>BWC 2</t>
  </si>
  <si>
    <t>BWC 3</t>
  </si>
  <si>
    <t>BWC 4</t>
  </si>
  <si>
    <t>Cozinha</t>
  </si>
  <si>
    <t>Dependência</t>
  </si>
  <si>
    <t>Depósito</t>
  </si>
  <si>
    <t>Despensa</t>
  </si>
  <si>
    <t>Dormitório 1</t>
  </si>
  <si>
    <t>Dormitório 2</t>
  </si>
  <si>
    <t>Dormitório 3</t>
  </si>
  <si>
    <t>Dormitório 4</t>
  </si>
  <si>
    <t>Elevador 1</t>
  </si>
  <si>
    <t>Elevador 2</t>
  </si>
  <si>
    <t>Estar</t>
  </si>
  <si>
    <t>Hall 1</t>
  </si>
  <si>
    <t>Hall 2</t>
  </si>
  <si>
    <t>Hall 3</t>
  </si>
  <si>
    <t>Jantar</t>
  </si>
  <si>
    <t>Serviço</t>
  </si>
  <si>
    <t>Terraço</t>
  </si>
  <si>
    <t>Vestir 1</t>
  </si>
  <si>
    <t>Vestir 2</t>
  </si>
  <si>
    <t>WC</t>
  </si>
  <si>
    <t>TOTAL</t>
  </si>
  <si>
    <t>-</t>
  </si>
  <si>
    <t>Circuito</t>
  </si>
  <si>
    <t>Tensão (V)</t>
  </si>
  <si>
    <t>Local</t>
  </si>
  <si>
    <t>Corrente (A)</t>
  </si>
  <si>
    <t>Nº de circuitos agrupados</t>
  </si>
  <si>
    <t>Seção dos condutores (mm²)</t>
  </si>
  <si>
    <t>Proteção</t>
  </si>
  <si>
    <t>Nº</t>
  </si>
  <si>
    <t>Tipo</t>
  </si>
  <si>
    <t>Nº de polos</t>
  </si>
  <si>
    <t>Corrente nominal</t>
  </si>
  <si>
    <t xml:space="preserve">Ilum. Social </t>
  </si>
  <si>
    <t>Ilum. de Serviço</t>
  </si>
  <si>
    <t>PTUG's</t>
  </si>
  <si>
    <t>Cx. d'água</t>
  </si>
  <si>
    <t>Iluminação</t>
  </si>
  <si>
    <t>Copa</t>
  </si>
  <si>
    <t>Medição</t>
  </si>
  <si>
    <t>Portaria</t>
  </si>
  <si>
    <t>Salão de festas</t>
  </si>
  <si>
    <t>Vestiário</t>
  </si>
  <si>
    <t>WC Fem.</t>
  </si>
  <si>
    <t>WC Masc.</t>
  </si>
  <si>
    <t>Ilum. Serviço</t>
  </si>
  <si>
    <t>Ilum. Social</t>
  </si>
  <si>
    <t>Bombas</t>
  </si>
  <si>
    <t>BWC</t>
  </si>
  <si>
    <t>Hall</t>
  </si>
  <si>
    <t>Escada</t>
  </si>
  <si>
    <t>Garagem</t>
  </si>
  <si>
    <t>Sala</t>
  </si>
  <si>
    <t>Ilum. Garagem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</si>
</sst>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</fills>
  <borders count="25">
    <border/>
    <border>
      <left style="thin">
        <color rgb="FF8EAADB"/>
      </left>
      <right style="thin">
        <color theme="0"/>
      </right>
      <top style="thin">
        <color rgb="FF8EAADB"/>
      </top>
    </border>
    <border>
      <left style="thin">
        <color theme="0"/>
      </left>
      <top style="thin">
        <color rgb="FF8EAADB"/>
      </top>
      <bottom style="thin">
        <color theme="0"/>
      </bottom>
    </border>
    <border>
      <right style="thin">
        <color theme="0"/>
      </right>
      <top style="thin">
        <color rgb="FF8EAADB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rgb="FF8EAADB"/>
      </top>
    </border>
    <border>
      <right/>
      <top style="thin">
        <color rgb="FF8EAADB"/>
      </top>
      <bottom style="thin">
        <color theme="0"/>
      </bottom>
    </border>
    <border>
      <right style="thin">
        <color rgb="FF8EAADB"/>
      </right>
      <top style="thin">
        <color rgb="FF8EAADB"/>
      </top>
      <bottom style="thin">
        <color theme="0"/>
      </bottom>
    </border>
    <border>
      <left style="thin">
        <color rgb="FF8EAADB"/>
      </left>
      <right style="thin">
        <color theme="0"/>
      </right>
      <bottom style="thin">
        <color theme="0"/>
      </bottom>
    </border>
    <border>
      <left style="thin">
        <color theme="0"/>
      </left>
      <right/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8EAADB"/>
      </bottom>
    </border>
    <border>
      <left style="thin">
        <color theme="0"/>
      </left>
      <right style="thin">
        <color theme="0"/>
      </right>
      <bottom style="thin">
        <color rgb="FF8EAADB"/>
      </bottom>
    </border>
    <border>
      <left style="thin">
        <color theme="0"/>
      </left>
      <right style="thin">
        <color theme="0"/>
      </right>
      <top/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/>
      <right/>
      <top/>
      <bottom/>
    </border>
    <border>
      <left style="thin">
        <color theme="0"/>
      </left>
      <right style="thin">
        <color rgb="FF8EAADB"/>
      </right>
      <top style="thin">
        <color theme="0"/>
      </top>
      <bottom style="thin">
        <color rgb="FF8EAADB"/>
      </bottom>
    </border>
    <border>
      <left style="thin">
        <color rgb="FF8EAADB"/>
      </left>
      <right/>
      <top style="thin">
        <color theme="0"/>
      </top>
      <bottom style="thin">
        <color theme="0"/>
      </bottom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 style="thin">
        <color rgb="FF8EAADB"/>
      </right>
      <top style="thin">
        <color rgb="FF8EAADB"/>
      </top>
    </border>
    <border>
      <left style="thin">
        <color rgb="FF8EAADB"/>
      </left>
      <right style="thin">
        <color theme="0"/>
      </right>
      <top style="thin">
        <color theme="0"/>
      </top>
      <bottom style="thin">
        <color theme="0"/>
      </bottom>
    </border>
    <border>
      <left/>
      <right style="thin">
        <color theme="0"/>
      </right>
      <top/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rgb="FF8EAADB"/>
      </right>
      <top style="thin">
        <color theme="0"/>
      </top>
      <bottom style="thin">
        <color theme="0"/>
      </bottom>
    </border>
    <border>
      <left style="thin">
        <color rgb="FF8EAADB"/>
      </left>
      <top style="thin">
        <color rgb="FF8EAADB"/>
      </top>
      <bottom style="thin">
        <color theme="0"/>
      </bottom>
    </border>
    <border>
      <top style="thin">
        <color rgb="FF8EAADB"/>
      </top>
      <bottom style="thin">
        <color theme="0"/>
      </bottom>
    </border>
    <border>
      <left style="thin">
        <color rgb="FF8EAADB"/>
      </left>
      <right style="thin">
        <color theme="0"/>
      </right>
      <top style="thin">
        <color theme="0"/>
      </top>
      <bottom style="thin">
        <color rgb="FF8EAADB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5" fillId="3" fontId="3" numFmtId="0" xfId="0" applyAlignment="1" applyBorder="1" applyFill="1" applyFont="1">
      <alignment readingOrder="0" shrinkToFit="0" wrapText="1"/>
    </xf>
    <xf borderId="16" fillId="0" fontId="3" numFmtId="2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shrinkToFit="0" wrapText="1"/>
    </xf>
    <xf borderId="15" fillId="3" fontId="1" numFmtId="0" xfId="0" applyAlignment="1" applyBorder="1" applyFont="1">
      <alignment shrinkToFit="0" wrapText="1"/>
    </xf>
    <xf borderId="16" fillId="0" fontId="1" numFmtId="2" xfId="0" applyAlignment="1" applyBorder="1" applyFont="1" applyNumberFormat="1">
      <alignment horizontal="center" shrinkToFit="0" vertical="center" wrapText="1"/>
    </xf>
    <xf borderId="17" fillId="0" fontId="1" numFmtId="2" xfId="0" applyAlignment="1" applyBorder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shrinkToFit="0" wrapText="1"/>
    </xf>
    <xf borderId="18" fillId="2" fontId="1" numFmtId="0" xfId="0" applyAlignment="1" applyBorder="1" applyFont="1">
      <alignment shrinkToFit="0" wrapText="1"/>
    </xf>
    <xf borderId="19" fillId="2" fontId="1" numFmtId="2" xfId="0" applyAlignment="1" applyBorder="1" applyFont="1" applyNumberFormat="1">
      <alignment horizontal="center" shrinkToFit="0" vertical="center" wrapText="1"/>
    </xf>
    <xf borderId="20" fillId="2" fontId="1" numFmtId="2" xfId="0" applyAlignment="1" applyBorder="1" applyFont="1" applyNumberFormat="1">
      <alignment horizontal="center" shrinkToFit="0" vertical="center" wrapText="1"/>
    </xf>
    <xf borderId="20" fillId="2" fontId="1" numFmtId="0" xfId="0" applyAlignment="1" applyBorder="1" applyFont="1">
      <alignment horizontal="center" shrinkToFit="0" vertical="center" wrapText="1"/>
    </xf>
    <xf borderId="20" fillId="2" fontId="1" numFmtId="0" xfId="0" applyAlignment="1" applyBorder="1" applyFont="1">
      <alignment shrinkToFit="0" wrapText="1"/>
    </xf>
    <xf borderId="21" fillId="2" fontId="1" numFmtId="0" xfId="0" applyAlignment="1" applyBorder="1" applyFont="1">
      <alignment shrinkToFit="0" wrapText="1"/>
    </xf>
    <xf borderId="22" fillId="2" fontId="1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2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vertical="center"/>
    </xf>
    <xf borderId="16" fillId="0" fontId="1" numFmtId="2" xfId="0" applyAlignment="1" applyBorder="1" applyFont="1" applyNumberFormat="1">
      <alignment horizontal="center" vertical="center"/>
    </xf>
    <xf borderId="1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3.75"/>
    <col customWidth="1" min="4" max="4" width="14.5"/>
    <col customWidth="1" min="5" max="5" width="9.25"/>
    <col customWidth="1" min="6" max="6" width="13.88"/>
    <col customWidth="1" min="7" max="7" width="27.25"/>
    <col customWidth="1" min="8" max="8" width="10.88"/>
    <col customWidth="1" min="9" max="11" width="7.63"/>
    <col customWidth="1" min="12" max="12" width="16.0"/>
    <col customWidth="1" min="13" max="13" width="13.38"/>
    <col customWidth="1" min="14" max="14" width="15.5"/>
    <col customWidth="1" min="15" max="15" width="12.0"/>
    <col customWidth="1" min="16" max="16" width="7.63"/>
    <col customWidth="1" min="17" max="17" width="9.63"/>
    <col customWidth="1" min="18" max="18" width="10.38"/>
    <col customWidth="1" min="19" max="19" width="10.63"/>
    <col customWidth="1" min="20" max="20" width="8.63"/>
    <col customWidth="1" min="21" max="26" width="7.63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G1" s="2" t="s">
        <v>4</v>
      </c>
      <c r="H1" s="6"/>
    </row>
    <row r="2" ht="36.0" customHeight="1">
      <c r="A2" s="7"/>
      <c r="B2" s="8" t="s">
        <v>5</v>
      </c>
      <c r="C2" s="9" t="s">
        <v>6</v>
      </c>
      <c r="D2" s="10"/>
      <c r="E2" s="11" t="s">
        <v>7</v>
      </c>
      <c r="F2" s="12" t="s">
        <v>8</v>
      </c>
      <c r="G2" s="13" t="s">
        <v>9</v>
      </c>
      <c r="H2" s="14" t="s">
        <v>10</v>
      </c>
    </row>
    <row r="3">
      <c r="A3" s="15" t="s">
        <v>11</v>
      </c>
      <c r="B3" s="16">
        <v>3.705</v>
      </c>
      <c r="C3" s="16">
        <v>7.7</v>
      </c>
      <c r="D3" s="17">
        <f t="shared" ref="D3:D26" si="1">IF(B3&lt;=6,100,100+ROUNDDOWN((B3-6)/4,0)*60)</f>
        <v>100</v>
      </c>
      <c r="E3" s="17">
        <f t="shared" ref="E3:E6" si="2">IF(B3&lt;=6,1,ROUNDUP(C3/5,0))</f>
        <v>1</v>
      </c>
      <c r="F3" s="17">
        <f t="shared" ref="F3:F6" si="3">IF(E3&lt;4,E3*600,1800+(E3-3)*100)</f>
        <v>600</v>
      </c>
      <c r="G3" s="16"/>
      <c r="H3" s="18"/>
    </row>
    <row r="4">
      <c r="A4" s="15" t="s">
        <v>12</v>
      </c>
      <c r="B4" s="16">
        <v>3.9515</v>
      </c>
      <c r="C4" s="16">
        <v>8.2687</v>
      </c>
      <c r="D4" s="17">
        <f t="shared" si="1"/>
        <v>100</v>
      </c>
      <c r="E4" s="17">
        <f t="shared" si="2"/>
        <v>1</v>
      </c>
      <c r="F4" s="17">
        <f t="shared" si="3"/>
        <v>600</v>
      </c>
      <c r="G4" s="18"/>
      <c r="H4" s="18"/>
    </row>
    <row r="5">
      <c r="A5" s="15" t="s">
        <v>13</v>
      </c>
      <c r="B5" s="16">
        <v>3.4354</v>
      </c>
      <c r="C5" s="16">
        <v>7.42</v>
      </c>
      <c r="D5" s="17">
        <f t="shared" si="1"/>
        <v>100</v>
      </c>
      <c r="E5" s="17">
        <f t="shared" si="2"/>
        <v>1</v>
      </c>
      <c r="F5" s="17">
        <f t="shared" si="3"/>
        <v>600</v>
      </c>
      <c r="G5" s="18"/>
      <c r="H5" s="18"/>
    </row>
    <row r="6">
      <c r="A6" s="15" t="s">
        <v>14</v>
      </c>
      <c r="B6" s="16">
        <v>2.07</v>
      </c>
      <c r="C6" s="16">
        <v>5.76</v>
      </c>
      <c r="D6" s="17">
        <f t="shared" si="1"/>
        <v>100</v>
      </c>
      <c r="E6" s="17">
        <f t="shared" si="2"/>
        <v>1</v>
      </c>
      <c r="F6" s="17">
        <f t="shared" si="3"/>
        <v>600</v>
      </c>
      <c r="G6" s="18"/>
      <c r="H6" s="18"/>
    </row>
    <row r="7">
      <c r="A7" s="19" t="s">
        <v>15</v>
      </c>
      <c r="B7" s="20">
        <v>12.9435</v>
      </c>
      <c r="C7" s="20">
        <v>15.3022</v>
      </c>
      <c r="D7" s="17">
        <f t="shared" si="1"/>
        <v>160</v>
      </c>
      <c r="E7" s="17">
        <f>ROUNDUP(C7/3.5,0)</f>
        <v>5</v>
      </c>
      <c r="F7" s="17">
        <f>IF(E7&lt;4,E7*600,1800+(E7-3)*100)</f>
        <v>2000</v>
      </c>
      <c r="G7" s="18"/>
      <c r="H7" s="18"/>
    </row>
    <row r="8">
      <c r="A8" s="19" t="s">
        <v>16</v>
      </c>
      <c r="B8" s="20">
        <v>4.048</v>
      </c>
      <c r="C8" s="20">
        <v>8.12</v>
      </c>
      <c r="D8" s="17">
        <f t="shared" si="1"/>
        <v>100</v>
      </c>
      <c r="E8" s="17">
        <f t="shared" ref="E8:E21" si="4">IF(B8&lt;=6,1,ROUNDUP(C8/5,0))</f>
        <v>1</v>
      </c>
      <c r="F8" s="17">
        <f t="shared" ref="F8:F21" si="5">100*E8</f>
        <v>100</v>
      </c>
      <c r="G8" s="18"/>
      <c r="H8" s="18"/>
    </row>
    <row r="9">
      <c r="A9" s="19" t="s">
        <v>17</v>
      </c>
      <c r="B9" s="20">
        <v>2.07</v>
      </c>
      <c r="C9" s="20">
        <v>5.76</v>
      </c>
      <c r="D9" s="17">
        <f t="shared" si="1"/>
        <v>100</v>
      </c>
      <c r="E9" s="17">
        <f t="shared" si="4"/>
        <v>1</v>
      </c>
      <c r="F9" s="17">
        <f t="shared" si="5"/>
        <v>100</v>
      </c>
      <c r="G9" s="18"/>
      <c r="H9" s="18"/>
    </row>
    <row r="10">
      <c r="A10" s="19" t="s">
        <v>18</v>
      </c>
      <c r="B10" s="20">
        <v>1.87</v>
      </c>
      <c r="C10" s="20">
        <v>6.1</v>
      </c>
      <c r="D10" s="17">
        <f t="shared" si="1"/>
        <v>100</v>
      </c>
      <c r="E10" s="17">
        <f t="shared" si="4"/>
        <v>1</v>
      </c>
      <c r="F10" s="17">
        <f t="shared" si="5"/>
        <v>100</v>
      </c>
      <c r="G10" s="18"/>
      <c r="H10" s="18"/>
    </row>
    <row r="11">
      <c r="A11" s="15" t="s">
        <v>19</v>
      </c>
      <c r="B11" s="16">
        <v>9.4278</v>
      </c>
      <c r="C11" s="16">
        <v>12.8493</v>
      </c>
      <c r="D11" s="17">
        <f t="shared" si="1"/>
        <v>100</v>
      </c>
      <c r="E11" s="17">
        <f t="shared" si="4"/>
        <v>3</v>
      </c>
      <c r="F11" s="17">
        <f t="shared" si="5"/>
        <v>300</v>
      </c>
      <c r="G11" s="18"/>
      <c r="H11" s="18"/>
    </row>
    <row r="12">
      <c r="A12" s="15" t="s">
        <v>20</v>
      </c>
      <c r="B12" s="16">
        <v>11.7128</v>
      </c>
      <c r="C12" s="16">
        <v>14.038</v>
      </c>
      <c r="D12" s="17">
        <f t="shared" si="1"/>
        <v>160</v>
      </c>
      <c r="E12" s="17">
        <f t="shared" si="4"/>
        <v>3</v>
      </c>
      <c r="F12" s="17">
        <f t="shared" si="5"/>
        <v>300</v>
      </c>
      <c r="G12" s="18"/>
      <c r="H12" s="18"/>
    </row>
    <row r="13">
      <c r="A13" s="15" t="s">
        <v>21</v>
      </c>
      <c r="B13" s="16">
        <v>9.572</v>
      </c>
      <c r="C13" s="16">
        <v>12.8766</v>
      </c>
      <c r="D13" s="17">
        <f t="shared" si="1"/>
        <v>100</v>
      </c>
      <c r="E13" s="17">
        <f t="shared" si="4"/>
        <v>3</v>
      </c>
      <c r="F13" s="17">
        <f t="shared" si="5"/>
        <v>300</v>
      </c>
      <c r="G13" s="18"/>
      <c r="H13" s="18"/>
    </row>
    <row r="14">
      <c r="A14" s="15" t="s">
        <v>22</v>
      </c>
      <c r="B14" s="16">
        <v>8.932</v>
      </c>
      <c r="C14" s="16">
        <v>11.96</v>
      </c>
      <c r="D14" s="17">
        <f t="shared" si="1"/>
        <v>100</v>
      </c>
      <c r="E14" s="17">
        <f t="shared" si="4"/>
        <v>3</v>
      </c>
      <c r="F14" s="17">
        <f t="shared" si="5"/>
        <v>300</v>
      </c>
      <c r="G14" s="18"/>
      <c r="H14" s="18"/>
    </row>
    <row r="15">
      <c r="A15" s="15" t="s">
        <v>23</v>
      </c>
      <c r="B15" s="20">
        <v>2.25</v>
      </c>
      <c r="C15" s="20">
        <v>6.0</v>
      </c>
      <c r="D15" s="17">
        <f t="shared" si="1"/>
        <v>100</v>
      </c>
      <c r="E15" s="17">
        <f t="shared" si="4"/>
        <v>1</v>
      </c>
      <c r="F15" s="17">
        <f t="shared" si="5"/>
        <v>100</v>
      </c>
      <c r="G15" s="18"/>
      <c r="H15" s="18"/>
    </row>
    <row r="16">
      <c r="A16" s="15" t="s">
        <v>24</v>
      </c>
      <c r="B16" s="20">
        <v>2.43</v>
      </c>
      <c r="C16" s="20">
        <v>6.24</v>
      </c>
      <c r="D16" s="17">
        <f t="shared" si="1"/>
        <v>100</v>
      </c>
      <c r="E16" s="17">
        <f t="shared" si="4"/>
        <v>1</v>
      </c>
      <c r="F16" s="17">
        <f t="shared" si="5"/>
        <v>100</v>
      </c>
      <c r="G16" s="18"/>
      <c r="H16" s="18"/>
    </row>
    <row r="17">
      <c r="A17" s="19" t="s">
        <v>25</v>
      </c>
      <c r="B17" s="20">
        <v>20.3932</v>
      </c>
      <c r="C17" s="20">
        <v>19.9</v>
      </c>
      <c r="D17" s="17">
        <f t="shared" si="1"/>
        <v>280</v>
      </c>
      <c r="E17" s="17">
        <f t="shared" si="4"/>
        <v>4</v>
      </c>
      <c r="F17" s="17">
        <f t="shared" si="5"/>
        <v>400</v>
      </c>
      <c r="G17" s="18"/>
      <c r="H17" s="18"/>
    </row>
    <row r="18">
      <c r="A18" s="15" t="s">
        <v>26</v>
      </c>
      <c r="B18" s="20">
        <v>5.4425</v>
      </c>
      <c r="C18" s="20">
        <v>11.46</v>
      </c>
      <c r="D18" s="17">
        <f t="shared" si="1"/>
        <v>100</v>
      </c>
      <c r="E18" s="17">
        <f t="shared" si="4"/>
        <v>1</v>
      </c>
      <c r="F18" s="17">
        <f t="shared" si="5"/>
        <v>100</v>
      </c>
      <c r="G18" s="18"/>
      <c r="H18" s="18"/>
    </row>
    <row r="19">
      <c r="A19" s="15" t="s">
        <v>27</v>
      </c>
      <c r="B19" s="20">
        <v>3.3585</v>
      </c>
      <c r="C19" s="20">
        <v>7.86</v>
      </c>
      <c r="D19" s="17">
        <f t="shared" si="1"/>
        <v>100</v>
      </c>
      <c r="E19" s="17">
        <f t="shared" si="4"/>
        <v>1</v>
      </c>
      <c r="F19" s="17">
        <f t="shared" si="5"/>
        <v>100</v>
      </c>
      <c r="G19" s="18"/>
      <c r="H19" s="18"/>
    </row>
    <row r="20">
      <c r="A20" s="15" t="s">
        <v>28</v>
      </c>
      <c r="B20" s="20">
        <v>3.43</v>
      </c>
      <c r="C20" s="20">
        <v>7.7</v>
      </c>
      <c r="D20" s="17">
        <f t="shared" si="1"/>
        <v>100</v>
      </c>
      <c r="E20" s="17">
        <f t="shared" si="4"/>
        <v>1</v>
      </c>
      <c r="F20" s="17">
        <f t="shared" si="5"/>
        <v>100</v>
      </c>
      <c r="G20" s="18"/>
      <c r="H20" s="18"/>
    </row>
    <row r="21" ht="15.75" customHeight="1">
      <c r="A21" s="19" t="s">
        <v>29</v>
      </c>
      <c r="B21" s="20">
        <v>26.7517</v>
      </c>
      <c r="C21" s="20">
        <v>25.8882</v>
      </c>
      <c r="D21" s="17">
        <f t="shared" si="1"/>
        <v>400</v>
      </c>
      <c r="E21" s="17">
        <f t="shared" si="4"/>
        <v>6</v>
      </c>
      <c r="F21" s="17">
        <f t="shared" si="5"/>
        <v>600</v>
      </c>
      <c r="G21" s="18"/>
      <c r="H21" s="18"/>
    </row>
    <row r="22" ht="15.75" customHeight="1">
      <c r="A22" s="19" t="s">
        <v>30</v>
      </c>
      <c r="B22" s="20">
        <v>12.956</v>
      </c>
      <c r="C22" s="20">
        <v>20.04</v>
      </c>
      <c r="D22" s="17">
        <f t="shared" si="1"/>
        <v>160</v>
      </c>
      <c r="E22" s="17">
        <f>ROUNDUP(C22/3.5,0)</f>
        <v>6</v>
      </c>
      <c r="F22" s="17">
        <f>IF(E22&lt;4,E22*600,1800+(E22-3)*100)</f>
        <v>2100</v>
      </c>
      <c r="G22" s="18"/>
      <c r="H22" s="18"/>
    </row>
    <row r="23" ht="15.75" customHeight="1">
      <c r="A23" s="19" t="s">
        <v>31</v>
      </c>
      <c r="B23" s="20">
        <v>14.4899</v>
      </c>
      <c r="C23" s="20">
        <v>17.44</v>
      </c>
      <c r="D23" s="17">
        <f t="shared" si="1"/>
        <v>220</v>
      </c>
      <c r="E23" s="17">
        <f t="shared" ref="E23:E26" si="6">IF(B23&lt;=6,1,ROUNDUP(C23/5,0))</f>
        <v>4</v>
      </c>
      <c r="F23" s="17">
        <f t="shared" ref="F23:F25" si="7">100*E23</f>
        <v>400</v>
      </c>
      <c r="G23" s="18"/>
      <c r="H23" s="18"/>
    </row>
    <row r="24" ht="15.75" customHeight="1">
      <c r="A24" s="15" t="s">
        <v>32</v>
      </c>
      <c r="B24" s="20">
        <v>5.719</v>
      </c>
      <c r="C24" s="20">
        <v>9.62</v>
      </c>
      <c r="D24" s="17">
        <f t="shared" si="1"/>
        <v>100</v>
      </c>
      <c r="E24" s="17">
        <f t="shared" si="6"/>
        <v>1</v>
      </c>
      <c r="F24" s="17">
        <f t="shared" si="7"/>
        <v>100</v>
      </c>
      <c r="G24" s="18"/>
      <c r="H24" s="18"/>
    </row>
    <row r="25" ht="15.75" customHeight="1">
      <c r="A25" s="19" t="s">
        <v>33</v>
      </c>
      <c r="B25" s="20">
        <v>2.2195</v>
      </c>
      <c r="C25" s="20">
        <v>6.16</v>
      </c>
      <c r="D25" s="17">
        <f t="shared" si="1"/>
        <v>100</v>
      </c>
      <c r="E25" s="17">
        <f t="shared" si="6"/>
        <v>1</v>
      </c>
      <c r="F25" s="17">
        <f t="shared" si="7"/>
        <v>100</v>
      </c>
      <c r="G25" s="18"/>
      <c r="H25" s="18"/>
    </row>
    <row r="26" ht="15.75" customHeight="1">
      <c r="A26" s="19" t="s">
        <v>34</v>
      </c>
      <c r="B26" s="20">
        <v>1.19</v>
      </c>
      <c r="C26" s="21">
        <v>4.5</v>
      </c>
      <c r="D26" s="17">
        <f t="shared" si="1"/>
        <v>100</v>
      </c>
      <c r="E26" s="17">
        <f t="shared" si="6"/>
        <v>1</v>
      </c>
      <c r="F26" s="22">
        <f>IF(E26&lt;4,E26*600,1800+(E26-3)*100)</f>
        <v>600</v>
      </c>
      <c r="G26" s="23"/>
      <c r="H26" s="23"/>
    </row>
    <row r="27" ht="15.75" customHeight="1">
      <c r="A27" s="24" t="s">
        <v>35</v>
      </c>
      <c r="B27" s="25">
        <f>SUM(B3:B26)</f>
        <v>174.3683</v>
      </c>
      <c r="C27" s="26" t="s">
        <v>36</v>
      </c>
      <c r="D27" s="27">
        <f t="shared" ref="D27:F27" si="8">SUM(D3:D26)</f>
        <v>3180</v>
      </c>
      <c r="E27" s="27">
        <f t="shared" si="8"/>
        <v>52</v>
      </c>
      <c r="F27" s="27">
        <f t="shared" si="8"/>
        <v>10700</v>
      </c>
      <c r="G27" s="28"/>
      <c r="H27" s="29"/>
    </row>
    <row r="28" ht="15.75" customHeight="1"/>
    <row r="29" ht="15.75" customHeight="1"/>
    <row r="30" ht="15.75" customHeight="1"/>
    <row r="31" ht="17.25" customHeight="1">
      <c r="L31" s="30" t="s">
        <v>37</v>
      </c>
      <c r="M31" s="3"/>
      <c r="N31" s="4" t="s">
        <v>38</v>
      </c>
      <c r="O31" s="4" t="s">
        <v>39</v>
      </c>
      <c r="P31" s="4" t="s">
        <v>8</v>
      </c>
      <c r="Q31" s="4" t="s">
        <v>40</v>
      </c>
      <c r="R31" s="4" t="s">
        <v>41</v>
      </c>
      <c r="S31" s="4" t="s">
        <v>42</v>
      </c>
      <c r="T31" s="2" t="s">
        <v>43</v>
      </c>
      <c r="U31" s="31"/>
      <c r="V31" s="6"/>
    </row>
    <row r="32" ht="15.75" customHeight="1">
      <c r="L32" s="32" t="s">
        <v>44</v>
      </c>
      <c r="M32" s="12" t="s">
        <v>45</v>
      </c>
      <c r="N32" s="10"/>
      <c r="O32" s="10"/>
      <c r="P32" s="10"/>
      <c r="Q32" s="10"/>
      <c r="R32" s="10"/>
      <c r="S32" s="10"/>
      <c r="T32" s="12" t="s">
        <v>45</v>
      </c>
      <c r="U32" s="12" t="s">
        <v>46</v>
      </c>
      <c r="V32" s="14" t="s">
        <v>47</v>
      </c>
    </row>
    <row r="33" ht="15.75" customHeight="1">
      <c r="L33" s="33">
        <v>1.0</v>
      </c>
      <c r="M33" s="33" t="s">
        <v>48</v>
      </c>
      <c r="N33" s="33">
        <v>220.0</v>
      </c>
      <c r="O33" s="17" t="str">
        <f>CONCATENATE(A4,CHAR(10),A5,CHAR(10),A6,CHAR(10),A11,CHAR(10),A12,CHAR(10),A13,CHAR(10),A14,CHAR(10),A24,CHAR(10),A25,CHAR(10),A18,CHAR(10),A21,CHAR(10),A17,CHAR(10),A23)</f>
        <v>BWC 2
BWC 3
BWC 4
Dormitório 1
Dormitório 2
Dormitório 3
Dormitório 4
Vestir 1
Vestir 2
Hall 1
Jantar
Estar
Terraço</v>
      </c>
      <c r="P33" s="33">
        <f>SUM(D4:D6,D11:D14,D24:D25,D18,D21,D17,D23)</f>
        <v>1960</v>
      </c>
      <c r="Q33" s="34">
        <f t="shared" ref="Q33:Q43" si="9">P33/N33</f>
        <v>8.909090909</v>
      </c>
      <c r="R33" s="33"/>
      <c r="S33" s="33"/>
      <c r="T33" s="33"/>
      <c r="U33" s="33"/>
      <c r="V33" s="33"/>
    </row>
    <row r="34" ht="15.75" customHeight="1">
      <c r="L34" s="33">
        <v>2.0</v>
      </c>
      <c r="M34" s="33" t="s">
        <v>49</v>
      </c>
      <c r="N34" s="33">
        <v>220.0</v>
      </c>
      <c r="O34" s="17" t="str">
        <f>CONCATENATE(A7,CHAR(10),A8,CHAR(10),A9,CHAR(10),A10,CHAR(10),A22,CHAR(10),A3,CHAR(10),A19,CHAR(10),A20,CHAR(10),A26,CHAR(10),A15,CHAR(10),A16)</f>
        <v>Cozinha
Dependência
Depósito
Despensa
Serviço
BWC 1
Hall 2
Hall 3
WC
Elevador 1
Elevador 2</v>
      </c>
      <c r="P34" s="33">
        <f>SUM(D7,D8,D9,D10,D22,D3,D19,D20,D26,D15,D16)</f>
        <v>1220</v>
      </c>
      <c r="Q34" s="34">
        <f t="shared" si="9"/>
        <v>5.545454545</v>
      </c>
      <c r="R34" s="33"/>
      <c r="S34" s="33"/>
      <c r="T34" s="33"/>
      <c r="U34" s="33"/>
      <c r="V34" s="33"/>
    </row>
    <row r="35" ht="15.75" customHeight="1">
      <c r="L35" s="33">
        <v>4.0</v>
      </c>
      <c r="M35" s="33" t="s">
        <v>50</v>
      </c>
      <c r="N35" s="33">
        <v>220.0</v>
      </c>
      <c r="O35" s="17" t="str">
        <f>CONCATENATE(A24,CHAR(10),A4,CHAR(10),A5,CHAR(10),A11,CHAR(10),A12)</f>
        <v>Vestir 1
BWC 2
BWC 3
Dormitório 1
Dormitório 2</v>
      </c>
      <c r="P35" s="33">
        <f>SUM(F24,F4,F5,F11,F12)</f>
        <v>1900</v>
      </c>
      <c r="Q35" s="34">
        <f t="shared" si="9"/>
        <v>8.636363636</v>
      </c>
      <c r="R35" s="33"/>
      <c r="S35" s="33"/>
      <c r="T35" s="33"/>
      <c r="U35" s="33"/>
      <c r="V35" s="33"/>
    </row>
    <row r="36" ht="15.75" customHeight="1">
      <c r="L36" s="33">
        <v>5.0</v>
      </c>
      <c r="M36" s="33" t="s">
        <v>50</v>
      </c>
      <c r="N36" s="33">
        <v>220.0</v>
      </c>
      <c r="O36" s="17" t="str">
        <f>CONCATENATE(A25,CHAR(10),A6,CHAR(10),A18,CHAR(10),A13,CHAR(10),A14)</f>
        <v>Vestir 2
BWC 4
Hall 1
Dormitório 3
Dormitório 4</v>
      </c>
      <c r="P36" s="33">
        <f>SUM(F25,F6,F18,F13,F14)</f>
        <v>1400</v>
      </c>
      <c r="Q36" s="34">
        <f t="shared" si="9"/>
        <v>6.363636364</v>
      </c>
      <c r="R36" s="33"/>
      <c r="S36" s="33"/>
      <c r="T36" s="33"/>
      <c r="U36" s="33"/>
      <c r="V36" s="33"/>
    </row>
    <row r="37" ht="15.75" customHeight="1">
      <c r="L37" s="33">
        <v>6.0</v>
      </c>
      <c r="M37" s="33" t="s">
        <v>50</v>
      </c>
      <c r="N37" s="33">
        <v>220.0</v>
      </c>
      <c r="O37" s="17"/>
      <c r="P37" s="33"/>
      <c r="Q37" s="34">
        <f t="shared" si="9"/>
        <v>0</v>
      </c>
      <c r="R37" s="33"/>
      <c r="S37" s="33"/>
      <c r="T37" s="33"/>
      <c r="U37" s="33"/>
      <c r="V37" s="33"/>
    </row>
    <row r="38" ht="15.75" customHeight="1">
      <c r="L38" s="33">
        <v>7.0</v>
      </c>
      <c r="M38" s="33" t="s">
        <v>50</v>
      </c>
      <c r="N38" s="33">
        <v>220.0</v>
      </c>
      <c r="O38" s="17"/>
      <c r="P38" s="33"/>
      <c r="Q38" s="34">
        <f t="shared" si="9"/>
        <v>0</v>
      </c>
      <c r="R38" s="33"/>
      <c r="S38" s="33"/>
      <c r="T38" s="33"/>
      <c r="U38" s="33"/>
      <c r="V38" s="33"/>
    </row>
    <row r="39" ht="15.75" customHeight="1">
      <c r="L39" s="33">
        <v>8.0</v>
      </c>
      <c r="M39" s="33" t="s">
        <v>50</v>
      </c>
      <c r="N39" s="33">
        <v>220.0</v>
      </c>
      <c r="O39" s="17"/>
      <c r="P39" s="33"/>
      <c r="Q39" s="34">
        <f t="shared" si="9"/>
        <v>0</v>
      </c>
      <c r="R39" s="33"/>
      <c r="S39" s="33"/>
      <c r="T39" s="33"/>
      <c r="U39" s="33"/>
      <c r="V39" s="33"/>
    </row>
    <row r="40" ht="15.75" customHeight="1">
      <c r="L40" s="33">
        <v>9.0</v>
      </c>
      <c r="M40" s="33" t="s">
        <v>50</v>
      </c>
      <c r="N40" s="33">
        <v>220.0</v>
      </c>
      <c r="O40" s="17"/>
      <c r="P40" s="33"/>
      <c r="Q40" s="34">
        <f t="shared" si="9"/>
        <v>0</v>
      </c>
      <c r="R40" s="33"/>
      <c r="S40" s="33"/>
      <c r="T40" s="33"/>
      <c r="U40" s="33"/>
      <c r="V40" s="33"/>
    </row>
    <row r="41" ht="15.75" customHeight="1">
      <c r="L41" s="33">
        <v>10.0</v>
      </c>
      <c r="M41" s="33" t="s">
        <v>50</v>
      </c>
      <c r="N41" s="33">
        <v>220.0</v>
      </c>
      <c r="O41" s="17"/>
      <c r="P41" s="33"/>
      <c r="Q41" s="34">
        <f t="shared" si="9"/>
        <v>0</v>
      </c>
      <c r="R41" s="33"/>
      <c r="S41" s="33"/>
      <c r="T41" s="33"/>
      <c r="U41" s="33"/>
      <c r="V41" s="33"/>
    </row>
    <row r="42" ht="15.75" customHeight="1">
      <c r="L42" s="33">
        <v>11.0</v>
      </c>
      <c r="M42" s="33" t="s">
        <v>50</v>
      </c>
      <c r="N42" s="33">
        <v>220.0</v>
      </c>
      <c r="O42" s="17"/>
      <c r="P42" s="33"/>
      <c r="Q42" s="34">
        <f t="shared" si="9"/>
        <v>0</v>
      </c>
      <c r="R42" s="33"/>
      <c r="S42" s="33"/>
      <c r="T42" s="33"/>
      <c r="U42" s="33"/>
      <c r="V42" s="33"/>
    </row>
    <row r="43" ht="15.75" customHeight="1">
      <c r="L43" s="33">
        <v>12.0</v>
      </c>
      <c r="M43" s="33" t="s">
        <v>50</v>
      </c>
      <c r="N43" s="33">
        <v>220.0</v>
      </c>
      <c r="O43" s="17"/>
      <c r="P43" s="33"/>
      <c r="Q43" s="34">
        <f t="shared" si="9"/>
        <v>0</v>
      </c>
      <c r="R43" s="33"/>
      <c r="S43" s="33"/>
      <c r="T43" s="33"/>
      <c r="U43" s="33"/>
      <c r="V43" s="33"/>
    </row>
    <row r="44" ht="15.75" customHeight="1">
      <c r="L44" s="33">
        <v>13.0</v>
      </c>
      <c r="M44" s="33" t="s">
        <v>50</v>
      </c>
      <c r="N44" s="33">
        <v>220.0</v>
      </c>
      <c r="O44" s="17"/>
      <c r="P44" s="33"/>
      <c r="Q44" s="34"/>
      <c r="R44" s="33"/>
      <c r="S44" s="33"/>
      <c r="T44" s="33"/>
      <c r="U44" s="33"/>
      <c r="V44" s="33"/>
    </row>
    <row r="45" ht="15.75" customHeight="1">
      <c r="L45" s="33">
        <v>14.0</v>
      </c>
      <c r="M45" s="33" t="s">
        <v>50</v>
      </c>
      <c r="N45" s="33">
        <v>220.0</v>
      </c>
      <c r="O45" s="17"/>
      <c r="P45" s="33"/>
      <c r="Q45" s="34"/>
      <c r="R45" s="33"/>
      <c r="S45" s="33"/>
      <c r="T45" s="33"/>
      <c r="U45" s="33"/>
      <c r="V45" s="33"/>
    </row>
    <row r="46" ht="15.75" customHeight="1">
      <c r="L46" s="33">
        <v>15.0</v>
      </c>
      <c r="M46" s="33" t="s">
        <v>50</v>
      </c>
      <c r="N46" s="33">
        <v>220.0</v>
      </c>
      <c r="O46" s="17"/>
      <c r="P46" s="33"/>
      <c r="Q46" s="34"/>
      <c r="R46" s="33"/>
      <c r="S46" s="33"/>
      <c r="T46" s="33"/>
      <c r="U46" s="33"/>
      <c r="V46" s="33"/>
    </row>
    <row r="47" ht="15.75" customHeight="1">
      <c r="L47" s="33">
        <v>16.0</v>
      </c>
      <c r="M47" s="33" t="s">
        <v>50</v>
      </c>
      <c r="N47" s="33">
        <v>220.0</v>
      </c>
      <c r="O47" s="17"/>
      <c r="P47" s="33"/>
      <c r="Q47" s="34"/>
      <c r="R47" s="33"/>
      <c r="S47" s="33"/>
      <c r="T47" s="33"/>
      <c r="U47" s="33"/>
      <c r="V47" s="33"/>
    </row>
    <row r="48" ht="15.75" customHeight="1">
      <c r="L48" s="33">
        <v>17.0</v>
      </c>
      <c r="M48" s="33" t="s">
        <v>50</v>
      </c>
      <c r="N48" s="33">
        <v>220.0</v>
      </c>
      <c r="O48" s="17"/>
      <c r="P48" s="33"/>
      <c r="Q48" s="34"/>
      <c r="R48" s="33"/>
      <c r="S48" s="33"/>
      <c r="T48" s="33"/>
      <c r="U48" s="33"/>
      <c r="V48" s="33"/>
    </row>
    <row r="49" ht="15.75" customHeight="1">
      <c r="L49" s="33">
        <v>18.0</v>
      </c>
      <c r="M49" s="33" t="s">
        <v>50</v>
      </c>
      <c r="N49" s="33">
        <v>220.0</v>
      </c>
      <c r="O49" s="17"/>
      <c r="P49" s="33"/>
      <c r="Q49" s="34"/>
      <c r="R49" s="33"/>
      <c r="S49" s="33"/>
      <c r="T49" s="33"/>
      <c r="U49" s="33"/>
      <c r="V49" s="33"/>
    </row>
    <row r="50" ht="15.75" customHeight="1">
      <c r="L50" s="33">
        <v>19.0</v>
      </c>
      <c r="M50" s="33" t="s">
        <v>50</v>
      </c>
      <c r="N50" s="33">
        <v>220.0</v>
      </c>
      <c r="O50" s="17"/>
      <c r="P50" s="33"/>
      <c r="Q50" s="34"/>
      <c r="R50" s="33"/>
      <c r="S50" s="33"/>
      <c r="T50" s="33"/>
      <c r="U50" s="33"/>
      <c r="V50" s="33"/>
    </row>
    <row r="51" ht="15.75" customHeight="1">
      <c r="L51" s="33">
        <v>20.0</v>
      </c>
      <c r="M51" s="33" t="s">
        <v>50</v>
      </c>
      <c r="N51" s="33">
        <v>220.0</v>
      </c>
      <c r="O51" s="17"/>
      <c r="P51" s="33"/>
      <c r="Q51" s="34"/>
      <c r="R51" s="33"/>
      <c r="S51" s="33"/>
      <c r="T51" s="33"/>
      <c r="U51" s="33"/>
      <c r="V51" s="33"/>
    </row>
    <row r="52" ht="15.75" customHeight="1">
      <c r="L52" s="33">
        <v>21.0</v>
      </c>
      <c r="M52" s="33"/>
      <c r="N52" s="33">
        <v>220.0</v>
      </c>
      <c r="O52" s="17"/>
      <c r="P52" s="33"/>
      <c r="Q52" s="34"/>
      <c r="R52" s="33"/>
      <c r="S52" s="33"/>
      <c r="T52" s="33"/>
      <c r="U52" s="33"/>
      <c r="V52" s="33"/>
    </row>
    <row r="53" ht="15.75" customHeight="1">
      <c r="L53" s="33">
        <v>22.0</v>
      </c>
      <c r="M53" s="33"/>
      <c r="N53" s="33">
        <v>220.0</v>
      </c>
      <c r="O53" s="17"/>
      <c r="P53" s="33"/>
      <c r="Q53" s="33"/>
      <c r="R53" s="33"/>
      <c r="S53" s="33"/>
      <c r="T53" s="33"/>
      <c r="U53" s="33"/>
      <c r="V53" s="33"/>
    </row>
    <row r="54" ht="15.75" customHeight="1">
      <c r="L54" s="33">
        <v>23.0</v>
      </c>
      <c r="M54" s="33"/>
      <c r="N54" s="33"/>
      <c r="O54" s="17"/>
      <c r="P54" s="33"/>
      <c r="Q54" s="33"/>
      <c r="R54" s="33"/>
      <c r="S54" s="33"/>
      <c r="T54" s="33"/>
      <c r="U54" s="33"/>
      <c r="V54" s="33"/>
    </row>
    <row r="55" ht="15.75" customHeight="1"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O31:O32"/>
    <mergeCell ref="P31:P32"/>
    <mergeCell ref="Q31:Q32"/>
    <mergeCell ref="R31:R32"/>
    <mergeCell ref="S31:S32"/>
    <mergeCell ref="T31:V31"/>
    <mergeCell ref="A1:A2"/>
    <mergeCell ref="B1:C1"/>
    <mergeCell ref="D1:D2"/>
    <mergeCell ref="E1:F1"/>
    <mergeCell ref="G1:H1"/>
    <mergeCell ref="L31:M31"/>
    <mergeCell ref="N31:N3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3.75"/>
    <col customWidth="1" min="4" max="4" width="14.5"/>
    <col customWidth="1" min="5" max="5" width="9.25"/>
    <col customWidth="1" min="6" max="6" width="13.88"/>
    <col customWidth="1" min="7" max="7" width="27.25"/>
    <col customWidth="1" min="8" max="8" width="10.88"/>
    <col customWidth="1" min="9" max="10" width="7.63"/>
    <col customWidth="1" min="11" max="11" width="16.0"/>
    <col customWidth="1" min="12" max="12" width="13.38"/>
    <col customWidth="1" min="13" max="13" width="15.5"/>
    <col customWidth="1" min="14" max="14" width="12.0"/>
    <col customWidth="1" min="15" max="15" width="7.63"/>
    <col customWidth="1" min="16" max="16" width="9.63"/>
    <col customWidth="1" min="17" max="17" width="10.38"/>
    <col customWidth="1" min="18" max="18" width="10.63"/>
    <col customWidth="1" min="19" max="19" width="8.63"/>
    <col customWidth="1" min="20" max="26" width="7.63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G1" s="2" t="s">
        <v>4</v>
      </c>
      <c r="H1" s="6"/>
    </row>
    <row r="2">
      <c r="A2" s="7"/>
      <c r="B2" s="8" t="s">
        <v>5</v>
      </c>
      <c r="C2" s="9" t="s">
        <v>6</v>
      </c>
      <c r="D2" s="10"/>
      <c r="E2" s="11" t="s">
        <v>7</v>
      </c>
      <c r="F2" s="12" t="s">
        <v>8</v>
      </c>
      <c r="G2" s="13" t="s">
        <v>9</v>
      </c>
      <c r="H2" s="14" t="s">
        <v>10</v>
      </c>
    </row>
    <row r="3">
      <c r="A3" s="19" t="s">
        <v>51</v>
      </c>
      <c r="B3" s="20">
        <v>12.4581</v>
      </c>
      <c r="C3" s="21">
        <v>14.2</v>
      </c>
      <c r="D3" s="22">
        <f>IF(B3&lt;=6,100,100+ROUNDDOWN((B3-6)/4,0)*60)</f>
        <v>160</v>
      </c>
      <c r="E3" s="22">
        <f>IF(B3&lt;=6,1,ROUNDUP(C3/5,0))</f>
        <v>3</v>
      </c>
      <c r="F3" s="22">
        <f>100*E3</f>
        <v>300</v>
      </c>
      <c r="G3" s="23"/>
      <c r="H3" s="23"/>
    </row>
    <row r="4" ht="15.0" customHeight="1">
      <c r="A4" s="24" t="s">
        <v>35</v>
      </c>
      <c r="B4" s="25">
        <f>SUM(B3)</f>
        <v>12.4581</v>
      </c>
      <c r="C4" s="26" t="s">
        <v>36</v>
      </c>
      <c r="D4" s="27">
        <f t="shared" ref="D4:F4" si="1">SUM(D3)</f>
        <v>160</v>
      </c>
      <c r="E4" s="27">
        <f t="shared" si="1"/>
        <v>3</v>
      </c>
      <c r="F4" s="27">
        <f t="shared" si="1"/>
        <v>300</v>
      </c>
      <c r="G4" s="28"/>
      <c r="H4" s="29"/>
    </row>
    <row r="5" ht="15.0" customHeight="1"/>
    <row r="7" ht="20.25" customHeight="1">
      <c r="K7" s="30" t="s">
        <v>37</v>
      </c>
      <c r="L7" s="3"/>
      <c r="M7" s="4" t="s">
        <v>38</v>
      </c>
      <c r="N7" s="4" t="s">
        <v>39</v>
      </c>
      <c r="O7" s="4" t="s">
        <v>8</v>
      </c>
      <c r="P7" s="4" t="s">
        <v>40</v>
      </c>
      <c r="Q7" s="4" t="s">
        <v>41</v>
      </c>
      <c r="R7" s="4" t="s">
        <v>42</v>
      </c>
      <c r="S7" s="2" t="s">
        <v>43</v>
      </c>
      <c r="T7" s="31"/>
      <c r="U7" s="6"/>
    </row>
    <row r="8" ht="35.25" customHeight="1">
      <c r="K8" s="32" t="s">
        <v>44</v>
      </c>
      <c r="L8" s="12" t="s">
        <v>45</v>
      </c>
      <c r="M8" s="10"/>
      <c r="N8" s="10"/>
      <c r="O8" s="10"/>
      <c r="P8" s="10"/>
      <c r="Q8" s="10"/>
      <c r="R8" s="10"/>
      <c r="S8" s="12" t="s">
        <v>45</v>
      </c>
      <c r="T8" s="12" t="s">
        <v>46</v>
      </c>
      <c r="U8" s="14" t="s">
        <v>47</v>
      </c>
    </row>
    <row r="9">
      <c r="K9" s="33">
        <v>1.0</v>
      </c>
      <c r="L9" s="33" t="s">
        <v>52</v>
      </c>
      <c r="M9" s="33">
        <v>220.0</v>
      </c>
      <c r="N9" s="17" t="str">
        <f>CONCATENATE(A3)</f>
        <v>Cx. d'água</v>
      </c>
      <c r="O9" s="33">
        <f>D3</f>
        <v>160</v>
      </c>
      <c r="P9" s="34">
        <f t="shared" ref="P9:P10" si="2">O9/M9</f>
        <v>0.7272727273</v>
      </c>
      <c r="Q9" s="33"/>
      <c r="R9" s="33"/>
      <c r="S9" s="33"/>
      <c r="T9" s="33"/>
      <c r="U9" s="33"/>
    </row>
    <row r="10">
      <c r="K10" s="33">
        <v>2.0</v>
      </c>
      <c r="L10" s="33" t="s">
        <v>50</v>
      </c>
      <c r="M10" s="33">
        <v>220.0</v>
      </c>
      <c r="N10" s="17" t="str">
        <f>CONCATENATE(A3)</f>
        <v>Cx. d'água</v>
      </c>
      <c r="O10" s="33">
        <f>F3</f>
        <v>300</v>
      </c>
      <c r="P10" s="34">
        <f t="shared" si="2"/>
        <v>1.363636364</v>
      </c>
      <c r="Q10" s="33"/>
      <c r="R10" s="33"/>
      <c r="S10" s="33"/>
      <c r="T10" s="33"/>
      <c r="U10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N7:N8"/>
    <mergeCell ref="O7:O8"/>
    <mergeCell ref="P7:P8"/>
    <mergeCell ref="Q7:Q8"/>
    <mergeCell ref="R7:R8"/>
    <mergeCell ref="S7:U7"/>
    <mergeCell ref="A1:A2"/>
    <mergeCell ref="B1:C1"/>
    <mergeCell ref="D1:D2"/>
    <mergeCell ref="E1:F1"/>
    <mergeCell ref="G1:H1"/>
    <mergeCell ref="K7:L7"/>
    <mergeCell ref="M7:M8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3.75"/>
    <col customWidth="1" min="4" max="4" width="14.5"/>
    <col customWidth="1" min="5" max="5" width="9.25"/>
    <col customWidth="1" min="6" max="6" width="13.88"/>
    <col customWidth="1" min="7" max="7" width="27.25"/>
    <col customWidth="1" min="8" max="8" width="10.88"/>
    <col customWidth="1" min="9" max="10" width="7.63"/>
    <col customWidth="1" min="11" max="11" width="16.0"/>
    <col customWidth="1" min="12" max="12" width="13.38"/>
    <col customWidth="1" min="13" max="13" width="15.5"/>
    <col customWidth="1" min="14" max="14" width="12.0"/>
    <col customWidth="1" min="15" max="15" width="7.63"/>
    <col customWidth="1" min="16" max="16" width="9.63"/>
    <col customWidth="1" min="17" max="17" width="10.38"/>
    <col customWidth="1" min="18" max="18" width="10.63"/>
    <col customWidth="1" min="19" max="19" width="8.63"/>
    <col customWidth="1" min="20" max="26" width="7.63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G1" s="2" t="s">
        <v>4</v>
      </c>
      <c r="H1" s="6"/>
    </row>
    <row r="2">
      <c r="A2" s="7"/>
      <c r="B2" s="8" t="s">
        <v>5</v>
      </c>
      <c r="C2" s="9" t="s">
        <v>6</v>
      </c>
      <c r="D2" s="10"/>
      <c r="E2" s="11" t="s">
        <v>7</v>
      </c>
      <c r="F2" s="12" t="s">
        <v>8</v>
      </c>
      <c r="G2" s="13" t="s">
        <v>9</v>
      </c>
      <c r="H2" s="14" t="s">
        <v>10</v>
      </c>
    </row>
    <row r="3">
      <c r="A3" s="19" t="s">
        <v>53</v>
      </c>
      <c r="B3" s="20">
        <v>1.95</v>
      </c>
      <c r="C3" s="20">
        <v>5.6</v>
      </c>
      <c r="D3" s="17">
        <f t="shared" ref="D3:D15" si="1">IF(B3&lt;=6,100,100+ROUNDDOWN((B3-6)/4,0)*60)</f>
        <v>100</v>
      </c>
      <c r="E3" s="17">
        <f>IF(B3&lt;=6,1,ROUNDUP(C3/3.5,0))</f>
        <v>1</v>
      </c>
      <c r="F3" s="17">
        <f>IF(E3&lt;4,E3*600,1800+(E3-3)*100)</f>
        <v>600</v>
      </c>
      <c r="G3" s="18"/>
      <c r="H3" s="18"/>
    </row>
    <row r="4">
      <c r="A4" s="19" t="s">
        <v>17</v>
      </c>
      <c r="B4" s="20">
        <v>8.0625</v>
      </c>
      <c r="C4" s="20">
        <v>11.8</v>
      </c>
      <c r="D4" s="17">
        <f t="shared" si="1"/>
        <v>100</v>
      </c>
      <c r="E4" s="17">
        <f t="shared" ref="E4:E15" si="2">IF(B4&lt;=6,1,ROUNDUP(C4/5,0))</f>
        <v>3</v>
      </c>
      <c r="F4" s="17">
        <f t="shared" ref="F4:F12" si="3">E4*100</f>
        <v>300</v>
      </c>
      <c r="G4" s="18"/>
      <c r="H4" s="18"/>
    </row>
    <row r="5">
      <c r="A5" s="15" t="s">
        <v>23</v>
      </c>
      <c r="B5" s="20">
        <v>2.25</v>
      </c>
      <c r="C5" s="20">
        <v>6.0</v>
      </c>
      <c r="D5" s="17">
        <f t="shared" si="1"/>
        <v>100</v>
      </c>
      <c r="E5" s="17">
        <f t="shared" si="2"/>
        <v>1</v>
      </c>
      <c r="F5" s="17">
        <f t="shared" si="3"/>
        <v>100</v>
      </c>
      <c r="G5" s="18"/>
      <c r="H5" s="18"/>
    </row>
    <row r="6">
      <c r="A6" s="15" t="s">
        <v>24</v>
      </c>
      <c r="B6" s="20">
        <v>2.43</v>
      </c>
      <c r="C6" s="20">
        <v>6.24</v>
      </c>
      <c r="D6" s="17">
        <f t="shared" si="1"/>
        <v>100</v>
      </c>
      <c r="E6" s="17">
        <f t="shared" si="2"/>
        <v>1</v>
      </c>
      <c r="F6" s="17">
        <f t="shared" si="3"/>
        <v>100</v>
      </c>
      <c r="G6" s="18"/>
      <c r="H6" s="18"/>
    </row>
    <row r="7">
      <c r="A7" s="15" t="s">
        <v>26</v>
      </c>
      <c r="B7" s="20">
        <v>3.3585</v>
      </c>
      <c r="C7" s="20">
        <v>7.86</v>
      </c>
      <c r="D7" s="17">
        <f t="shared" si="1"/>
        <v>100</v>
      </c>
      <c r="E7" s="17">
        <f t="shared" si="2"/>
        <v>1</v>
      </c>
      <c r="F7" s="17">
        <f t="shared" si="3"/>
        <v>100</v>
      </c>
      <c r="G7" s="18"/>
      <c r="H7" s="18"/>
    </row>
    <row r="8">
      <c r="A8" s="15" t="s">
        <v>27</v>
      </c>
      <c r="B8" s="20">
        <v>12.4844</v>
      </c>
      <c r="C8" s="20">
        <v>18.42</v>
      </c>
      <c r="D8" s="17">
        <f t="shared" si="1"/>
        <v>160</v>
      </c>
      <c r="E8" s="17">
        <f t="shared" si="2"/>
        <v>4</v>
      </c>
      <c r="F8" s="17">
        <f t="shared" si="3"/>
        <v>400</v>
      </c>
      <c r="G8" s="18"/>
      <c r="H8" s="18"/>
    </row>
    <row r="9">
      <c r="A9" s="19" t="s">
        <v>54</v>
      </c>
      <c r="B9" s="20">
        <v>11.553</v>
      </c>
      <c r="C9" s="20">
        <v>14.56</v>
      </c>
      <c r="D9" s="17">
        <f t="shared" si="1"/>
        <v>160</v>
      </c>
      <c r="E9" s="17">
        <f t="shared" si="2"/>
        <v>3</v>
      </c>
      <c r="F9" s="17">
        <f t="shared" si="3"/>
        <v>300</v>
      </c>
      <c r="G9" s="18"/>
      <c r="H9" s="18"/>
    </row>
    <row r="10">
      <c r="A10" s="19" t="s">
        <v>55</v>
      </c>
      <c r="B10" s="20">
        <v>2.2605</v>
      </c>
      <c r="C10" s="20">
        <v>6.64</v>
      </c>
      <c r="D10" s="17">
        <f t="shared" si="1"/>
        <v>100</v>
      </c>
      <c r="E10" s="17">
        <f t="shared" si="2"/>
        <v>1</v>
      </c>
      <c r="F10" s="17">
        <f t="shared" si="3"/>
        <v>100</v>
      </c>
      <c r="G10" s="18"/>
      <c r="H10" s="18"/>
    </row>
    <row r="11">
      <c r="A11" s="19" t="s">
        <v>56</v>
      </c>
      <c r="B11" s="20">
        <v>66.4914</v>
      </c>
      <c r="C11" s="20">
        <v>39.0662</v>
      </c>
      <c r="D11" s="17">
        <f t="shared" si="1"/>
        <v>1000</v>
      </c>
      <c r="E11" s="17">
        <f t="shared" si="2"/>
        <v>8</v>
      </c>
      <c r="F11" s="17">
        <f t="shared" si="3"/>
        <v>800</v>
      </c>
      <c r="G11" s="18"/>
      <c r="H11" s="18"/>
    </row>
    <row r="12">
      <c r="A12" s="19" t="s">
        <v>57</v>
      </c>
      <c r="B12" s="20">
        <v>3.211</v>
      </c>
      <c r="C12" s="20">
        <v>7.54</v>
      </c>
      <c r="D12" s="17">
        <f t="shared" si="1"/>
        <v>100</v>
      </c>
      <c r="E12" s="17">
        <f t="shared" si="2"/>
        <v>1</v>
      </c>
      <c r="F12" s="17">
        <f t="shared" si="3"/>
        <v>100</v>
      </c>
      <c r="G12" s="18"/>
      <c r="H12" s="18"/>
    </row>
    <row r="13">
      <c r="A13" s="19" t="s">
        <v>34</v>
      </c>
      <c r="B13" s="20">
        <v>1.4025</v>
      </c>
      <c r="C13" s="20">
        <v>5.0</v>
      </c>
      <c r="D13" s="17">
        <f t="shared" si="1"/>
        <v>100</v>
      </c>
      <c r="E13" s="17">
        <f t="shared" si="2"/>
        <v>1</v>
      </c>
      <c r="F13" s="17">
        <f t="shared" ref="F13:F15" si="4">IF(E13&lt;4,E13*600,1800+(E13-3)*100)</f>
        <v>600</v>
      </c>
      <c r="G13" s="18"/>
      <c r="H13" s="18"/>
    </row>
    <row r="14">
      <c r="A14" s="19" t="s">
        <v>58</v>
      </c>
      <c r="B14" s="20">
        <v>4.1932</v>
      </c>
      <c r="C14" s="20">
        <v>9.1493</v>
      </c>
      <c r="D14" s="17">
        <f t="shared" si="1"/>
        <v>100</v>
      </c>
      <c r="E14" s="17">
        <f t="shared" si="2"/>
        <v>1</v>
      </c>
      <c r="F14" s="17">
        <f t="shared" si="4"/>
        <v>600</v>
      </c>
      <c r="G14" s="18"/>
      <c r="H14" s="18"/>
    </row>
    <row r="15">
      <c r="A15" s="19" t="s">
        <v>59</v>
      </c>
      <c r="B15" s="20">
        <v>4.2325</v>
      </c>
      <c r="C15" s="21">
        <v>10.2729</v>
      </c>
      <c r="D15" s="17">
        <f t="shared" si="1"/>
        <v>100</v>
      </c>
      <c r="E15" s="17">
        <f t="shared" si="2"/>
        <v>1</v>
      </c>
      <c r="F15" s="17">
        <f t="shared" si="4"/>
        <v>600</v>
      </c>
      <c r="G15" s="23"/>
      <c r="H15" s="23"/>
    </row>
    <row r="16">
      <c r="A16" s="24" t="s">
        <v>35</v>
      </c>
      <c r="B16" s="25">
        <f>SUM(B3:B15)</f>
        <v>123.8795</v>
      </c>
      <c r="C16" s="26" t="s">
        <v>36</v>
      </c>
      <c r="D16" s="27">
        <f t="shared" ref="D16:F16" si="5">SUM(D3:D15)</f>
        <v>2320</v>
      </c>
      <c r="E16" s="27">
        <f t="shared" si="5"/>
        <v>27</v>
      </c>
      <c r="F16" s="27">
        <f t="shared" si="5"/>
        <v>4700</v>
      </c>
      <c r="G16" s="28"/>
      <c r="H16" s="29"/>
    </row>
    <row r="19">
      <c r="K19" s="30" t="s">
        <v>37</v>
      </c>
      <c r="L19" s="3"/>
      <c r="M19" s="4" t="s">
        <v>38</v>
      </c>
      <c r="N19" s="4" t="s">
        <v>39</v>
      </c>
      <c r="O19" s="4" t="s">
        <v>8</v>
      </c>
      <c r="P19" s="4" t="s">
        <v>40</v>
      </c>
      <c r="Q19" s="4" t="s">
        <v>41</v>
      </c>
      <c r="R19" s="4" t="s">
        <v>42</v>
      </c>
      <c r="S19" s="2" t="s">
        <v>43</v>
      </c>
      <c r="T19" s="31"/>
      <c r="U19" s="6"/>
    </row>
    <row r="20">
      <c r="K20" s="32" t="s">
        <v>44</v>
      </c>
      <c r="L20" s="12" t="s">
        <v>45</v>
      </c>
      <c r="M20" s="10"/>
      <c r="N20" s="10"/>
      <c r="O20" s="10"/>
      <c r="P20" s="10"/>
      <c r="Q20" s="10"/>
      <c r="R20" s="10"/>
      <c r="S20" s="12" t="s">
        <v>45</v>
      </c>
      <c r="T20" s="12" t="s">
        <v>46</v>
      </c>
      <c r="U20" s="14" t="s">
        <v>47</v>
      </c>
    </row>
    <row r="21" ht="15.75" customHeight="1">
      <c r="K21" s="33">
        <v>1.0</v>
      </c>
      <c r="L21" s="33" t="s">
        <v>60</v>
      </c>
      <c r="M21" s="33">
        <v>220.0</v>
      </c>
      <c r="N21" s="17" t="str">
        <f>CONCATENATE(A3,CHAR(10),A9,CHAR(10),A12,CHAR(10),A13,CHAR(10),A6,CHAR(10),A5,CHAR(10),A7)</f>
        <v>Copa
Medição
Vestiário
WC
Elevador 2
Elevador 1
Hall 1</v>
      </c>
      <c r="O21" s="34">
        <f>SUM(D3,D9,D12,D13,D6,D5,D7)</f>
        <v>760</v>
      </c>
      <c r="P21" s="34">
        <f t="shared" ref="P21:P25" si="6">O21/M21</f>
        <v>3.454545455</v>
      </c>
      <c r="Q21" s="33"/>
      <c r="R21" s="33"/>
      <c r="S21" s="33"/>
      <c r="T21" s="33"/>
      <c r="U21" s="33"/>
    </row>
    <row r="22" ht="15.75" customHeight="1">
      <c r="K22" s="33">
        <v>2.0</v>
      </c>
      <c r="L22" s="33" t="s">
        <v>61</v>
      </c>
      <c r="M22" s="33">
        <v>220.0</v>
      </c>
      <c r="N22" s="17" t="str">
        <f>CONCATENATE(A14,CHAR(10),A15,CHAR(10),A8,CHAR(10),A11,CHAR(10),A4,CHAR(10),A10)</f>
        <v>WC Fem.
WC Masc.
Hall 2
Salão de festas
Depósito
Portaria</v>
      </c>
      <c r="O22" s="33">
        <f>SUM(D14,D15,D8,D11,D4,D10)</f>
        <v>1560</v>
      </c>
      <c r="P22" s="34">
        <f t="shared" si="6"/>
        <v>7.090909091</v>
      </c>
      <c r="Q22" s="33"/>
      <c r="R22" s="33"/>
      <c r="S22" s="33"/>
      <c r="T22" s="33"/>
      <c r="U22" s="33"/>
    </row>
    <row r="23" ht="15.75" customHeight="1">
      <c r="K23" s="33">
        <v>3.0</v>
      </c>
      <c r="L23" s="33" t="s">
        <v>50</v>
      </c>
      <c r="M23" s="33">
        <v>220.0</v>
      </c>
      <c r="N23" s="17" t="str">
        <f>CONCATENATE(A4,CHAR(10),A5,CHAR(10),A6,CHAR(10),A7,CHAR(10),A8,CHAR(10),A9,CHAR(10),A10)</f>
        <v>Depósito
Elevador 1
Elevador 2
Hall 1
Hall 2
Medição
Portaria</v>
      </c>
      <c r="O23" s="33">
        <f>SUM(F4:F10,F12:F15)</f>
        <v>3300</v>
      </c>
      <c r="P23" s="34">
        <f t="shared" si="6"/>
        <v>15</v>
      </c>
      <c r="Q23" s="33"/>
      <c r="R23" s="33"/>
      <c r="S23" s="33"/>
      <c r="T23" s="33"/>
      <c r="U23" s="33"/>
    </row>
    <row r="24" ht="15.75" customHeight="1">
      <c r="K24" s="33">
        <v>4.0</v>
      </c>
      <c r="L24" s="33" t="s">
        <v>50</v>
      </c>
      <c r="M24" s="33">
        <v>220.0</v>
      </c>
      <c r="N24" s="17" t="str">
        <f>CONCATENATE(A3)</f>
        <v>Copa</v>
      </c>
      <c r="O24" s="33">
        <f>SUM(F3)</f>
        <v>600</v>
      </c>
      <c r="P24" s="34">
        <f t="shared" si="6"/>
        <v>2.727272727</v>
      </c>
      <c r="Q24" s="33"/>
      <c r="R24" s="33"/>
      <c r="S24" s="33"/>
      <c r="T24" s="33"/>
      <c r="U24" s="33"/>
    </row>
    <row r="25" ht="15.75" customHeight="1">
      <c r="K25" s="33">
        <v>5.0</v>
      </c>
      <c r="L25" s="33" t="s">
        <v>50</v>
      </c>
      <c r="M25" s="33">
        <v>220.0</v>
      </c>
      <c r="N25" s="17" t="str">
        <f>CONCATENATE(A11)</f>
        <v>Salão de festas</v>
      </c>
      <c r="O25" s="33">
        <f>SUM(F11)</f>
        <v>800</v>
      </c>
      <c r="P25" s="34">
        <f t="shared" si="6"/>
        <v>3.636363636</v>
      </c>
      <c r="Q25" s="33"/>
      <c r="R25" s="33"/>
      <c r="S25" s="33"/>
      <c r="T25" s="33"/>
      <c r="U25" s="3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N19:N20"/>
    <mergeCell ref="O19:O20"/>
    <mergeCell ref="P19:P20"/>
    <mergeCell ref="Q19:Q20"/>
    <mergeCell ref="R19:R20"/>
    <mergeCell ref="S19:U19"/>
    <mergeCell ref="A1:A2"/>
    <mergeCell ref="B1:C1"/>
    <mergeCell ref="D1:D2"/>
    <mergeCell ref="E1:F1"/>
    <mergeCell ref="G1:H1"/>
    <mergeCell ref="K19:L19"/>
    <mergeCell ref="M19:M20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3.75"/>
    <col customWidth="1" min="4" max="4" width="14.5"/>
    <col customWidth="1" min="5" max="5" width="9.25"/>
    <col customWidth="1" min="6" max="6" width="13.88"/>
    <col customWidth="1" min="7" max="7" width="27.25"/>
    <col customWidth="1" min="8" max="8" width="10.88"/>
    <col customWidth="1" min="9" max="10" width="7.63"/>
    <col customWidth="1" min="11" max="11" width="5.63"/>
    <col customWidth="1" min="12" max="12" width="13.38"/>
    <col customWidth="1" min="13" max="13" width="15.5"/>
    <col customWidth="1" min="14" max="14" width="12.0"/>
    <col customWidth="1" min="15" max="15" width="7.63"/>
    <col customWidth="1" min="16" max="16" width="9.63"/>
    <col customWidth="1" min="17" max="17" width="10.38"/>
    <col customWidth="1" min="18" max="18" width="10.63"/>
    <col customWidth="1" min="19" max="19" width="8.63"/>
    <col customWidth="1" min="20" max="26" width="7.63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G1" s="2" t="s">
        <v>4</v>
      </c>
      <c r="H1" s="6"/>
    </row>
    <row r="2">
      <c r="A2" s="7"/>
      <c r="B2" s="8" t="s">
        <v>5</v>
      </c>
      <c r="C2" s="9" t="s">
        <v>6</v>
      </c>
      <c r="D2" s="10"/>
      <c r="E2" s="11" t="s">
        <v>7</v>
      </c>
      <c r="F2" s="12" t="s">
        <v>8</v>
      </c>
      <c r="G2" s="13" t="s">
        <v>9</v>
      </c>
      <c r="H2" s="14" t="s">
        <v>10</v>
      </c>
    </row>
    <row r="3">
      <c r="A3" s="19" t="s">
        <v>62</v>
      </c>
      <c r="B3" s="20">
        <v>11.165</v>
      </c>
      <c r="C3" s="20">
        <v>13.5</v>
      </c>
      <c r="D3" s="17">
        <f t="shared" ref="D3:D7" si="1">IF(B3&lt;=6,100,100+ROUNDDOWN((B3-6)/4,0)*60)</f>
        <v>160</v>
      </c>
      <c r="E3" s="17">
        <f>IF(B3&lt;=6,1,ROUNDUP(C3/3.5,0))</f>
        <v>4</v>
      </c>
      <c r="F3" s="17">
        <f t="shared" ref="F3:F4" si="2">IF(E3&lt;4,E3*600,1800+(E3-3)*100)</f>
        <v>1900</v>
      </c>
      <c r="G3" s="18"/>
      <c r="H3" s="18"/>
    </row>
    <row r="4">
      <c r="A4" s="19" t="s">
        <v>63</v>
      </c>
      <c r="B4" s="20">
        <v>2.475</v>
      </c>
      <c r="C4" s="20">
        <v>6.3</v>
      </c>
      <c r="D4" s="17">
        <f t="shared" si="1"/>
        <v>100</v>
      </c>
      <c r="E4" s="17">
        <f t="shared" ref="E4:E6" si="3">IF(B4&lt;=6,1,ROUNDUP(C4/5,0))</f>
        <v>1</v>
      </c>
      <c r="F4" s="17">
        <f t="shared" si="2"/>
        <v>600</v>
      </c>
      <c r="G4" s="18"/>
      <c r="H4" s="18"/>
    </row>
    <row r="5">
      <c r="A5" s="19" t="s">
        <v>16</v>
      </c>
      <c r="B5" s="20">
        <v>5.0</v>
      </c>
      <c r="C5" s="20">
        <v>9.0</v>
      </c>
      <c r="D5" s="17">
        <f t="shared" si="1"/>
        <v>100</v>
      </c>
      <c r="E5" s="17">
        <f t="shared" si="3"/>
        <v>1</v>
      </c>
      <c r="F5" s="17">
        <f t="shared" ref="F5:F6" si="4">100*E5</f>
        <v>100</v>
      </c>
      <c r="G5" s="18"/>
      <c r="H5" s="18"/>
    </row>
    <row r="6">
      <c r="A6" s="19" t="s">
        <v>64</v>
      </c>
      <c r="B6" s="20">
        <v>9.9301</v>
      </c>
      <c r="C6" s="20">
        <v>18.9099</v>
      </c>
      <c r="D6" s="17">
        <f t="shared" si="1"/>
        <v>100</v>
      </c>
      <c r="E6" s="17">
        <f t="shared" si="3"/>
        <v>4</v>
      </c>
      <c r="F6" s="17">
        <f t="shared" si="4"/>
        <v>400</v>
      </c>
      <c r="G6" s="18"/>
      <c r="H6" s="18"/>
    </row>
    <row r="7">
      <c r="A7" s="19" t="s">
        <v>30</v>
      </c>
      <c r="B7" s="20">
        <v>13.5315</v>
      </c>
      <c r="C7" s="21">
        <v>18.37</v>
      </c>
      <c r="D7" s="17">
        <f t="shared" si="1"/>
        <v>160</v>
      </c>
      <c r="E7" s="22">
        <f>IF(B7&lt;=6,1,ROUNDUP(C7/3.5,0))</f>
        <v>6</v>
      </c>
      <c r="F7" s="22">
        <f>IF(E7&lt;4,E7*600,1800+(E7-3)*100)</f>
        <v>2100</v>
      </c>
      <c r="G7" s="23"/>
      <c r="H7" s="23"/>
    </row>
    <row r="8">
      <c r="A8" s="24" t="s">
        <v>35</v>
      </c>
      <c r="B8" s="25">
        <f>SUM(B3:B7)</f>
        <v>42.1016</v>
      </c>
      <c r="C8" s="26" t="s">
        <v>36</v>
      </c>
      <c r="D8" s="27">
        <f t="shared" ref="D8:F8" si="5">SUM(D3:D7)</f>
        <v>620</v>
      </c>
      <c r="E8" s="27">
        <f t="shared" si="5"/>
        <v>16</v>
      </c>
      <c r="F8" s="27">
        <f t="shared" si="5"/>
        <v>5100</v>
      </c>
      <c r="G8" s="28"/>
      <c r="H8" s="29"/>
    </row>
    <row r="11">
      <c r="K11" s="30" t="s">
        <v>37</v>
      </c>
      <c r="L11" s="3"/>
      <c r="M11" s="4" t="s">
        <v>38</v>
      </c>
      <c r="N11" s="4" t="s">
        <v>39</v>
      </c>
      <c r="O11" s="4" t="s">
        <v>8</v>
      </c>
      <c r="P11" s="4" t="s">
        <v>40</v>
      </c>
      <c r="Q11" s="4" t="s">
        <v>41</v>
      </c>
      <c r="R11" s="4" t="s">
        <v>42</v>
      </c>
      <c r="S11" s="2" t="s">
        <v>43</v>
      </c>
      <c r="T11" s="31"/>
      <c r="U11" s="6"/>
    </row>
    <row r="12">
      <c r="K12" s="32" t="s">
        <v>44</v>
      </c>
      <c r="L12" s="12" t="s">
        <v>45</v>
      </c>
      <c r="M12" s="10"/>
      <c r="N12" s="10"/>
      <c r="O12" s="10"/>
      <c r="P12" s="10"/>
      <c r="Q12" s="10"/>
      <c r="R12" s="10"/>
      <c r="S12" s="12" t="s">
        <v>45</v>
      </c>
      <c r="T12" s="12" t="s">
        <v>46</v>
      </c>
      <c r="U12" s="14" t="s">
        <v>47</v>
      </c>
    </row>
    <row r="13">
      <c r="K13" s="33">
        <v>1.0</v>
      </c>
      <c r="L13" s="33" t="s">
        <v>52</v>
      </c>
      <c r="M13" s="33">
        <v>220.0</v>
      </c>
      <c r="N13" s="17" t="str">
        <f>CONCATENATE(A3,CHAR(10),A4,CHAR(10),A6,CHAR(10),A7)</f>
        <v>Bombas
BWC
Hall
Serviço</v>
      </c>
      <c r="O13" s="33">
        <f>SUM(D3:D7)</f>
        <v>620</v>
      </c>
      <c r="P13" s="34">
        <f t="shared" ref="P13:P16" si="6">O13/M13</f>
        <v>2.818181818</v>
      </c>
      <c r="Q13" s="33"/>
      <c r="R13" s="33"/>
      <c r="S13" s="33"/>
      <c r="T13" s="33"/>
      <c r="U13" s="33"/>
    </row>
    <row r="14">
      <c r="K14" s="33">
        <v>2.0</v>
      </c>
      <c r="L14" s="33" t="s">
        <v>50</v>
      </c>
      <c r="M14" s="33">
        <v>220.0</v>
      </c>
      <c r="N14" s="17" t="str">
        <f>CONCATENATE(A3)</f>
        <v>Bombas</v>
      </c>
      <c r="O14" s="33">
        <f>SUM(F3)</f>
        <v>1900</v>
      </c>
      <c r="P14" s="34">
        <f t="shared" si="6"/>
        <v>8.636363636</v>
      </c>
      <c r="Q14" s="33"/>
      <c r="R14" s="33"/>
      <c r="S14" s="33"/>
      <c r="T14" s="33"/>
      <c r="U14" s="33"/>
    </row>
    <row r="15">
      <c r="K15" s="33">
        <v>3.0</v>
      </c>
      <c r="L15" s="33" t="s">
        <v>50</v>
      </c>
      <c r="M15" s="33">
        <v>220.0</v>
      </c>
      <c r="N15" s="17" t="str">
        <f>CONCATENATE(A7)</f>
        <v>Serviço</v>
      </c>
      <c r="O15" s="33">
        <f>SUM(F7)</f>
        <v>2100</v>
      </c>
      <c r="P15" s="34">
        <f t="shared" si="6"/>
        <v>9.545454545</v>
      </c>
      <c r="Q15" s="33"/>
      <c r="R15" s="33"/>
      <c r="S15" s="33"/>
      <c r="T15" s="33"/>
      <c r="U15" s="33"/>
    </row>
    <row r="16">
      <c r="K16" s="33">
        <v>4.0</v>
      </c>
      <c r="L16" s="33" t="s">
        <v>50</v>
      </c>
      <c r="M16" s="33">
        <v>220.0</v>
      </c>
      <c r="N16" s="17" t="str">
        <f>CONCATENATE(A4,CHAR(10),A5,CHAR(10),A6)</f>
        <v>BWC
Dependência
Hall</v>
      </c>
      <c r="O16" s="33">
        <f>SUM(F4:F6)</f>
        <v>1100</v>
      </c>
      <c r="P16" s="34">
        <f t="shared" si="6"/>
        <v>5</v>
      </c>
      <c r="Q16" s="33"/>
      <c r="R16" s="33"/>
      <c r="S16" s="33"/>
      <c r="T16" s="33"/>
      <c r="U16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N11:N12"/>
    <mergeCell ref="O11:O12"/>
    <mergeCell ref="P11:P12"/>
    <mergeCell ref="Q11:Q12"/>
    <mergeCell ref="R11:R12"/>
    <mergeCell ref="S11:U11"/>
    <mergeCell ref="A1:A2"/>
    <mergeCell ref="B1:C1"/>
    <mergeCell ref="D1:D2"/>
    <mergeCell ref="E1:F1"/>
    <mergeCell ref="G1:H1"/>
    <mergeCell ref="K11:L11"/>
    <mergeCell ref="M11:M12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3.75"/>
    <col customWidth="1" min="4" max="4" width="14.5"/>
    <col customWidth="1" min="5" max="5" width="9.25"/>
    <col customWidth="1" min="6" max="6" width="13.88"/>
    <col customWidth="1" min="7" max="7" width="27.25"/>
    <col customWidth="1" min="8" max="8" width="10.88"/>
    <col customWidth="1" min="9" max="10" width="7.63"/>
    <col customWidth="1" min="11" max="11" width="16.0"/>
    <col customWidth="1" min="12" max="12" width="13.38"/>
    <col customWidth="1" min="13" max="13" width="15.5"/>
    <col customWidth="1" min="14" max="14" width="12.0"/>
    <col customWidth="1" min="15" max="15" width="7.63"/>
    <col customWidth="1" min="16" max="16" width="9.63"/>
    <col customWidth="1" min="17" max="17" width="10.38"/>
    <col customWidth="1" min="18" max="18" width="10.63"/>
    <col customWidth="1" min="19" max="19" width="8.63"/>
    <col customWidth="1" min="20" max="26" width="7.63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2" t="s">
        <v>3</v>
      </c>
      <c r="F1" s="5"/>
      <c r="G1" s="2" t="s">
        <v>4</v>
      </c>
      <c r="H1" s="6"/>
    </row>
    <row r="2">
      <c r="A2" s="7"/>
      <c r="B2" s="8" t="s">
        <v>5</v>
      </c>
      <c r="C2" s="9" t="s">
        <v>6</v>
      </c>
      <c r="D2" s="10"/>
      <c r="E2" s="11" t="s">
        <v>7</v>
      </c>
      <c r="F2" s="12" t="s">
        <v>8</v>
      </c>
      <c r="G2" s="13" t="s">
        <v>9</v>
      </c>
      <c r="H2" s="14" t="s">
        <v>10</v>
      </c>
    </row>
    <row r="3">
      <c r="A3" s="15" t="s">
        <v>23</v>
      </c>
      <c r="B3" s="20">
        <v>2.43</v>
      </c>
      <c r="C3" s="20">
        <v>6.24</v>
      </c>
      <c r="D3" s="17">
        <f t="shared" ref="D3:D8" si="1">IF(B3&lt;=6,100,100+ROUNDDOWN((B3-6)/4,0)*60)</f>
        <v>100</v>
      </c>
      <c r="E3" s="17">
        <f t="shared" ref="E3:E8" si="2">IF(B3&lt;=6,1,ROUNDUP(C3/5,0))</f>
        <v>1</v>
      </c>
      <c r="F3" s="17">
        <f t="shared" ref="F3:F8" si="3">100*E3</f>
        <v>100</v>
      </c>
      <c r="G3" s="18"/>
      <c r="H3" s="18"/>
    </row>
    <row r="4">
      <c r="A4" s="15" t="s">
        <v>24</v>
      </c>
      <c r="B4" s="20">
        <v>2.25</v>
      </c>
      <c r="C4" s="20">
        <v>6.0</v>
      </c>
      <c r="D4" s="17">
        <f t="shared" si="1"/>
        <v>100</v>
      </c>
      <c r="E4" s="17">
        <f t="shared" si="2"/>
        <v>1</v>
      </c>
      <c r="F4" s="17">
        <f t="shared" si="3"/>
        <v>100</v>
      </c>
      <c r="G4" s="18"/>
      <c r="H4" s="18"/>
    </row>
    <row r="5">
      <c r="A5" s="19" t="s">
        <v>65</v>
      </c>
      <c r="B5" s="20">
        <v>10.554</v>
      </c>
      <c r="C5" s="20">
        <v>14.16</v>
      </c>
      <c r="D5" s="17">
        <f t="shared" si="1"/>
        <v>160</v>
      </c>
      <c r="E5" s="17">
        <f t="shared" si="2"/>
        <v>3</v>
      </c>
      <c r="F5" s="17">
        <f t="shared" si="3"/>
        <v>300</v>
      </c>
      <c r="G5" s="18"/>
      <c r="H5" s="18"/>
    </row>
    <row r="6">
      <c r="A6" s="19" t="s">
        <v>66</v>
      </c>
      <c r="B6" s="20">
        <f>626.6259-SUM(B3:B5,B7:B8)</f>
        <v>597.7634</v>
      </c>
      <c r="C6" s="20">
        <v>108.225</v>
      </c>
      <c r="D6" s="17">
        <f t="shared" si="1"/>
        <v>8920</v>
      </c>
      <c r="E6" s="17">
        <f t="shared" si="2"/>
        <v>22</v>
      </c>
      <c r="F6" s="17">
        <f t="shared" si="3"/>
        <v>2200</v>
      </c>
      <c r="G6" s="18"/>
      <c r="H6" s="18"/>
    </row>
    <row r="7">
      <c r="A7" s="19" t="s">
        <v>64</v>
      </c>
      <c r="B7" s="20">
        <v>3.3585</v>
      </c>
      <c r="C7" s="20">
        <v>7.86</v>
      </c>
      <c r="D7" s="17">
        <f t="shared" si="1"/>
        <v>100</v>
      </c>
      <c r="E7" s="17">
        <f t="shared" si="2"/>
        <v>1</v>
      </c>
      <c r="F7" s="17">
        <f t="shared" si="3"/>
        <v>100</v>
      </c>
      <c r="G7" s="18"/>
      <c r="H7" s="18"/>
    </row>
    <row r="8">
      <c r="A8" s="19" t="s">
        <v>67</v>
      </c>
      <c r="B8" s="20">
        <v>10.27</v>
      </c>
      <c r="C8" s="21">
        <v>13.1</v>
      </c>
      <c r="D8" s="17">
        <f t="shared" si="1"/>
        <v>160</v>
      </c>
      <c r="E8" s="17">
        <f t="shared" si="2"/>
        <v>3</v>
      </c>
      <c r="F8" s="22">
        <f t="shared" si="3"/>
        <v>300</v>
      </c>
      <c r="G8" s="23"/>
      <c r="H8" s="23"/>
    </row>
    <row r="9">
      <c r="A9" s="24" t="s">
        <v>35</v>
      </c>
      <c r="B9" s="25">
        <f>SUM(B3:B8)</f>
        <v>626.6259</v>
      </c>
      <c r="C9" s="26" t="s">
        <v>36</v>
      </c>
      <c r="D9" s="27">
        <f t="shared" ref="D9:F9" si="4">SUM(D3:D8)</f>
        <v>9540</v>
      </c>
      <c r="E9" s="27">
        <f t="shared" si="4"/>
        <v>31</v>
      </c>
      <c r="F9" s="27">
        <f t="shared" si="4"/>
        <v>3100</v>
      </c>
      <c r="G9" s="28"/>
      <c r="H9" s="29"/>
    </row>
    <row r="12">
      <c r="K12" s="30" t="s">
        <v>37</v>
      </c>
      <c r="L12" s="3"/>
      <c r="M12" s="4" t="s">
        <v>38</v>
      </c>
      <c r="N12" s="4" t="s">
        <v>39</v>
      </c>
      <c r="O12" s="4" t="s">
        <v>8</v>
      </c>
      <c r="P12" s="4" t="s">
        <v>40</v>
      </c>
      <c r="Q12" s="4" t="s">
        <v>41</v>
      </c>
      <c r="R12" s="4" t="s">
        <v>42</v>
      </c>
      <c r="S12" s="2" t="s">
        <v>43</v>
      </c>
      <c r="T12" s="31"/>
      <c r="U12" s="6"/>
    </row>
    <row r="13">
      <c r="K13" s="32" t="s">
        <v>44</v>
      </c>
      <c r="L13" s="12" t="s">
        <v>45</v>
      </c>
      <c r="M13" s="10"/>
      <c r="N13" s="10"/>
      <c r="O13" s="10"/>
      <c r="P13" s="10"/>
      <c r="Q13" s="10"/>
      <c r="R13" s="10"/>
      <c r="S13" s="12" t="s">
        <v>45</v>
      </c>
      <c r="T13" s="12" t="s">
        <v>46</v>
      </c>
      <c r="U13" s="14" t="s">
        <v>47</v>
      </c>
    </row>
    <row r="14">
      <c r="K14" s="33">
        <v>1.0</v>
      </c>
      <c r="L14" s="33" t="s">
        <v>48</v>
      </c>
      <c r="M14" s="33">
        <v>220.0</v>
      </c>
      <c r="N14" s="17" t="str">
        <f>CONCATENATE(A3,CHAR(10),A4,CHAR(10),A5,CHAR(10),A7,CHAR(10),A8)</f>
        <v>Elevador 1
Elevador 2
Escada
Hall
Sala</v>
      </c>
      <c r="O14" s="33">
        <f>SUM(D3:D5,D7:D8)</f>
        <v>620</v>
      </c>
      <c r="P14" s="34">
        <f t="shared" ref="P14:P16" si="5">O14/M14</f>
        <v>2.818181818</v>
      </c>
      <c r="Q14" s="33"/>
      <c r="R14" s="33"/>
      <c r="S14" s="33"/>
      <c r="T14" s="33"/>
      <c r="U14" s="33"/>
    </row>
    <row r="15" ht="19.5" customHeight="1">
      <c r="K15" s="33">
        <v>1.0</v>
      </c>
      <c r="L15" s="33" t="s">
        <v>68</v>
      </c>
      <c r="M15" s="33">
        <v>220.0</v>
      </c>
      <c r="N15" s="17" t="str">
        <f>CONCATENATE(A6)</f>
        <v>Garagem</v>
      </c>
      <c r="O15" s="33">
        <f>SUM(D6)</f>
        <v>8920</v>
      </c>
      <c r="P15" s="34">
        <f t="shared" si="5"/>
        <v>40.54545455</v>
      </c>
      <c r="Q15" s="33"/>
      <c r="R15" s="33"/>
      <c r="S15" s="33"/>
      <c r="T15" s="33"/>
      <c r="U15" s="33"/>
    </row>
    <row r="16">
      <c r="K16" s="33">
        <v>1.0</v>
      </c>
      <c r="L16" s="33" t="s">
        <v>50</v>
      </c>
      <c r="M16" s="33">
        <v>220.0</v>
      </c>
      <c r="N16" s="17" t="str">
        <f>CONCATENATE(A3,CHAR(10),A4,CHAR(10),A5,CHAR(10),A6,CHAR(10),A7,CHAR(10),A8)</f>
        <v>Elevador 1
Elevador 2
Escada
Garagem
Hall
Sala</v>
      </c>
      <c r="O16" s="33">
        <f>SUM(F3:F8)</f>
        <v>3100</v>
      </c>
      <c r="P16" s="34">
        <f t="shared" si="5"/>
        <v>14.09090909</v>
      </c>
      <c r="Q16" s="33"/>
      <c r="R16" s="33"/>
      <c r="S16" s="33"/>
      <c r="T16" s="33"/>
      <c r="U16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N12:N13"/>
    <mergeCell ref="O12:O13"/>
    <mergeCell ref="P12:P13"/>
    <mergeCell ref="Q12:Q13"/>
    <mergeCell ref="R12:R13"/>
    <mergeCell ref="S12:U12"/>
    <mergeCell ref="A1:A2"/>
    <mergeCell ref="B1:C1"/>
    <mergeCell ref="D1:D2"/>
    <mergeCell ref="E1:F1"/>
    <mergeCell ref="G1:H1"/>
    <mergeCell ref="K12:L12"/>
    <mergeCell ref="M12:M1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2020-03-26T17:12:55Z</dcterms:created>
  <dc:creator>Levy Gabriel</dc:creator>
</cp:coreProperties>
</file>