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quema vertical" sheetId="1" r:id="rId4"/>
    <sheet state="visible" name="Pavto.tipo" sheetId="2" r:id="rId5"/>
    <sheet state="visible" name="Pavto.térreo" sheetId="3" r:id="rId6"/>
    <sheet state="visible" name="Condomínio" sheetId="4" r:id="rId7"/>
    <sheet state="visible" name="Casa de máquinas e zelador" sheetId="5" r:id="rId8"/>
    <sheet state="visible" name="Coberta" sheetId="6" r:id="rId9"/>
    <sheet state="visible" name="Subsolo" sheetId="7" r:id="rId10"/>
  </sheets>
  <definedNames/>
  <calcPr/>
  <extLst>
    <ext uri="GoogleSheetsCustomDataVersion1">
      <go:sheetsCustomData xmlns:go="http://customooxmlschemas.google.com/" r:id="rId11" roundtripDataSignature="AMtx7mjJOrXcOG5USrzV9U2N1ewAk41yow=="/>
    </ext>
  </extLst>
</workbook>
</file>

<file path=xl/sharedStrings.xml><?xml version="1.0" encoding="utf-8"?>
<sst xmlns="http://schemas.openxmlformats.org/spreadsheetml/2006/main" count="584" uniqueCount="142">
  <si>
    <t>Quadros</t>
  </si>
  <si>
    <t>Potências (W)</t>
  </si>
  <si>
    <t>Distâncias (m)</t>
  </si>
  <si>
    <t>Nº do circuito</t>
  </si>
  <si>
    <t>Diâmetro dos fios (mm²)</t>
  </si>
  <si>
    <t>Nº</t>
  </si>
  <si>
    <t>Descrição</t>
  </si>
  <si>
    <t xml:space="preserve">#1.5 (1.5) </t>
  </si>
  <si>
    <t>Apto. 1</t>
  </si>
  <si>
    <t>#1.5 (1.5)</t>
  </si>
  <si>
    <t>Apto. 2</t>
  </si>
  <si>
    <t>#2.5 (2.5) T2.5</t>
  </si>
  <si>
    <t>#6 (6) T6</t>
  </si>
  <si>
    <t>Dependências</t>
  </si>
  <si>
    <t>Dimensões</t>
  </si>
  <si>
    <t>Potência de iluminação (VA)</t>
  </si>
  <si>
    <t>Tomadas de uso geral (TUGs)</t>
  </si>
  <si>
    <t>Tomadas de uso específico (TUEs)</t>
  </si>
  <si>
    <t>Área (m²)</t>
  </si>
  <si>
    <t>Perímetro (m)</t>
  </si>
  <si>
    <t>Quant.</t>
  </si>
  <si>
    <t>Potência (VA)</t>
  </si>
  <si>
    <t>Discriminação</t>
  </si>
  <si>
    <t>Potência (W)</t>
  </si>
  <si>
    <t>FP (ind)</t>
  </si>
  <si>
    <t>BWC 1</t>
  </si>
  <si>
    <t>1 x chuveiro elétrico</t>
  </si>
  <si>
    <t>BWC 2</t>
  </si>
  <si>
    <t>BWC 3</t>
  </si>
  <si>
    <t>BWC 4</t>
  </si>
  <si>
    <t>Cozinha</t>
  </si>
  <si>
    <t>Dependência</t>
  </si>
  <si>
    <t>-</t>
  </si>
  <si>
    <t>Depósito</t>
  </si>
  <si>
    <t>Despensa</t>
  </si>
  <si>
    <t>Dormitório 1</t>
  </si>
  <si>
    <t>1 x ar-condicionado (9 mil BTU/h)</t>
  </si>
  <si>
    <t>Dormitório 2</t>
  </si>
  <si>
    <t>Dormitório 3</t>
  </si>
  <si>
    <t>Dormitório 4</t>
  </si>
  <si>
    <t>Estar</t>
  </si>
  <si>
    <t>1 x ar-condicionado (12 mil BTU/h)</t>
  </si>
  <si>
    <t>Hall 1</t>
  </si>
  <si>
    <t>Hall 2</t>
  </si>
  <si>
    <t>Jantar</t>
  </si>
  <si>
    <t>Serviço</t>
  </si>
  <si>
    <t>Terraço</t>
  </si>
  <si>
    <t>Vestir 1</t>
  </si>
  <si>
    <t>Vestir 2</t>
  </si>
  <si>
    <t>WC</t>
  </si>
  <si>
    <t>TOTAL</t>
  </si>
  <si>
    <t>Circuito</t>
  </si>
  <si>
    <t>Tensão (V)</t>
  </si>
  <si>
    <t>Local</t>
  </si>
  <si>
    <t>Corrente (A)</t>
  </si>
  <si>
    <t>Corrente corrigida (A)</t>
  </si>
  <si>
    <t>Corrente máxima suportada (A)</t>
  </si>
  <si>
    <t>Nº de circuitos agrupados</t>
  </si>
  <si>
    <t>Seção dos condutores (mm²)</t>
  </si>
  <si>
    <t>Balanceamento das fases</t>
  </si>
  <si>
    <t>Proteção</t>
  </si>
  <si>
    <t>Tipo</t>
  </si>
  <si>
    <t>L1</t>
  </si>
  <si>
    <t>L2</t>
  </si>
  <si>
    <t>L3</t>
  </si>
  <si>
    <t>Nº de polos</t>
  </si>
  <si>
    <t>Corrente nominal</t>
  </si>
  <si>
    <t xml:space="preserve">Ilum. Social </t>
  </si>
  <si>
    <t>X</t>
  </si>
  <si>
    <t>Método de instalação 7
Método de referência a utilizar para a capacidade de condução de corrente B1
B1 3 condutores carregados (cobre)
Correções no dimensionamneto dos cabos:
- correção de temperatura = 
- agrupamento de condutores =
- agrupamento de eletrodutos = 1</t>
  </si>
  <si>
    <t>Ilum. de Serviço</t>
  </si>
  <si>
    <t>PTUG's</t>
  </si>
  <si>
    <t>PTUE's</t>
  </si>
  <si>
    <t>Chuveiro 1</t>
  </si>
  <si>
    <t>Chuveiro 2</t>
  </si>
  <si>
    <t>Chuveiro 3</t>
  </si>
  <si>
    <t>Chuveiro 4</t>
  </si>
  <si>
    <t>AC 1</t>
  </si>
  <si>
    <t>AC 2</t>
  </si>
  <si>
    <t>AC 3</t>
  </si>
  <si>
    <t>AC 4</t>
  </si>
  <si>
    <t>AC Jantar</t>
  </si>
  <si>
    <t>AC Estar</t>
  </si>
  <si>
    <t>Microondas</t>
  </si>
  <si>
    <t>Lavadora de louça</t>
  </si>
  <si>
    <t>Air fryer</t>
  </si>
  <si>
    <t>Fogão</t>
  </si>
  <si>
    <t>Distribuição</t>
  </si>
  <si>
    <t>Grandeza</t>
  </si>
  <si>
    <t>PTUG + iluminação</t>
  </si>
  <si>
    <t>PTUE</t>
  </si>
  <si>
    <t>Fator de demanda</t>
  </si>
  <si>
    <t>Potência ativa (W)</t>
  </si>
  <si>
    <t>Potência ativa corrigida (W)</t>
  </si>
  <si>
    <t>Potência aparente (VA)</t>
  </si>
  <si>
    <t>Copa</t>
  </si>
  <si>
    <t>1 x forno de microondas</t>
  </si>
  <si>
    <t>Hall de saída</t>
  </si>
  <si>
    <t>Hall da portaria</t>
  </si>
  <si>
    <t>Medição</t>
  </si>
  <si>
    <t>Portaria</t>
  </si>
  <si>
    <t>Salão de festas</t>
  </si>
  <si>
    <t>5 x ar-condicionado (12 mil BTU/h)</t>
  </si>
  <si>
    <t>Vestiário</t>
  </si>
  <si>
    <t>WC Fem.</t>
  </si>
  <si>
    <t>WC Masc.</t>
  </si>
  <si>
    <t>Ilum. 1</t>
  </si>
  <si>
    <t>Ilum. 2</t>
  </si>
  <si>
    <t>AC 5</t>
  </si>
  <si>
    <t>5 x ar-condicionado (9 mil BTU/h)</t>
  </si>
  <si>
    <t>* uma tomada dupla</t>
  </si>
  <si>
    <t>Bombas</t>
  </si>
  <si>
    <t>2 x Bomba Centrifuga (5cv)</t>
  </si>
  <si>
    <t>BWC</t>
  </si>
  <si>
    <t>Cx. d'água</t>
  </si>
  <si>
    <t>Garagem</t>
  </si>
  <si>
    <t>Hall</t>
  </si>
  <si>
    <t>Sala</t>
  </si>
  <si>
    <t>Elevadores</t>
  </si>
  <si>
    <t>Copa
Medição
Vestiário
WC
Hall 1
Hall 2
Portaria</t>
  </si>
  <si>
    <t>10
25</t>
  </si>
  <si>
    <t>WC Fem.
WC Masc.
Salão de festas
Depósito</t>
  </si>
  <si>
    <t>Depósito
Hall 1
Hall 2
Medição
Portaria
Salão de festas</t>
  </si>
  <si>
    <t>15
25</t>
  </si>
  <si>
    <t>Iluminação</t>
  </si>
  <si>
    <t>Bombas
BWC
Dependência
Serviço</t>
  </si>
  <si>
    <t>Bombas
BWC
Dependência</t>
  </si>
  <si>
    <t>Chuveiro</t>
  </si>
  <si>
    <t>30
40</t>
  </si>
  <si>
    <t>Bomba 1</t>
  </si>
  <si>
    <t>#4 (4) T4</t>
  </si>
  <si>
    <t>25
25</t>
  </si>
  <si>
    <t>Bomba 2</t>
  </si>
  <si>
    <t>Hall
Sala</t>
  </si>
  <si>
    <t>Ilum. Garagem 1</t>
  </si>
  <si>
    <t>Ilum. Garagem 2</t>
  </si>
  <si>
    <t>Ilum. Garagem 3</t>
  </si>
  <si>
    <t>Ilum. Garagem 4</t>
  </si>
  <si>
    <t>Ilum. Garagem 5</t>
  </si>
  <si>
    <t>Garagem
Hall
Sala</t>
  </si>
  <si>
    <t>2 x bomba centrifuga (5 cv)</t>
  </si>
  <si>
    <t>*o certo seria 15, mas suporta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</si>
</sst>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theme="1"/>
      <name val="Arial"/>
    </font>
    <font>
      <sz val="11.0"/>
      <color theme="1"/>
      <name val="Calibri"/>
    </font>
    <font/>
    <font>
      <sz val="11.0"/>
      <color rgb="FF1155CC"/>
      <name val="Inconsolata"/>
    </font>
    <font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80000"/>
        <bgColor rgb="FF980000"/>
      </patternFill>
    </fill>
  </fills>
  <borders count="38">
    <border/>
    <border>
      <left style="thin">
        <color theme="0"/>
      </left>
      <right style="thin">
        <color theme="0"/>
      </right>
      <top style="thin">
        <color theme="0"/>
      </top>
    </border>
    <border>
      <left style="thin">
        <color rgb="FF8EAADB"/>
      </left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right style="thin">
        <color theme="0"/>
      </right>
      <bottom/>
    </border>
    <border>
      <left style="thin">
        <color rgb="FF8EAADB"/>
      </left>
      <right style="thin">
        <color theme="0"/>
      </right>
      <top style="thin">
        <color rgb="FF8EAADB"/>
      </top>
    </border>
    <border>
      <left style="thin">
        <color theme="0"/>
      </left>
      <top style="thin">
        <color rgb="FF8EAADB"/>
      </top>
      <bottom style="thin">
        <color theme="0"/>
      </bottom>
    </border>
    <border>
      <right style="thin">
        <color theme="0"/>
      </right>
      <top style="thin">
        <color rgb="FF8EAADB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rgb="FF8EAADB"/>
      </top>
    </border>
    <border>
      <top style="thin">
        <color rgb="FF8EAADB"/>
      </top>
      <bottom style="thin">
        <color theme="0"/>
      </bottom>
    </border>
    <border>
      <left style="thin">
        <color rgb="FF8EAADB"/>
      </left>
      <right style="thin">
        <color theme="0"/>
      </right>
      <bottom style="thin">
        <color theme="0"/>
      </bottom>
    </border>
    <border>
      <left style="thin">
        <color theme="0"/>
      </left>
      <right/>
      <top style="thin">
        <color theme="0"/>
      </top>
      <bottom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8EAADB"/>
      </bottom>
    </border>
    <border>
      <left style="thin">
        <color theme="0"/>
      </left>
      <right style="thin">
        <color theme="0"/>
      </right>
      <bottom style="thin">
        <color rgb="FF8EAADB"/>
      </bottom>
    </border>
    <border>
      <left style="thin">
        <color theme="0"/>
      </left>
      <right style="thin">
        <color theme="0"/>
      </right>
      <top/>
      <bottom/>
    </border>
    <border>
      <left style="thin">
        <color rgb="FF8EAADB"/>
      </left>
      <right/>
      <top style="thin">
        <color theme="0"/>
      </top>
      <bottom style="thin">
        <color theme="0"/>
      </bottom>
    </border>
    <border>
      <left style="thin">
        <color rgb="FF8EAADB"/>
      </left>
      <right style="thin">
        <color rgb="FF8EAADB"/>
      </right>
      <top style="thin">
        <color rgb="FF8EAADB"/>
      </top>
    </border>
    <border>
      <left style="thin">
        <color rgb="FF8EAADB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rgb="FF8EAADB"/>
      </left>
      <top style="thin">
        <color rgb="FF8EAADB"/>
      </top>
      <bottom style="thin">
        <color theme="0"/>
      </bottom>
    </border>
    <border>
      <left style="thin">
        <color theme="0"/>
      </left>
      <top style="thin">
        <color rgb="FF8EAADB"/>
      </top>
    </border>
    <border>
      <top style="thin">
        <color rgb="FF8EAADB"/>
      </top>
    </border>
    <border>
      <right style="thin">
        <color rgb="FF4472C4"/>
      </right>
      <top style="thin">
        <color rgb="FF8EAADB"/>
      </top>
    </border>
    <border>
      <right style="thin">
        <color rgb="FF8EAADB"/>
      </right>
      <top style="thin">
        <color rgb="FF8EAADB"/>
      </top>
      <bottom style="thin">
        <color theme="0"/>
      </bottom>
    </border>
    <border>
      <left style="thin">
        <color rgb="FF8EAADB"/>
      </left>
      <right style="thin">
        <color theme="0"/>
      </right>
      <top style="thin">
        <color theme="0"/>
      </top>
      <bottom style="thin">
        <color rgb="FF8EAADB"/>
      </bottom>
    </border>
    <border>
      <left style="thin">
        <color theme="0"/>
      </left>
      <bottom style="thin">
        <color rgb="FF8EAADB"/>
      </bottom>
    </border>
    <border>
      <left style="thin">
        <color rgb="FF4472C4"/>
      </left>
      <right style="thin">
        <color rgb="FF4472C4"/>
      </right>
      <top style="thin">
        <color rgb="FF4472C4"/>
      </top>
    </border>
    <border>
      <right style="thin">
        <color theme="0"/>
      </right>
      <top style="thin">
        <color theme="0"/>
      </top>
      <bottom/>
    </border>
    <border>
      <left style="thin">
        <color theme="0"/>
      </left>
      <right style="thin">
        <color rgb="FF8EAADB"/>
      </right>
      <top style="thin">
        <color theme="0"/>
      </top>
      <bottom style="thin">
        <color rgb="FF8EAADB"/>
      </bottom>
    </border>
    <border>
      <left style="thin">
        <color rgb="FF8EAADB"/>
      </left>
      <right style="thin">
        <color rgb="FF8EAADB"/>
      </right>
      <bottom style="thin">
        <color rgb="FF8EAADB"/>
      </bottom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B4C6E7"/>
      </left>
      <right style="thin">
        <color rgb="FFB4C6E7"/>
      </right>
      <top style="thin">
        <color rgb="FFB4C6E7"/>
      </top>
      <bottom style="thin">
        <color rgb="FFB4C6E7"/>
      </bottom>
    </border>
    <border>
      <left/>
      <right/>
      <top/>
      <bottom/>
    </border>
    <border>
      <left/>
      <right style="thin">
        <color theme="0"/>
      </right>
      <top/>
      <bottom style="thin">
        <color theme="0"/>
      </bottom>
    </border>
    <border>
      <left style="thin">
        <color theme="0"/>
      </left>
      <right style="thin">
        <color rgb="FF8EAADB"/>
      </right>
      <top style="thin">
        <color theme="0"/>
      </top>
      <bottom style="thin">
        <color theme="0"/>
      </bottom>
    </border>
    <border>
      <left style="thin">
        <color rgb="FF000000"/>
      </left>
      <right style="thin">
        <color theme="0"/>
      </right>
      <top style="thin">
        <color rgb="FF000000"/>
      </top>
    </border>
    <border>
      <left style="thin">
        <color rgb="FF000000"/>
      </left>
      <right style="thin">
        <color theme="0"/>
      </right>
      <bottom style="thin">
        <color rgb="FF8EAADB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2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4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ill="1" applyFont="1">
      <alignment shrinkToFit="0" vertical="center" wrapText="1"/>
    </xf>
    <xf borderId="2" fillId="0" fontId="1" numFmtId="2" xfId="0" applyAlignment="1" applyBorder="1" applyFont="1" applyNumberForma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0" fillId="4" fontId="3" numFmtId="0" xfId="0" applyFill="1" applyFont="1"/>
    <xf borderId="2" fillId="0" fontId="1" numFmtId="1" xfId="0" applyAlignment="1" applyBorder="1" applyFont="1" applyNumberFormat="1">
      <alignment horizontal="center" readingOrder="0" shrinkToFit="0" vertical="center" wrapText="1"/>
    </xf>
    <xf borderId="2" fillId="0" fontId="1" numFmtId="2" xfId="0" applyAlignment="1" applyBorder="1" applyFont="1" applyNumberFormat="1">
      <alignment horizontal="center" readingOrder="0" shrinkToFit="0" vertical="center" wrapText="1"/>
    </xf>
    <xf borderId="16" fillId="0" fontId="1" numFmtId="2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2" fontId="1" numFmtId="0" xfId="0" applyAlignment="1" applyBorder="1" applyFont="1">
      <alignment shrinkToFit="0" vertical="center" wrapText="1"/>
    </xf>
    <xf borderId="18" fillId="2" fontId="1" numFmtId="2" xfId="0" applyAlignment="1" applyBorder="1" applyFont="1" applyNumberFormat="1">
      <alignment horizontal="center" shrinkToFit="0" vertical="center" wrapText="1"/>
    </xf>
    <xf borderId="18" fillId="2" fontId="1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shrinkToFit="0" vertical="center" wrapText="1"/>
    </xf>
    <xf borderId="19" fillId="2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readingOrder="0" shrinkToFit="0" vertical="center" wrapText="1"/>
    </xf>
    <xf borderId="20" fillId="2" fontId="1" numFmtId="0" xfId="0" applyAlignment="1" applyBorder="1" applyFont="1">
      <alignment horizontal="center" readingOrder="0" shrinkToFit="0" vertical="center" wrapText="1"/>
    </xf>
    <xf borderId="21" fillId="0" fontId="2" numFmtId="0" xfId="0" applyBorder="1" applyFont="1"/>
    <xf borderId="22" fillId="0" fontId="2" numFmtId="0" xfId="0" applyBorder="1" applyFont="1"/>
    <xf borderId="9" fillId="2" fontId="1" numFmtId="0" xfId="0" applyAlignment="1" applyBorder="1" applyFont="1">
      <alignment horizontal="center" shrinkToFit="0" vertical="center" wrapText="1"/>
    </xf>
    <xf borderId="23" fillId="0" fontId="2" numFmtId="0" xfId="0" applyBorder="1" applyFont="1"/>
    <xf borderId="24" fillId="2" fontId="1" numFmtId="0" xfId="0" applyAlignment="1" applyBorder="1" applyFont="1">
      <alignment horizontal="center" shrinkToFit="0" vertical="center" wrapText="1"/>
    </xf>
    <xf borderId="25" fillId="0" fontId="2" numFmtId="0" xfId="0" applyBorder="1" applyFont="1"/>
    <xf borderId="26" fillId="2" fontId="1" numFmtId="0" xfId="0" applyAlignment="1" applyBorder="1" applyFont="1">
      <alignment horizontal="center" shrinkToFit="0" vertical="center" wrapText="1"/>
    </xf>
    <xf borderId="27" fillId="2" fontId="1" numFmtId="0" xfId="0" applyAlignment="1" applyBorder="1" applyFont="1">
      <alignment horizontal="center" shrinkToFit="0" vertical="center" wrapText="1"/>
    </xf>
    <xf borderId="28" fillId="2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2" fillId="0" fontId="1" numFmtId="2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29" fillId="0" fontId="1" numFmtId="0" xfId="0" applyAlignment="1" applyBorder="1" applyFont="1">
      <alignment horizontal="center" readingOrder="0" vertical="center"/>
    </xf>
    <xf borderId="29" fillId="0" fontId="1" numFmtId="0" xfId="0" applyAlignment="1" applyBorder="1" applyFont="1">
      <alignment horizontal="center" readingOrder="0" shrinkToFit="0" vertical="center" wrapText="1"/>
    </xf>
    <xf borderId="29" fillId="5" fontId="1" numFmtId="0" xfId="0" applyAlignment="1" applyBorder="1" applyFill="1" applyFont="1">
      <alignment horizontal="center" readingOrder="0" vertical="center"/>
    </xf>
    <xf borderId="0" fillId="0" fontId="4" numFmtId="0" xfId="0" applyAlignment="1" applyFont="1">
      <alignment readingOrder="0"/>
    </xf>
    <xf borderId="2" fillId="5" fontId="1" numFmtId="0" xfId="0" applyAlignment="1" applyBorder="1" applyFont="1">
      <alignment horizontal="center" vertical="center"/>
    </xf>
    <xf borderId="2" fillId="5" fontId="1" numFmtId="0" xfId="0" applyAlignment="1" applyBorder="1" applyFont="1">
      <alignment horizontal="center" readingOrder="0" vertical="center"/>
    </xf>
    <xf borderId="2" fillId="0" fontId="1" numFmtId="1" xfId="0" applyAlignment="1" applyBorder="1" applyFont="1" applyNumberFormat="1">
      <alignment horizontal="center" vertical="center"/>
    </xf>
    <xf borderId="2" fillId="5" fontId="1" numFmtId="0" xfId="0" applyAlignment="1" applyBorder="1" applyFont="1">
      <alignment horizontal="center" readingOrder="0"/>
    </xf>
    <xf borderId="2" fillId="5" fontId="1" numFmtId="0" xfId="0" applyAlignment="1" applyBorder="1" applyFont="1">
      <alignment horizontal="center"/>
    </xf>
    <xf borderId="2" fillId="0" fontId="1" numFmtId="0" xfId="0" applyBorder="1" applyFont="1"/>
    <xf borderId="30" fillId="0" fontId="1" numFmtId="0" xfId="0" applyAlignment="1" applyBorder="1" applyFont="1">
      <alignment horizontal="center" readingOrder="0" vertical="center"/>
    </xf>
    <xf borderId="31" fillId="0" fontId="2" numFmtId="0" xfId="0" applyBorder="1" applyFont="1"/>
    <xf borderId="2" fillId="0" fontId="1" numFmtId="0" xfId="0" applyAlignment="1" applyBorder="1" applyFont="1">
      <alignment horizontal="center"/>
    </xf>
    <xf borderId="32" fillId="2" fontId="1" numFmtId="0" xfId="0" applyAlignment="1" applyBorder="1" applyFont="1">
      <alignment horizontal="center" readingOrder="0" shrinkToFit="0" vertical="center" wrapText="1"/>
    </xf>
    <xf borderId="32" fillId="2" fontId="1" numFmtId="0" xfId="0" applyAlignment="1" applyBorder="1" applyFont="1">
      <alignment horizontal="center" shrinkToFit="0" vertical="center" wrapText="1"/>
    </xf>
    <xf borderId="2" fillId="0" fontId="1" numFmtId="2" xfId="0" applyAlignment="1" applyBorder="1" applyFont="1" applyNumberFormat="1">
      <alignment horizontal="left" vertical="center"/>
    </xf>
    <xf borderId="29" fillId="0" fontId="1" numFmtId="2" xfId="0" applyAlignment="1" applyBorder="1" applyFont="1" applyNumberFormat="1">
      <alignment horizontal="center" vertical="center"/>
    </xf>
    <xf borderId="33" fillId="2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shrinkToFit="0" wrapText="1"/>
    </xf>
    <xf borderId="2" fillId="4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center" shrinkToFit="0" wrapText="1"/>
    </xf>
    <xf borderId="2" fillId="0" fontId="1" numFmtId="2" xfId="0" applyAlignment="1" applyBorder="1" applyFont="1" applyNumberFormat="1">
      <alignment horizontal="center" shrinkToFit="0" wrapText="1"/>
    </xf>
    <xf borderId="2" fillId="4" fontId="1" numFmtId="0" xfId="0" applyAlignment="1" applyBorder="1" applyFont="1">
      <alignment horizontal="center" shrinkToFit="0" wrapText="1"/>
    </xf>
    <xf borderId="15" fillId="3" fontId="1" numFmtId="0" xfId="0" applyAlignment="1" applyBorder="1" applyFont="1">
      <alignment readingOrder="0" shrinkToFit="0" wrapText="1"/>
    </xf>
    <xf borderId="0" fillId="0" fontId="4" numFmtId="0" xfId="0" applyFont="1"/>
    <xf borderId="16" fillId="0" fontId="1" numFmtId="0" xfId="0" applyAlignment="1" applyBorder="1" applyFont="1">
      <alignment horizontal="center" shrinkToFit="0" wrapText="1"/>
    </xf>
    <xf borderId="17" fillId="2" fontId="1" numFmtId="0" xfId="0" applyAlignment="1" applyBorder="1" applyFont="1">
      <alignment shrinkToFit="0" wrapText="1"/>
    </xf>
    <xf borderId="34" fillId="2" fontId="1" numFmtId="2" xfId="0" applyAlignment="1" applyBorder="1" applyFont="1" applyNumberFormat="1">
      <alignment horizontal="center" shrinkToFit="0" vertical="center" wrapText="1"/>
    </xf>
    <xf borderId="18" fillId="2" fontId="1" numFmtId="0" xfId="0" applyAlignment="1" applyBorder="1" applyFont="1">
      <alignment horizontal="center" shrinkToFit="0" wrapText="1"/>
    </xf>
    <xf borderId="35" fillId="2" fontId="1" numFmtId="0" xfId="0" applyAlignment="1" applyBorder="1" applyFont="1">
      <alignment horizontal="center" shrinkToFit="0" wrapText="1"/>
    </xf>
    <xf borderId="15" fillId="2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1"/>
    </xf>
    <xf borderId="16" fillId="0" fontId="1" numFmtId="0" xfId="0" applyAlignment="1" applyBorder="1" applyFont="1">
      <alignment shrinkToFit="0" wrapText="1"/>
    </xf>
    <xf borderId="0" fillId="0" fontId="2" numFmtId="0" xfId="0" applyAlignment="1" applyFont="1">
      <alignment readingOrder="0"/>
    </xf>
    <xf borderId="2" fillId="6" fontId="1" numFmtId="0" xfId="0" applyAlignment="1" applyBorder="1" applyFill="1" applyFont="1">
      <alignment horizontal="center" shrinkToFit="0" vertical="center" wrapText="1"/>
    </xf>
    <xf borderId="2" fillId="0" fontId="1" numFmtId="2" xfId="0" applyAlignment="1" applyBorder="1" applyFont="1" applyNumberFormat="1">
      <alignment horizontal="center" readingOrder="0" shrinkToFit="0" wrapText="1"/>
    </xf>
    <xf borderId="16" fillId="0" fontId="1" numFmtId="2" xfId="0" applyAlignment="1" applyBorder="1" applyFont="1" applyNumberForma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36" fillId="2" fontId="1" numFmtId="0" xfId="0" applyAlignment="1" applyBorder="1" applyFont="1">
      <alignment horizontal="center" shrinkToFit="0" wrapText="1"/>
    </xf>
    <xf borderId="37" fillId="0" fontId="2" numFmtId="0" xfId="0" applyBorder="1" applyFont="1"/>
    <xf borderId="18" fillId="2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wrapText="1"/>
    </xf>
    <xf borderId="2" fillId="7" fontId="1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.38"/>
    <col customWidth="1" min="8" max="8" width="11.25"/>
    <col customWidth="1" min="9" max="9" width="19.13"/>
  </cols>
  <sheetData>
    <row r="1">
      <c r="A1" s="1" t="s">
        <v>0</v>
      </c>
      <c r="C1" s="2" t="s">
        <v>1</v>
      </c>
      <c r="D1" s="2" t="s">
        <v>2</v>
      </c>
      <c r="H1" s="3" t="s">
        <v>3</v>
      </c>
      <c r="I1" s="3" t="s">
        <v>4</v>
      </c>
    </row>
    <row r="2">
      <c r="A2" s="4" t="s">
        <v>5</v>
      </c>
      <c r="B2" s="4" t="s">
        <v>6</v>
      </c>
      <c r="C2" s="5"/>
      <c r="D2" s="5"/>
      <c r="H2" s="3">
        <v>1.0</v>
      </c>
      <c r="I2" s="3" t="s">
        <v>7</v>
      </c>
    </row>
    <row r="3">
      <c r="A3" s="3">
        <v>1.0</v>
      </c>
      <c r="B3" s="3" t="s">
        <v>8</v>
      </c>
      <c r="C3" s="3">
        <v>1000.0</v>
      </c>
      <c r="D3" s="3">
        <v>10.0</v>
      </c>
      <c r="H3" s="3">
        <v>2.0</v>
      </c>
      <c r="I3" s="3" t="s">
        <v>9</v>
      </c>
    </row>
    <row r="4">
      <c r="A4" s="3">
        <v>2.0</v>
      </c>
      <c r="B4" s="3" t="s">
        <v>10</v>
      </c>
      <c r="C4" s="3">
        <v>2000.0</v>
      </c>
      <c r="D4" s="3">
        <v>15.0</v>
      </c>
      <c r="H4" s="3">
        <v>3.0</v>
      </c>
      <c r="I4" s="3" t="s">
        <v>11</v>
      </c>
    </row>
    <row r="5">
      <c r="H5" s="3">
        <v>4.0</v>
      </c>
      <c r="I5" s="3" t="s">
        <v>11</v>
      </c>
    </row>
    <row r="6">
      <c r="H6" s="3">
        <v>5.0</v>
      </c>
      <c r="I6" s="3" t="s">
        <v>11</v>
      </c>
    </row>
    <row r="7">
      <c r="H7" s="3">
        <v>6.0</v>
      </c>
      <c r="I7" s="3" t="s">
        <v>11</v>
      </c>
    </row>
    <row r="8">
      <c r="H8" s="3">
        <v>7.0</v>
      </c>
      <c r="I8" s="3" t="s">
        <v>11</v>
      </c>
    </row>
    <row r="9">
      <c r="H9" s="3">
        <v>8.0</v>
      </c>
      <c r="I9" s="3" t="s">
        <v>11</v>
      </c>
    </row>
    <row r="10">
      <c r="H10" s="3">
        <v>9.0</v>
      </c>
      <c r="I10" s="3" t="s">
        <v>11</v>
      </c>
    </row>
    <row r="11">
      <c r="H11" s="3">
        <v>10.0</v>
      </c>
      <c r="I11" s="3" t="s">
        <v>12</v>
      </c>
    </row>
    <row r="12">
      <c r="H12" s="3">
        <v>11.0</v>
      </c>
      <c r="I12" s="3" t="s">
        <v>12</v>
      </c>
    </row>
    <row r="13">
      <c r="H13" s="3">
        <v>12.0</v>
      </c>
      <c r="I13" s="3" t="s">
        <v>12</v>
      </c>
    </row>
    <row r="14">
      <c r="H14" s="3">
        <v>13.0</v>
      </c>
      <c r="I14" s="3" t="s">
        <v>12</v>
      </c>
    </row>
    <row r="15">
      <c r="H15" s="3">
        <v>14.0</v>
      </c>
      <c r="I15" s="3" t="s">
        <v>11</v>
      </c>
    </row>
    <row r="16">
      <c r="H16" s="3">
        <v>15.0</v>
      </c>
      <c r="I16" s="3" t="s">
        <v>11</v>
      </c>
    </row>
    <row r="17">
      <c r="H17" s="3">
        <v>16.0</v>
      </c>
      <c r="I17" s="3" t="s">
        <v>11</v>
      </c>
    </row>
    <row r="18">
      <c r="H18" s="3">
        <v>17.0</v>
      </c>
      <c r="I18" s="3" t="s">
        <v>11</v>
      </c>
    </row>
    <row r="19">
      <c r="H19" s="3">
        <v>18.0</v>
      </c>
      <c r="I19" s="3" t="s">
        <v>11</v>
      </c>
    </row>
    <row r="20">
      <c r="H20" s="3">
        <v>19.0</v>
      </c>
      <c r="I20" s="3" t="s">
        <v>11</v>
      </c>
    </row>
    <row r="21">
      <c r="H21" s="3">
        <v>20.0</v>
      </c>
      <c r="I21" s="3" t="s">
        <v>12</v>
      </c>
    </row>
    <row r="22">
      <c r="H22" s="3">
        <v>21.0</v>
      </c>
      <c r="I22" s="3" t="s">
        <v>11</v>
      </c>
    </row>
    <row r="23">
      <c r="H23" s="3">
        <v>22.0</v>
      </c>
      <c r="I23" s="3" t="s">
        <v>11</v>
      </c>
    </row>
    <row r="24">
      <c r="H24" s="3">
        <v>23.0</v>
      </c>
      <c r="I24" s="3" t="s">
        <v>11</v>
      </c>
    </row>
    <row r="25">
      <c r="H25" s="3">
        <v>24.0</v>
      </c>
      <c r="I25" s="3" t="s">
        <v>12</v>
      </c>
    </row>
    <row r="26">
      <c r="H26" s="3">
        <v>25.0</v>
      </c>
      <c r="I26" s="3" t="s">
        <v>11</v>
      </c>
    </row>
  </sheetData>
  <mergeCells count="3">
    <mergeCell ref="A1:B1"/>
    <mergeCell ref="C1:C2"/>
    <mergeCell ref="D1:D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9" width="5.13"/>
    <col customWidth="1" min="10" max="10" width="11.25"/>
    <col customWidth="1" min="11" max="12" width="7.63"/>
    <col customWidth="1" min="13" max="13" width="16.0"/>
    <col customWidth="1" min="14" max="14" width="13.38"/>
    <col customWidth="1" min="15" max="15" width="15.5"/>
    <col customWidth="1" min="16" max="16" width="11.75"/>
    <col customWidth="1" min="17" max="17" width="7.63"/>
    <col customWidth="1" min="18" max="18" width="9.63"/>
    <col customWidth="1" min="19" max="21" width="10.38"/>
    <col customWidth="1" min="22" max="22" width="10.63"/>
    <col customWidth="1" min="23" max="26" width="8.63"/>
    <col customWidth="1" min="27" max="29" width="7.63"/>
    <col customWidth="1" min="30" max="30" width="21.5"/>
    <col customWidth="1" min="31" max="31" width="12.25"/>
    <col customWidth="1" min="32" max="32" width="5.63"/>
    <col customWidth="1" min="33" max="41" width="7.63"/>
  </cols>
  <sheetData>
    <row r="1" ht="15.0" customHeight="1">
      <c r="A1" s="6" t="s">
        <v>13</v>
      </c>
      <c r="B1" s="7" t="s">
        <v>14</v>
      </c>
      <c r="C1" s="8"/>
      <c r="D1" s="9" t="s">
        <v>15</v>
      </c>
      <c r="E1" s="7" t="s">
        <v>16</v>
      </c>
      <c r="F1" s="10"/>
      <c r="G1" s="7" t="s">
        <v>17</v>
      </c>
      <c r="H1" s="10"/>
      <c r="I1" s="10"/>
      <c r="J1" s="10"/>
    </row>
    <row r="2" ht="36.0" customHeight="1">
      <c r="A2" s="11"/>
      <c r="B2" s="12" t="s">
        <v>18</v>
      </c>
      <c r="C2" s="13" t="s">
        <v>19</v>
      </c>
      <c r="D2" s="14"/>
      <c r="E2" s="15" t="s">
        <v>20</v>
      </c>
      <c r="F2" s="16" t="s">
        <v>21</v>
      </c>
      <c r="G2" s="16" t="s">
        <v>22</v>
      </c>
      <c r="H2" s="16" t="s">
        <v>23</v>
      </c>
      <c r="I2" s="16" t="s">
        <v>24</v>
      </c>
      <c r="J2" s="16" t="s">
        <v>21</v>
      </c>
    </row>
    <row r="3">
      <c r="A3" s="17" t="s">
        <v>25</v>
      </c>
      <c r="B3" s="18">
        <v>3.705</v>
      </c>
      <c r="C3" s="18">
        <v>7.7</v>
      </c>
      <c r="D3" s="19">
        <f t="shared" ref="D3:D14" si="1">IF(B3&lt;=6,100,100+ROUNDDOWN((B3-6)/4,0)*60)</f>
        <v>100</v>
      </c>
      <c r="E3" s="19">
        <v>1.0</v>
      </c>
      <c r="F3" s="19">
        <f t="shared" ref="F3:F7" si="2">IF(E3&lt;4,E3*600,1800+(E3-3)*100)</f>
        <v>600</v>
      </c>
      <c r="G3" s="18" t="s">
        <v>26</v>
      </c>
      <c r="H3" s="19">
        <v>5500.0</v>
      </c>
      <c r="I3" s="19">
        <v>1.0</v>
      </c>
      <c r="J3" s="19">
        <f t="shared" ref="J3:J6" si="3">H3/I3</f>
        <v>5500</v>
      </c>
    </row>
    <row r="4">
      <c r="A4" s="17" t="s">
        <v>27</v>
      </c>
      <c r="B4" s="18">
        <v>3.9515</v>
      </c>
      <c r="C4" s="18">
        <v>8.2687</v>
      </c>
      <c r="D4" s="19">
        <f t="shared" si="1"/>
        <v>100</v>
      </c>
      <c r="E4" s="19">
        <v>1.0</v>
      </c>
      <c r="F4" s="19">
        <f t="shared" si="2"/>
        <v>600</v>
      </c>
      <c r="G4" s="19" t="s">
        <v>26</v>
      </c>
      <c r="H4" s="19">
        <v>5500.0</v>
      </c>
      <c r="I4" s="19">
        <v>1.0</v>
      </c>
      <c r="J4" s="19">
        <f t="shared" si="3"/>
        <v>5500</v>
      </c>
    </row>
    <row r="5">
      <c r="A5" s="17" t="s">
        <v>28</v>
      </c>
      <c r="B5" s="18">
        <v>3.4354</v>
      </c>
      <c r="C5" s="18">
        <v>7.42</v>
      </c>
      <c r="D5" s="19">
        <f t="shared" si="1"/>
        <v>100</v>
      </c>
      <c r="E5" s="19">
        <v>1.0</v>
      </c>
      <c r="F5" s="19">
        <f t="shared" si="2"/>
        <v>600</v>
      </c>
      <c r="G5" s="19" t="s">
        <v>26</v>
      </c>
      <c r="H5" s="19">
        <v>5500.0</v>
      </c>
      <c r="I5" s="19">
        <v>1.0</v>
      </c>
      <c r="J5" s="19">
        <f t="shared" si="3"/>
        <v>5500</v>
      </c>
    </row>
    <row r="6">
      <c r="A6" s="17" t="s">
        <v>29</v>
      </c>
      <c r="B6" s="18">
        <v>2.07</v>
      </c>
      <c r="C6" s="18">
        <v>5.76</v>
      </c>
      <c r="D6" s="19">
        <f t="shared" si="1"/>
        <v>100</v>
      </c>
      <c r="E6" s="19">
        <v>1.0</v>
      </c>
      <c r="F6" s="19">
        <f t="shared" si="2"/>
        <v>600</v>
      </c>
      <c r="G6" s="19" t="s">
        <v>26</v>
      </c>
      <c r="H6" s="19">
        <v>5500.0</v>
      </c>
      <c r="I6" s="19">
        <v>1.0</v>
      </c>
      <c r="J6" s="19">
        <f t="shared" si="3"/>
        <v>5500</v>
      </c>
    </row>
    <row r="7">
      <c r="A7" s="17" t="s">
        <v>30</v>
      </c>
      <c r="B7" s="18">
        <v>12.9435</v>
      </c>
      <c r="C7" s="18">
        <v>15.3022</v>
      </c>
      <c r="D7" s="19">
        <f t="shared" si="1"/>
        <v>160</v>
      </c>
      <c r="E7" s="19">
        <f>ROUNDUP(C7/3.5,0)</f>
        <v>5</v>
      </c>
      <c r="F7" s="19">
        <f t="shared" si="2"/>
        <v>2000</v>
      </c>
      <c r="G7" s="19" t="str">
        <f>CONCATENATE("1 x forno de microondas",CHAR(10),"1 x lavadora de louça",CHAR(10),"1 x air fryer",CHAR(10),"1 x fogão elétrico 4 bocas",CHAR(10),"1 x forno elétrico pequeno",CHAR(10),"1 x exaustor")</f>
        <v>1 x forno de microondas
1 x lavadora de louça
1 x air fryer
1 x fogão elétrico 4 bocas
1 x forno elétrico pequeno
1 x exaustor</v>
      </c>
      <c r="H7" s="19" t="str">
        <f>CONCATENATE(2000,CHAR(10),1500,CHAR(10),1900,CHAR(10),6000,CHAR(10),1500,CHAR(10),150)</f>
        <v>2000
1500
1900
6000
1500
150</v>
      </c>
      <c r="I7" s="19" t="str">
        <f>CONCATENATE(0.85,CHAR(10),0.85,CHAR(10),0.85,CHAR(10),1,CHAR(10),1,CHAR(10),0.85)</f>
        <v>0.85
0.85
0.85
1
1
0.85</v>
      </c>
      <c r="J7" s="20">
        <f>2000/0.85+1500/0.85+1900/0.85+6000/1+1500/1+150/0.85</f>
        <v>14029.41176</v>
      </c>
      <c r="K7" s="21"/>
    </row>
    <row r="8">
      <c r="A8" s="17" t="s">
        <v>31</v>
      </c>
      <c r="B8" s="18">
        <v>4.048</v>
      </c>
      <c r="C8" s="18">
        <v>8.12</v>
      </c>
      <c r="D8" s="19">
        <f t="shared" si="1"/>
        <v>100</v>
      </c>
      <c r="E8" s="19">
        <v>4.0</v>
      </c>
      <c r="F8" s="19">
        <f t="shared" ref="F8:F18" si="4">100*E8</f>
        <v>400</v>
      </c>
      <c r="G8" s="19" t="s">
        <v>32</v>
      </c>
      <c r="H8" s="19"/>
      <c r="I8" s="19"/>
      <c r="J8" s="19"/>
    </row>
    <row r="9">
      <c r="A9" s="17" t="s">
        <v>33</v>
      </c>
      <c r="B9" s="18">
        <v>2.07</v>
      </c>
      <c r="C9" s="18">
        <v>5.76</v>
      </c>
      <c r="D9" s="19">
        <f t="shared" si="1"/>
        <v>100</v>
      </c>
      <c r="E9" s="19">
        <f t="shared" ref="E9:E10" si="5">IF(B9&lt;=6,1,ROUNDUP(C9/5,0))</f>
        <v>1</v>
      </c>
      <c r="F9" s="19">
        <f t="shared" si="4"/>
        <v>100</v>
      </c>
      <c r="G9" s="19" t="s">
        <v>32</v>
      </c>
      <c r="H9" s="19"/>
      <c r="I9" s="19"/>
      <c r="J9" s="19"/>
    </row>
    <row r="10">
      <c r="A10" s="17" t="s">
        <v>34</v>
      </c>
      <c r="B10" s="18">
        <v>1.87</v>
      </c>
      <c r="C10" s="18">
        <v>6.1</v>
      </c>
      <c r="D10" s="19">
        <f t="shared" si="1"/>
        <v>100</v>
      </c>
      <c r="E10" s="19">
        <f t="shared" si="5"/>
        <v>1</v>
      </c>
      <c r="F10" s="19">
        <f t="shared" si="4"/>
        <v>100</v>
      </c>
      <c r="G10" s="19" t="s">
        <v>32</v>
      </c>
      <c r="H10" s="19"/>
      <c r="I10" s="19"/>
      <c r="J10" s="19"/>
    </row>
    <row r="11">
      <c r="A11" s="17" t="s">
        <v>35</v>
      </c>
      <c r="B11" s="18">
        <v>9.4278</v>
      </c>
      <c r="C11" s="18">
        <v>12.8493</v>
      </c>
      <c r="D11" s="19">
        <f t="shared" si="1"/>
        <v>100</v>
      </c>
      <c r="E11" s="19">
        <v>6.0</v>
      </c>
      <c r="F11" s="19">
        <f t="shared" si="4"/>
        <v>600</v>
      </c>
      <c r="G11" s="19" t="s">
        <v>36</v>
      </c>
      <c r="H11" s="19">
        <v>1200.0</v>
      </c>
      <c r="I11" s="19">
        <v>0.85</v>
      </c>
      <c r="J11" s="22">
        <f t="shared" ref="J11:J15" si="6">H11/I11</f>
        <v>1411.764706</v>
      </c>
    </row>
    <row r="12">
      <c r="A12" s="17" t="s">
        <v>37</v>
      </c>
      <c r="B12" s="18">
        <v>11.7128</v>
      </c>
      <c r="C12" s="18">
        <v>14.038</v>
      </c>
      <c r="D12" s="19">
        <f t="shared" si="1"/>
        <v>160</v>
      </c>
      <c r="E12" s="19">
        <v>6.0</v>
      </c>
      <c r="F12" s="19">
        <f t="shared" si="4"/>
        <v>600</v>
      </c>
      <c r="G12" s="19" t="s">
        <v>36</v>
      </c>
      <c r="H12" s="19">
        <v>1200.0</v>
      </c>
      <c r="I12" s="19">
        <v>0.85</v>
      </c>
      <c r="J12" s="22">
        <f t="shared" si="6"/>
        <v>1411.764706</v>
      </c>
    </row>
    <row r="13">
      <c r="A13" s="17" t="s">
        <v>38</v>
      </c>
      <c r="B13" s="18">
        <v>9.572</v>
      </c>
      <c r="C13" s="18">
        <v>12.8766</v>
      </c>
      <c r="D13" s="19">
        <f t="shared" si="1"/>
        <v>100</v>
      </c>
      <c r="E13" s="19">
        <v>6.0</v>
      </c>
      <c r="F13" s="19">
        <f t="shared" si="4"/>
        <v>600</v>
      </c>
      <c r="G13" s="19" t="s">
        <v>36</v>
      </c>
      <c r="H13" s="19">
        <v>1200.0</v>
      </c>
      <c r="I13" s="19">
        <v>0.85</v>
      </c>
      <c r="J13" s="22">
        <f t="shared" si="6"/>
        <v>1411.764706</v>
      </c>
    </row>
    <row r="14">
      <c r="A14" s="17" t="s">
        <v>39</v>
      </c>
      <c r="B14" s="18">
        <v>8.932</v>
      </c>
      <c r="C14" s="18">
        <v>11.96</v>
      </c>
      <c r="D14" s="19">
        <f t="shared" si="1"/>
        <v>100</v>
      </c>
      <c r="E14" s="19">
        <v>6.0</v>
      </c>
      <c r="F14" s="19">
        <f t="shared" si="4"/>
        <v>600</v>
      </c>
      <c r="G14" s="19" t="s">
        <v>36</v>
      </c>
      <c r="H14" s="19">
        <v>1200.0</v>
      </c>
      <c r="I14" s="19">
        <v>0.85</v>
      </c>
      <c r="J14" s="22">
        <f t="shared" si="6"/>
        <v>1411.764706</v>
      </c>
    </row>
    <row r="15">
      <c r="A15" s="17" t="s">
        <v>40</v>
      </c>
      <c r="B15" s="18">
        <v>20.3932</v>
      </c>
      <c r="C15" s="18">
        <v>19.9</v>
      </c>
      <c r="D15" s="3">
        <v>300.0</v>
      </c>
      <c r="E15" s="19">
        <v>8.0</v>
      </c>
      <c r="F15" s="19">
        <f t="shared" si="4"/>
        <v>800</v>
      </c>
      <c r="G15" s="3" t="s">
        <v>41</v>
      </c>
      <c r="H15" s="3">
        <v>1450.0</v>
      </c>
      <c r="I15" s="19">
        <v>0.85</v>
      </c>
      <c r="J15" s="22">
        <f t="shared" si="6"/>
        <v>1705.882353</v>
      </c>
    </row>
    <row r="16">
      <c r="A16" s="17" t="s">
        <v>42</v>
      </c>
      <c r="B16" s="18">
        <v>5.4425</v>
      </c>
      <c r="C16" s="18">
        <v>11.46</v>
      </c>
      <c r="D16" s="19">
        <f t="shared" ref="D16:D17" si="7">IF(B16&lt;=6,100,100+ROUNDDOWN((B16-6)/4,0)*60)</f>
        <v>100</v>
      </c>
      <c r="E16" s="19">
        <f t="shared" ref="E16:E18" si="8">IF(B16&lt;=6,1,ROUNDUP(C16/5,0))</f>
        <v>1</v>
      </c>
      <c r="F16" s="19">
        <f t="shared" si="4"/>
        <v>100</v>
      </c>
      <c r="G16" s="19" t="s">
        <v>32</v>
      </c>
      <c r="H16" s="19"/>
      <c r="I16" s="19"/>
      <c r="J16" s="22"/>
    </row>
    <row r="17">
      <c r="A17" s="17" t="s">
        <v>43</v>
      </c>
      <c r="B17" s="23">
        <v>2.61</v>
      </c>
      <c r="C17" s="23">
        <v>8.14</v>
      </c>
      <c r="D17" s="19">
        <f t="shared" si="7"/>
        <v>100</v>
      </c>
      <c r="E17" s="19">
        <f t="shared" si="8"/>
        <v>1</v>
      </c>
      <c r="F17" s="19">
        <f t="shared" si="4"/>
        <v>100</v>
      </c>
      <c r="G17" s="19" t="s">
        <v>32</v>
      </c>
      <c r="H17" s="19"/>
      <c r="I17" s="19"/>
      <c r="J17" s="22"/>
    </row>
    <row r="18" ht="15.75" customHeight="1">
      <c r="A18" s="17" t="s">
        <v>44</v>
      </c>
      <c r="B18" s="18">
        <v>26.7517</v>
      </c>
      <c r="C18" s="18">
        <v>25.8882</v>
      </c>
      <c r="D18" s="3">
        <v>420.0</v>
      </c>
      <c r="E18" s="19">
        <f t="shared" si="8"/>
        <v>6</v>
      </c>
      <c r="F18" s="19">
        <f t="shared" si="4"/>
        <v>600</v>
      </c>
      <c r="G18" s="3" t="s">
        <v>41</v>
      </c>
      <c r="H18" s="3">
        <v>1450.0</v>
      </c>
      <c r="I18" s="19">
        <v>0.85</v>
      </c>
      <c r="J18" s="22">
        <f t="shared" ref="J18:J19" si="9">H18/I18</f>
        <v>1705.882353</v>
      </c>
    </row>
    <row r="19" ht="27.0" customHeight="1">
      <c r="A19" s="17" t="s">
        <v>45</v>
      </c>
      <c r="B19" s="23">
        <v>10.34</v>
      </c>
      <c r="C19" s="23">
        <v>13.5</v>
      </c>
      <c r="D19" s="19">
        <f t="shared" ref="D19:D23" si="10">IF(B19&lt;=6,100,100+ROUNDDOWN((B19-6)/4,0)*60)</f>
        <v>160</v>
      </c>
      <c r="E19" s="19">
        <f>ROUNDUP(C19/3.5,0)</f>
        <v>4</v>
      </c>
      <c r="F19" s="19">
        <f>IF(E19&lt;4,E19*600,1800+(E19-3)*100)</f>
        <v>1900</v>
      </c>
      <c r="G19" s="19" t="str">
        <f>CONCATENATE("1 x lavadora de roupas",CHAR(10),"1 x secadora de roupas")</f>
        <v>1 x lavadora de roupas
1 x secadora de roupas</v>
      </c>
      <c r="H19" s="19">
        <f>1000+3500</f>
        <v>4500</v>
      </c>
      <c r="I19" s="19">
        <v>0.85</v>
      </c>
      <c r="J19" s="18">
        <f t="shared" si="9"/>
        <v>5294.117647</v>
      </c>
    </row>
    <row r="20" ht="15.75" customHeight="1">
      <c r="A20" s="17" t="s">
        <v>46</v>
      </c>
      <c r="B20" s="18">
        <v>14.4899</v>
      </c>
      <c r="C20" s="18">
        <v>17.44</v>
      </c>
      <c r="D20" s="19">
        <f t="shared" si="10"/>
        <v>220</v>
      </c>
      <c r="E20" s="19">
        <f t="shared" ref="E20:E22" si="11">IF(B20&lt;=6,1,ROUNDUP(C20/5,0))</f>
        <v>4</v>
      </c>
      <c r="F20" s="19">
        <f t="shared" ref="F20:F22" si="12">100*E20</f>
        <v>400</v>
      </c>
      <c r="G20" s="19" t="s">
        <v>32</v>
      </c>
      <c r="H20" s="19"/>
      <c r="I20" s="19"/>
      <c r="J20" s="19"/>
    </row>
    <row r="21" ht="15.75" customHeight="1">
      <c r="A21" s="17" t="s">
        <v>47</v>
      </c>
      <c r="B21" s="18">
        <v>5.719</v>
      </c>
      <c r="C21" s="18">
        <v>9.62</v>
      </c>
      <c r="D21" s="19">
        <f t="shared" si="10"/>
        <v>100</v>
      </c>
      <c r="E21" s="19">
        <f t="shared" si="11"/>
        <v>1</v>
      </c>
      <c r="F21" s="19">
        <f t="shared" si="12"/>
        <v>100</v>
      </c>
      <c r="G21" s="19" t="s">
        <v>32</v>
      </c>
      <c r="H21" s="19"/>
      <c r="I21" s="19"/>
      <c r="J21" s="19"/>
    </row>
    <row r="22" ht="15.75" customHeight="1">
      <c r="A22" s="17" t="s">
        <v>48</v>
      </c>
      <c r="B22" s="18">
        <v>2.2195</v>
      </c>
      <c r="C22" s="18">
        <v>6.16</v>
      </c>
      <c r="D22" s="19">
        <f t="shared" si="10"/>
        <v>100</v>
      </c>
      <c r="E22" s="19">
        <f t="shared" si="11"/>
        <v>1</v>
      </c>
      <c r="F22" s="19">
        <f t="shared" si="12"/>
        <v>100</v>
      </c>
      <c r="G22" s="19" t="s">
        <v>32</v>
      </c>
      <c r="H22" s="19"/>
      <c r="I22" s="19"/>
      <c r="J22" s="19"/>
    </row>
    <row r="23" ht="15.75" customHeight="1">
      <c r="A23" s="17" t="s">
        <v>49</v>
      </c>
      <c r="B23" s="24">
        <v>1.19</v>
      </c>
      <c r="C23" s="24">
        <v>4.5</v>
      </c>
      <c r="D23" s="25">
        <f t="shared" si="10"/>
        <v>100</v>
      </c>
      <c r="E23" s="25">
        <v>1.0</v>
      </c>
      <c r="F23" s="25">
        <f>IF(E23&lt;4,E23*600,1800+(E23-3)*100)</f>
        <v>600</v>
      </c>
      <c r="G23" s="25" t="s">
        <v>32</v>
      </c>
      <c r="H23" s="25"/>
      <c r="I23" s="25"/>
      <c r="J23" s="25"/>
    </row>
    <row r="24" ht="15.75" customHeight="1">
      <c r="A24" s="26" t="s">
        <v>50</v>
      </c>
      <c r="B24" s="27">
        <f>SUM(B3:B23)</f>
        <v>162.8938</v>
      </c>
      <c r="C24" s="28" t="s">
        <v>32</v>
      </c>
      <c r="D24" s="28">
        <f t="shared" ref="D24:F24" si="13">SUM(D3:D23)</f>
        <v>2920</v>
      </c>
      <c r="E24" s="28">
        <f t="shared" si="13"/>
        <v>66</v>
      </c>
      <c r="F24" s="28">
        <f t="shared" si="13"/>
        <v>12100</v>
      </c>
      <c r="G24" s="29"/>
      <c r="H24" s="28">
        <f>SUM(H3:H6)+SUM(H11:H19)+500+2000+1500+300+1900+6000+1500+150</f>
        <v>48050</v>
      </c>
      <c r="I24" s="28" t="s">
        <v>32</v>
      </c>
      <c r="J24" s="27">
        <f>SUM(J3:J23)</f>
        <v>50382.35294</v>
      </c>
    </row>
    <row r="25" ht="15.75" customHeight="1"/>
    <row r="26" ht="15.75" customHeight="1"/>
    <row r="27" ht="15.75" customHeight="1"/>
    <row r="28">
      <c r="M28" s="30" t="s">
        <v>51</v>
      </c>
      <c r="N28" s="8"/>
      <c r="O28" s="9" t="s">
        <v>52</v>
      </c>
      <c r="P28" s="9" t="s">
        <v>53</v>
      </c>
      <c r="Q28" s="9" t="s">
        <v>21</v>
      </c>
      <c r="R28" s="9" t="s">
        <v>54</v>
      </c>
      <c r="S28" s="31" t="s">
        <v>55</v>
      </c>
      <c r="T28" s="32" t="s">
        <v>56</v>
      </c>
      <c r="U28" s="32" t="s">
        <v>57</v>
      </c>
      <c r="V28" s="32" t="s">
        <v>58</v>
      </c>
      <c r="W28" s="32" t="s">
        <v>59</v>
      </c>
      <c r="X28" s="33"/>
      <c r="Y28" s="34"/>
      <c r="Z28" s="35" t="s">
        <v>60</v>
      </c>
      <c r="AA28" s="10"/>
      <c r="AB28" s="36"/>
    </row>
    <row r="29" ht="39.75" customHeight="1">
      <c r="M29" s="37" t="s">
        <v>5</v>
      </c>
      <c r="N29" s="16" t="s">
        <v>61</v>
      </c>
      <c r="O29" s="14"/>
      <c r="P29" s="14"/>
      <c r="Q29" s="14"/>
      <c r="R29" s="14"/>
      <c r="S29" s="14"/>
      <c r="T29" s="38"/>
      <c r="U29" s="38"/>
      <c r="V29" s="38"/>
      <c r="W29" s="39" t="s">
        <v>62</v>
      </c>
      <c r="X29" s="40" t="s">
        <v>63</v>
      </c>
      <c r="Y29" s="40" t="s">
        <v>64</v>
      </c>
      <c r="Z29" s="40" t="s">
        <v>61</v>
      </c>
      <c r="AA29" s="16" t="s">
        <v>65</v>
      </c>
      <c r="AB29" s="41" t="s">
        <v>66</v>
      </c>
    </row>
    <row r="30">
      <c r="M30" s="42">
        <v>1.0</v>
      </c>
      <c r="N30" s="42" t="s">
        <v>67</v>
      </c>
      <c r="O30" s="42">
        <v>220.0</v>
      </c>
      <c r="P30" s="19" t="str">
        <f>CONCATENATE(A11,CHAR(10),A12,CHAR(10),A13,CHAR(10),A14,CHAR(10),A21,CHAR(10),A22,CHAR(10),A16,CHAR(10),A3,CHAR(10),A4,CHAR(10),A5,CHAR(10),A20,CHAR(10),A15)</f>
        <v>Dormitório 1
Dormitório 2
Dormitório 3
Dormitório 4
Vestir 1
Vestir 2
Hall 1
BWC 1
BWC 2
BWC 3
Terraço
Estar</v>
      </c>
      <c r="Q30" s="42">
        <f>SUM(D11,D12,D13,D14,D21,D22,D16,D3,D4,D5,D20,D15)</f>
        <v>1580</v>
      </c>
      <c r="R30" s="43">
        <f t="shared" ref="R30:R54" si="14">Q30/O30</f>
        <v>7.181818182</v>
      </c>
      <c r="S30" s="43">
        <f t="shared" ref="S30:S54" si="15">R30/(0.8)</f>
        <v>8.977272727</v>
      </c>
      <c r="T30" s="44">
        <v>15.5</v>
      </c>
      <c r="U30" s="45">
        <v>3.0</v>
      </c>
      <c r="V30" s="46" t="s">
        <v>7</v>
      </c>
      <c r="W30" s="47" t="s">
        <v>68</v>
      </c>
      <c r="X30" s="47"/>
      <c r="Y30" s="47"/>
      <c r="Z30" s="44" t="str">
        <f>CONCATENATE("DTM - X A",CHAR(10),"IDR - X A")</f>
        <v>DTM - X A
IDR - X A</v>
      </c>
      <c r="AA30" s="42"/>
      <c r="AB30" s="42" t="str">
        <f t="shared" ref="AB30:AB31" si="16">CONCATENATE("10",CHAR(10),"25")</f>
        <v>10
25</v>
      </c>
      <c r="AD30" s="48" t="s">
        <v>69</v>
      </c>
    </row>
    <row r="31">
      <c r="M31" s="42">
        <v>2.0</v>
      </c>
      <c r="N31" s="42" t="s">
        <v>70</v>
      </c>
      <c r="O31" s="42">
        <v>220.0</v>
      </c>
      <c r="P31" s="19" t="str">
        <f>CONCATENATE(A7,CHAR(10),A8,CHAR(10),A9,CHAR(10),A10,CHAR(10),A19,CHAR(10),A6,CHAR(10),A17,CHAR(10),A23,CHAR(10),A18)</f>
        <v>Cozinha
Dependência
Depósito
Despensa
Serviço
BWC 4
Hall 2
WC
Jantar</v>
      </c>
      <c r="Q31" s="42">
        <f>SUM(D7,D8,D9,D10,D19,D6,D17,D23,D18)</f>
        <v>1340</v>
      </c>
      <c r="R31" s="43">
        <f t="shared" si="14"/>
        <v>6.090909091</v>
      </c>
      <c r="S31" s="43">
        <f t="shared" si="15"/>
        <v>7.613636364</v>
      </c>
      <c r="T31" s="44">
        <v>15.5</v>
      </c>
      <c r="U31" s="44">
        <v>3.0</v>
      </c>
      <c r="V31" s="3" t="s">
        <v>9</v>
      </c>
      <c r="W31" s="47"/>
      <c r="X31" s="47" t="s">
        <v>68</v>
      </c>
      <c r="Y31" s="47"/>
      <c r="Z31" s="45"/>
      <c r="AA31" s="42"/>
      <c r="AB31" s="42" t="str">
        <f t="shared" si="16"/>
        <v>10
25</v>
      </c>
    </row>
    <row r="32">
      <c r="M32" s="42">
        <v>3.0</v>
      </c>
      <c r="N32" s="42" t="s">
        <v>71</v>
      </c>
      <c r="O32" s="42">
        <v>220.0</v>
      </c>
      <c r="P32" s="19" t="str">
        <f>CONCATENATE(A21,CHAR(10),A3,CHAR(10),A4,CHAR(10),A12,)</f>
        <v>Vestir 1
BWC 1
BWC 2
Dormitório 2</v>
      </c>
      <c r="Q32" s="42">
        <f>SUM(F21,F3,F4,F12)</f>
        <v>1900</v>
      </c>
      <c r="R32" s="43">
        <f t="shared" si="14"/>
        <v>8.636363636</v>
      </c>
      <c r="S32" s="43">
        <f t="shared" si="15"/>
        <v>10.79545455</v>
      </c>
      <c r="T32" s="44">
        <v>21.0</v>
      </c>
      <c r="U32" s="44">
        <v>3.0</v>
      </c>
      <c r="V32" s="3" t="s">
        <v>11</v>
      </c>
      <c r="W32" s="49"/>
      <c r="X32" s="49"/>
      <c r="Y32" s="50" t="s">
        <v>68</v>
      </c>
      <c r="Z32" s="42"/>
      <c r="AA32" s="42"/>
      <c r="AB32" s="42" t="str">
        <f t="shared" ref="AB32:AB38" si="17">CONCATENATE("15",CHAR(10),"25")</f>
        <v>15
25</v>
      </c>
    </row>
    <row r="33">
      <c r="M33" s="42">
        <v>4.0</v>
      </c>
      <c r="N33" s="42" t="s">
        <v>71</v>
      </c>
      <c r="O33" s="42">
        <v>220.0</v>
      </c>
      <c r="P33" s="19" t="str">
        <f>CONCATENATE(A11,CHAR(10),A13,CHAR(10),A14,CHAR(10),A16)</f>
        <v>Dormitório 1
Dormitório 3
Dormitório 4
Hall 1</v>
      </c>
      <c r="Q33" s="42">
        <f>SUM(F11,F13,F14,F16)</f>
        <v>1900</v>
      </c>
      <c r="R33" s="43">
        <f t="shared" si="14"/>
        <v>8.636363636</v>
      </c>
      <c r="S33" s="43">
        <f t="shared" si="15"/>
        <v>10.79545455</v>
      </c>
      <c r="T33" s="44">
        <v>21.0</v>
      </c>
      <c r="U33" s="44">
        <v>3.0</v>
      </c>
      <c r="V33" s="3" t="s">
        <v>11</v>
      </c>
      <c r="W33" s="49"/>
      <c r="X33" s="50" t="s">
        <v>68</v>
      </c>
      <c r="Y33" s="49"/>
      <c r="Z33" s="42"/>
      <c r="AA33" s="42"/>
      <c r="AB33" s="42" t="str">
        <f t="shared" si="17"/>
        <v>15
25</v>
      </c>
    </row>
    <row r="34">
      <c r="M34" s="42">
        <v>5.0</v>
      </c>
      <c r="N34" s="42" t="s">
        <v>71</v>
      </c>
      <c r="O34" s="42">
        <v>220.0</v>
      </c>
      <c r="P34" s="19" t="str">
        <f>CONCATENATE(A20,CHAR(10),A15,CHAR(10),A23)</f>
        <v>Terraço
Estar
WC</v>
      </c>
      <c r="Q34" s="42">
        <f>SUM(F20,F15,F23)</f>
        <v>1800</v>
      </c>
      <c r="R34" s="43">
        <f t="shared" si="14"/>
        <v>8.181818182</v>
      </c>
      <c r="S34" s="43">
        <f t="shared" si="15"/>
        <v>10.22727273</v>
      </c>
      <c r="T34" s="44">
        <v>21.0</v>
      </c>
      <c r="U34" s="44">
        <v>3.0</v>
      </c>
      <c r="V34" s="3" t="s">
        <v>11</v>
      </c>
      <c r="W34" s="50" t="s">
        <v>68</v>
      </c>
      <c r="X34" s="49"/>
      <c r="Y34" s="49"/>
      <c r="Z34" s="42"/>
      <c r="AA34" s="42"/>
      <c r="AB34" s="42" t="str">
        <f t="shared" si="17"/>
        <v>15
25</v>
      </c>
    </row>
    <row r="35">
      <c r="M35" s="42">
        <v>6.0</v>
      </c>
      <c r="N35" s="42" t="s">
        <v>71</v>
      </c>
      <c r="O35" s="42">
        <v>220.0</v>
      </c>
      <c r="P35" s="19" t="str">
        <f>CONCATENATE(A18,CHAR(10),A5,CHAR(10),A22)</f>
        <v>Jantar
BWC 3
Vestir 2</v>
      </c>
      <c r="Q35" s="42">
        <f>SUM(F18,F5,F22)</f>
        <v>1300</v>
      </c>
      <c r="R35" s="43">
        <f t="shared" si="14"/>
        <v>5.909090909</v>
      </c>
      <c r="S35" s="43">
        <f t="shared" si="15"/>
        <v>7.386363636</v>
      </c>
      <c r="T35" s="44">
        <v>21.0</v>
      </c>
      <c r="U35" s="44">
        <v>3.0</v>
      </c>
      <c r="V35" s="3" t="s">
        <v>11</v>
      </c>
      <c r="W35" s="49"/>
      <c r="X35" s="50" t="s">
        <v>68</v>
      </c>
      <c r="Y35" s="49"/>
      <c r="Z35" s="42"/>
      <c r="AA35" s="42"/>
      <c r="AB35" s="42" t="str">
        <f t="shared" si="17"/>
        <v>15
25</v>
      </c>
    </row>
    <row r="36">
      <c r="M36" s="42">
        <v>7.0</v>
      </c>
      <c r="N36" s="42" t="s">
        <v>71</v>
      </c>
      <c r="O36" s="42">
        <v>220.0</v>
      </c>
      <c r="P36" s="19" t="str">
        <f>CONCATENATE(A7,CHAR(10),A10)</f>
        <v>Cozinha
Despensa</v>
      </c>
      <c r="Q36" s="42">
        <f>SUM(F7,F10)</f>
        <v>2100</v>
      </c>
      <c r="R36" s="43">
        <f t="shared" si="14"/>
        <v>9.545454545</v>
      </c>
      <c r="S36" s="43">
        <f t="shared" si="15"/>
        <v>11.93181818</v>
      </c>
      <c r="T36" s="44">
        <v>21.0</v>
      </c>
      <c r="U36" s="44">
        <v>3.0</v>
      </c>
      <c r="V36" s="3" t="s">
        <v>11</v>
      </c>
      <c r="W36" s="49"/>
      <c r="X36" s="49"/>
      <c r="Y36" s="50" t="s">
        <v>68</v>
      </c>
      <c r="Z36" s="42"/>
      <c r="AA36" s="42"/>
      <c r="AB36" s="42" t="str">
        <f t="shared" si="17"/>
        <v>15
25</v>
      </c>
    </row>
    <row r="37">
      <c r="M37" s="42">
        <v>8.0</v>
      </c>
      <c r="N37" s="42" t="s">
        <v>71</v>
      </c>
      <c r="O37" s="42">
        <v>220.0</v>
      </c>
      <c r="P37" s="19" t="str">
        <f>CONCATENATE(A19)</f>
        <v>Serviço</v>
      </c>
      <c r="Q37" s="42">
        <f>SUM(F19)</f>
        <v>1900</v>
      </c>
      <c r="R37" s="43">
        <f t="shared" si="14"/>
        <v>8.636363636</v>
      </c>
      <c r="S37" s="43">
        <f t="shared" si="15"/>
        <v>10.79545455</v>
      </c>
      <c r="T37" s="44">
        <v>21.0</v>
      </c>
      <c r="U37" s="44">
        <v>3.0</v>
      </c>
      <c r="V37" s="3" t="s">
        <v>11</v>
      </c>
      <c r="W37" s="49"/>
      <c r="X37" s="50" t="s">
        <v>68</v>
      </c>
      <c r="Y37" s="49"/>
      <c r="Z37" s="42"/>
      <c r="AA37" s="42"/>
      <c r="AB37" s="42" t="str">
        <f t="shared" si="17"/>
        <v>15
25</v>
      </c>
    </row>
    <row r="38">
      <c r="M38" s="42">
        <v>9.0</v>
      </c>
      <c r="N38" s="42" t="s">
        <v>71</v>
      </c>
      <c r="O38" s="42">
        <v>220.0</v>
      </c>
      <c r="P38" s="19" t="str">
        <f>CONCATENATE(A17,CHAR(10),A9,CHAR(10),A6,CHAR(10),A8)</f>
        <v>Hall 2
Depósito
BWC 4
Dependência</v>
      </c>
      <c r="Q38" s="42">
        <f>SUM(F17,F9,F6,F8)</f>
        <v>1200</v>
      </c>
      <c r="R38" s="43">
        <f t="shared" si="14"/>
        <v>5.454545455</v>
      </c>
      <c r="S38" s="43">
        <f t="shared" si="15"/>
        <v>6.818181818</v>
      </c>
      <c r="T38" s="44">
        <v>21.0</v>
      </c>
      <c r="U38" s="44">
        <v>3.0</v>
      </c>
      <c r="V38" s="3" t="s">
        <v>11</v>
      </c>
      <c r="W38" s="50" t="s">
        <v>68</v>
      </c>
      <c r="X38" s="49"/>
      <c r="Y38" s="49"/>
      <c r="Z38" s="42"/>
      <c r="AA38" s="42"/>
      <c r="AB38" s="42" t="str">
        <f t="shared" si="17"/>
        <v>15
25</v>
      </c>
    </row>
    <row r="39">
      <c r="M39" s="42">
        <v>10.0</v>
      </c>
      <c r="N39" s="42" t="s">
        <v>72</v>
      </c>
      <c r="O39" s="42">
        <v>220.0</v>
      </c>
      <c r="P39" s="19" t="s">
        <v>73</v>
      </c>
      <c r="Q39" s="42">
        <v>5500.0</v>
      </c>
      <c r="R39" s="43">
        <f t="shared" si="14"/>
        <v>25</v>
      </c>
      <c r="S39" s="43">
        <f t="shared" si="15"/>
        <v>31.25</v>
      </c>
      <c r="T39" s="44">
        <v>36.0</v>
      </c>
      <c r="U39" s="44">
        <v>3.0</v>
      </c>
      <c r="V39" s="3" t="s">
        <v>12</v>
      </c>
      <c r="W39" s="49"/>
      <c r="X39" s="50" t="s">
        <v>68</v>
      </c>
      <c r="Y39" s="49"/>
      <c r="Z39" s="42"/>
      <c r="AA39" s="42"/>
      <c r="AB39" s="42" t="str">
        <f t="shared" ref="AB39:AB42" si="18">CONCATENATE("30",CHAR(10),"40")</f>
        <v>30
40</v>
      </c>
    </row>
    <row r="40">
      <c r="M40" s="42">
        <v>11.0</v>
      </c>
      <c r="N40" s="42" t="s">
        <v>72</v>
      </c>
      <c r="O40" s="42">
        <v>220.0</v>
      </c>
      <c r="P40" s="19" t="s">
        <v>74</v>
      </c>
      <c r="Q40" s="42">
        <v>5500.0</v>
      </c>
      <c r="R40" s="43">
        <f t="shared" si="14"/>
        <v>25</v>
      </c>
      <c r="S40" s="43">
        <f t="shared" si="15"/>
        <v>31.25</v>
      </c>
      <c r="T40" s="44">
        <v>36.0</v>
      </c>
      <c r="U40" s="44">
        <v>3.0</v>
      </c>
      <c r="V40" s="3" t="s">
        <v>12</v>
      </c>
      <c r="W40" s="49"/>
      <c r="X40" s="49"/>
      <c r="Y40" s="50" t="s">
        <v>68</v>
      </c>
      <c r="Z40" s="42"/>
      <c r="AA40" s="42"/>
      <c r="AB40" s="42" t="str">
        <f t="shared" si="18"/>
        <v>30
40</v>
      </c>
    </row>
    <row r="41">
      <c r="M41" s="42">
        <v>12.0</v>
      </c>
      <c r="N41" s="42" t="s">
        <v>72</v>
      </c>
      <c r="O41" s="42">
        <v>220.0</v>
      </c>
      <c r="P41" s="19" t="s">
        <v>75</v>
      </c>
      <c r="Q41" s="42">
        <v>5500.0</v>
      </c>
      <c r="R41" s="43">
        <f t="shared" si="14"/>
        <v>25</v>
      </c>
      <c r="S41" s="43">
        <f t="shared" si="15"/>
        <v>31.25</v>
      </c>
      <c r="T41" s="44">
        <v>36.0</v>
      </c>
      <c r="U41" s="44">
        <v>3.0</v>
      </c>
      <c r="V41" s="3" t="s">
        <v>12</v>
      </c>
      <c r="W41" s="49"/>
      <c r="X41" s="50" t="s">
        <v>68</v>
      </c>
      <c r="Y41" s="49"/>
      <c r="Z41" s="42"/>
      <c r="AA41" s="42"/>
      <c r="AB41" s="42" t="str">
        <f t="shared" si="18"/>
        <v>30
40</v>
      </c>
    </row>
    <row r="42">
      <c r="M42" s="42">
        <v>13.0</v>
      </c>
      <c r="N42" s="42" t="s">
        <v>72</v>
      </c>
      <c r="O42" s="42">
        <v>220.0</v>
      </c>
      <c r="P42" s="19" t="s">
        <v>76</v>
      </c>
      <c r="Q42" s="42">
        <v>5500.0</v>
      </c>
      <c r="R42" s="43">
        <f t="shared" si="14"/>
        <v>25</v>
      </c>
      <c r="S42" s="43">
        <f t="shared" si="15"/>
        <v>31.25</v>
      </c>
      <c r="T42" s="44">
        <v>36.0</v>
      </c>
      <c r="U42" s="44">
        <v>3.0</v>
      </c>
      <c r="V42" s="3" t="s">
        <v>12</v>
      </c>
      <c r="W42" s="50" t="s">
        <v>68</v>
      </c>
      <c r="X42" s="49"/>
      <c r="Y42" s="49"/>
      <c r="Z42" s="42"/>
      <c r="AA42" s="42"/>
      <c r="AB42" s="42" t="str">
        <f t="shared" si="18"/>
        <v>30
40</v>
      </c>
    </row>
    <row r="43">
      <c r="M43" s="42">
        <v>14.0</v>
      </c>
      <c r="N43" s="42" t="s">
        <v>72</v>
      </c>
      <c r="O43" s="42">
        <v>220.0</v>
      </c>
      <c r="P43" s="19" t="s">
        <v>77</v>
      </c>
      <c r="Q43" s="51">
        <f t="shared" ref="Q43:Q46" si="19">J11</f>
        <v>1411.764706</v>
      </c>
      <c r="R43" s="43">
        <f t="shared" si="14"/>
        <v>6.417112299</v>
      </c>
      <c r="S43" s="43">
        <f t="shared" si="15"/>
        <v>8.021390374</v>
      </c>
      <c r="T43" s="44">
        <v>21.0</v>
      </c>
      <c r="U43" s="44">
        <v>3.0</v>
      </c>
      <c r="V43" s="3" t="s">
        <v>11</v>
      </c>
      <c r="W43" s="49"/>
      <c r="X43" s="50" t="s">
        <v>68</v>
      </c>
      <c r="Y43" s="49"/>
      <c r="Z43" s="42"/>
      <c r="AA43" s="42"/>
      <c r="AB43" s="42" t="str">
        <f t="shared" ref="AB43:AB48" si="20">CONCATENATE("15",CHAR(10),"25")</f>
        <v>15
25</v>
      </c>
    </row>
    <row r="44">
      <c r="M44" s="42">
        <v>15.0</v>
      </c>
      <c r="N44" s="42" t="s">
        <v>72</v>
      </c>
      <c r="O44" s="42">
        <v>220.0</v>
      </c>
      <c r="P44" s="19" t="s">
        <v>78</v>
      </c>
      <c r="Q44" s="51">
        <f t="shared" si="19"/>
        <v>1411.764706</v>
      </c>
      <c r="R44" s="43">
        <f t="shared" si="14"/>
        <v>6.417112299</v>
      </c>
      <c r="S44" s="43">
        <f t="shared" si="15"/>
        <v>8.021390374</v>
      </c>
      <c r="T44" s="44">
        <v>21.0</v>
      </c>
      <c r="U44" s="44">
        <v>3.0</v>
      </c>
      <c r="V44" s="3" t="s">
        <v>11</v>
      </c>
      <c r="W44" s="49"/>
      <c r="X44" s="49"/>
      <c r="Y44" s="50" t="s">
        <v>68</v>
      </c>
      <c r="Z44" s="42"/>
      <c r="AA44" s="42"/>
      <c r="AB44" s="42" t="str">
        <f t="shared" si="20"/>
        <v>15
25</v>
      </c>
    </row>
    <row r="45">
      <c r="M45" s="42">
        <v>16.0</v>
      </c>
      <c r="N45" s="42" t="s">
        <v>72</v>
      </c>
      <c r="O45" s="42">
        <v>220.0</v>
      </c>
      <c r="P45" s="19" t="s">
        <v>79</v>
      </c>
      <c r="Q45" s="51">
        <f t="shared" si="19"/>
        <v>1411.764706</v>
      </c>
      <c r="R45" s="43">
        <f t="shared" si="14"/>
        <v>6.417112299</v>
      </c>
      <c r="S45" s="43">
        <f t="shared" si="15"/>
        <v>8.021390374</v>
      </c>
      <c r="T45" s="44">
        <v>21.0</v>
      </c>
      <c r="U45" s="44">
        <v>3.0</v>
      </c>
      <c r="V45" s="3" t="s">
        <v>11</v>
      </c>
      <c r="W45" s="49"/>
      <c r="X45" s="50" t="s">
        <v>68</v>
      </c>
      <c r="Y45" s="49"/>
      <c r="Z45" s="42"/>
      <c r="AA45" s="42"/>
      <c r="AB45" s="42" t="str">
        <f t="shared" si="20"/>
        <v>15
25</v>
      </c>
    </row>
    <row r="46">
      <c r="M46" s="42">
        <v>17.0</v>
      </c>
      <c r="N46" s="42" t="s">
        <v>72</v>
      </c>
      <c r="O46" s="42">
        <v>220.0</v>
      </c>
      <c r="P46" s="19" t="s">
        <v>80</v>
      </c>
      <c r="Q46" s="51">
        <f t="shared" si="19"/>
        <v>1411.764706</v>
      </c>
      <c r="R46" s="43">
        <f t="shared" si="14"/>
        <v>6.417112299</v>
      </c>
      <c r="S46" s="43">
        <f t="shared" si="15"/>
        <v>8.021390374</v>
      </c>
      <c r="T46" s="44">
        <v>21.0</v>
      </c>
      <c r="U46" s="44">
        <v>3.0</v>
      </c>
      <c r="V46" s="3" t="s">
        <v>11</v>
      </c>
      <c r="W46" s="50" t="s">
        <v>68</v>
      </c>
      <c r="X46" s="49"/>
      <c r="Y46" s="49"/>
      <c r="Z46" s="42"/>
      <c r="AA46" s="42"/>
      <c r="AB46" s="42" t="str">
        <f t="shared" si="20"/>
        <v>15
25</v>
      </c>
    </row>
    <row r="47">
      <c r="M47" s="42">
        <v>18.0</v>
      </c>
      <c r="N47" s="42" t="s">
        <v>72</v>
      </c>
      <c r="O47" s="42">
        <v>220.0</v>
      </c>
      <c r="P47" s="19" t="s">
        <v>81</v>
      </c>
      <c r="Q47" s="51">
        <f>J18</f>
        <v>1705.882353</v>
      </c>
      <c r="R47" s="43">
        <f t="shared" si="14"/>
        <v>7.754010695</v>
      </c>
      <c r="S47" s="43">
        <f t="shared" si="15"/>
        <v>9.692513369</v>
      </c>
      <c r="T47" s="44">
        <v>21.0</v>
      </c>
      <c r="U47" s="44">
        <v>3.0</v>
      </c>
      <c r="V47" s="3" t="s">
        <v>11</v>
      </c>
      <c r="W47" s="49"/>
      <c r="X47" s="50" t="s">
        <v>68</v>
      </c>
      <c r="Y47" s="49"/>
      <c r="Z47" s="42"/>
      <c r="AA47" s="42"/>
      <c r="AB47" s="42" t="str">
        <f t="shared" si="20"/>
        <v>15
25</v>
      </c>
    </row>
    <row r="48">
      <c r="M48" s="42">
        <v>19.0</v>
      </c>
      <c r="N48" s="42" t="s">
        <v>72</v>
      </c>
      <c r="O48" s="42">
        <v>220.0</v>
      </c>
      <c r="P48" s="19" t="s">
        <v>82</v>
      </c>
      <c r="Q48" s="51">
        <f>J15</f>
        <v>1705.882353</v>
      </c>
      <c r="R48" s="43">
        <f t="shared" si="14"/>
        <v>7.754010695</v>
      </c>
      <c r="S48" s="43">
        <f t="shared" si="15"/>
        <v>9.692513369</v>
      </c>
      <c r="T48" s="44">
        <v>21.0</v>
      </c>
      <c r="U48" s="44">
        <v>3.0</v>
      </c>
      <c r="V48" s="3" t="s">
        <v>11</v>
      </c>
      <c r="W48" s="49"/>
      <c r="X48" s="49"/>
      <c r="Y48" s="50" t="s">
        <v>68</v>
      </c>
      <c r="Z48" s="42"/>
      <c r="AA48" s="42"/>
      <c r="AB48" s="42" t="str">
        <f t="shared" si="20"/>
        <v>15
25</v>
      </c>
    </row>
    <row r="49">
      <c r="M49" s="42">
        <v>20.0</v>
      </c>
      <c r="N49" s="42" t="s">
        <v>72</v>
      </c>
      <c r="O49" s="42">
        <v>220.0</v>
      </c>
      <c r="P49" s="19" t="str">
        <f>CONCATENATE("Lavadora",CHAR(10),"Secadora")</f>
        <v>Lavadora
Secadora</v>
      </c>
      <c r="Q49" s="43">
        <f>J19</f>
        <v>5294.117647</v>
      </c>
      <c r="R49" s="43">
        <f t="shared" si="14"/>
        <v>24.06417112</v>
      </c>
      <c r="S49" s="43">
        <f t="shared" si="15"/>
        <v>30.0802139</v>
      </c>
      <c r="T49" s="44">
        <v>36.0</v>
      </c>
      <c r="U49" s="44">
        <v>3.0</v>
      </c>
      <c r="V49" s="3" t="s">
        <v>12</v>
      </c>
      <c r="W49" s="49"/>
      <c r="X49" s="50" t="s">
        <v>68</v>
      </c>
      <c r="Y49" s="49"/>
      <c r="Z49" s="42"/>
      <c r="AA49" s="42"/>
      <c r="AB49" s="42" t="str">
        <f>CONCATENATE("30",CHAR(10),"40")</f>
        <v>30
40</v>
      </c>
    </row>
    <row r="50">
      <c r="M50" s="42">
        <v>21.0</v>
      </c>
      <c r="N50" s="42" t="s">
        <v>72</v>
      </c>
      <c r="O50" s="42">
        <v>220.0</v>
      </c>
      <c r="P50" s="19" t="s">
        <v>83</v>
      </c>
      <c r="Q50" s="43">
        <f>2000/0.85</f>
        <v>2352.941176</v>
      </c>
      <c r="R50" s="43">
        <f t="shared" si="14"/>
        <v>10.69518717</v>
      </c>
      <c r="S50" s="43">
        <f t="shared" si="15"/>
        <v>13.36898396</v>
      </c>
      <c r="T50" s="44">
        <v>21.0</v>
      </c>
      <c r="U50" s="44">
        <v>3.0</v>
      </c>
      <c r="V50" s="3" t="s">
        <v>11</v>
      </c>
      <c r="W50" s="52" t="s">
        <v>68</v>
      </c>
      <c r="X50" s="53"/>
      <c r="Y50" s="53"/>
      <c r="Z50" s="54"/>
      <c r="AA50" s="54"/>
      <c r="AB50" s="42" t="str">
        <f t="shared" ref="AB50:AB52" si="21">CONCATENATE("15",CHAR(10),"25")</f>
        <v>15
25</v>
      </c>
    </row>
    <row r="51">
      <c r="M51" s="42">
        <v>22.0</v>
      </c>
      <c r="N51" s="42" t="s">
        <v>72</v>
      </c>
      <c r="O51" s="42">
        <v>220.0</v>
      </c>
      <c r="P51" s="19" t="s">
        <v>84</v>
      </c>
      <c r="Q51" s="43">
        <f>1500/0.85</f>
        <v>1764.705882</v>
      </c>
      <c r="R51" s="43">
        <f t="shared" si="14"/>
        <v>8.021390374</v>
      </c>
      <c r="S51" s="43">
        <f t="shared" si="15"/>
        <v>10.02673797</v>
      </c>
      <c r="T51" s="44">
        <v>21.0</v>
      </c>
      <c r="U51" s="44">
        <v>3.0</v>
      </c>
      <c r="V51" s="3" t="s">
        <v>11</v>
      </c>
      <c r="W51" s="53"/>
      <c r="X51" s="52" t="s">
        <v>68</v>
      </c>
      <c r="Y51" s="53"/>
      <c r="Z51" s="54"/>
      <c r="AA51" s="54"/>
      <c r="AB51" s="42" t="str">
        <f t="shared" si="21"/>
        <v>15
25</v>
      </c>
    </row>
    <row r="52">
      <c r="M52" s="42">
        <v>23.0</v>
      </c>
      <c r="N52" s="42" t="s">
        <v>72</v>
      </c>
      <c r="O52" s="42">
        <v>220.0</v>
      </c>
      <c r="P52" s="42" t="s">
        <v>85</v>
      </c>
      <c r="Q52" s="43">
        <f>1900/0.85</f>
        <v>2235.294118</v>
      </c>
      <c r="R52" s="43">
        <f t="shared" si="14"/>
        <v>10.16042781</v>
      </c>
      <c r="S52" s="43">
        <f t="shared" si="15"/>
        <v>12.70053476</v>
      </c>
      <c r="T52" s="44">
        <v>21.0</v>
      </c>
      <c r="U52" s="44">
        <v>3.0</v>
      </c>
      <c r="V52" s="3" t="s">
        <v>11</v>
      </c>
      <c r="W52" s="53"/>
      <c r="X52" s="53"/>
      <c r="Y52" s="52" t="s">
        <v>68</v>
      </c>
      <c r="Z52" s="54"/>
      <c r="AA52" s="54"/>
      <c r="AB52" s="42" t="str">
        <f t="shared" si="21"/>
        <v>15
25</v>
      </c>
    </row>
    <row r="53">
      <c r="M53" s="42">
        <v>24.0</v>
      </c>
      <c r="N53" s="42" t="s">
        <v>72</v>
      </c>
      <c r="O53" s="42">
        <v>220.0</v>
      </c>
      <c r="P53" s="42" t="s">
        <v>86</v>
      </c>
      <c r="Q53" s="43">
        <f>6000</f>
        <v>6000</v>
      </c>
      <c r="R53" s="43">
        <f t="shared" si="14"/>
        <v>27.27272727</v>
      </c>
      <c r="S53" s="43">
        <f t="shared" si="15"/>
        <v>34.09090909</v>
      </c>
      <c r="T53" s="44">
        <v>36.0</v>
      </c>
      <c r="U53" s="44">
        <v>3.0</v>
      </c>
      <c r="V53" s="3" t="s">
        <v>12</v>
      </c>
      <c r="W53" s="53"/>
      <c r="X53" s="52" t="s">
        <v>68</v>
      </c>
      <c r="Y53" s="53"/>
      <c r="Z53" s="54"/>
      <c r="AA53" s="54"/>
      <c r="AB53" s="42" t="str">
        <f>CONCATENATE("30",CHAR(10),"40")</f>
        <v>30
40</v>
      </c>
    </row>
    <row r="54">
      <c r="M54" s="42">
        <v>25.0</v>
      </c>
      <c r="N54" s="42" t="s">
        <v>72</v>
      </c>
      <c r="O54" s="42">
        <v>220.0</v>
      </c>
      <c r="P54" s="44" t="str">
        <f>CONCATENATE("Forno",CHAR(10),"Exaustor")</f>
        <v>Forno
Exaustor</v>
      </c>
      <c r="Q54" s="43">
        <f>1500+150/0.85</f>
        <v>1676.470588</v>
      </c>
      <c r="R54" s="43">
        <f t="shared" si="14"/>
        <v>7.620320856</v>
      </c>
      <c r="S54" s="43">
        <f t="shared" si="15"/>
        <v>9.52540107</v>
      </c>
      <c r="T54" s="44">
        <v>21.0</v>
      </c>
      <c r="U54" s="44">
        <v>3.0</v>
      </c>
      <c r="V54" s="3" t="s">
        <v>11</v>
      </c>
      <c r="W54" s="52" t="s">
        <v>68</v>
      </c>
      <c r="X54" s="53"/>
      <c r="Y54" s="53"/>
      <c r="Z54" s="54"/>
      <c r="AA54" s="54"/>
      <c r="AB54" s="42" t="str">
        <f>CONCATENATE("10",CHAR(10),"25")</f>
        <v>10
25</v>
      </c>
    </row>
    <row r="55" ht="15.75" customHeight="1">
      <c r="M55" s="55" t="s">
        <v>87</v>
      </c>
      <c r="N55" s="56"/>
      <c r="O55" s="44">
        <v>220.0</v>
      </c>
      <c r="P55" s="57"/>
      <c r="Q55" s="43"/>
      <c r="R55" s="43"/>
      <c r="S55" s="43"/>
      <c r="T55" s="54"/>
      <c r="U55" s="54"/>
      <c r="V55" s="54"/>
      <c r="W55" s="57"/>
      <c r="X55" s="57"/>
      <c r="Y55" s="57"/>
      <c r="Z55" s="54"/>
      <c r="AA55" s="54"/>
      <c r="AB55" s="54"/>
    </row>
    <row r="56" ht="15.75" customHeight="1"/>
    <row r="57" ht="30.75" customHeight="1">
      <c r="AD57" s="58" t="s">
        <v>88</v>
      </c>
      <c r="AE57" s="59" t="s">
        <v>89</v>
      </c>
      <c r="AF57" s="59" t="s">
        <v>90</v>
      </c>
      <c r="AG57" s="59" t="s">
        <v>50</v>
      </c>
      <c r="AH57" s="48"/>
      <c r="AI57" s="48"/>
      <c r="AJ57" s="48"/>
      <c r="AK57" s="48"/>
      <c r="AL57" s="48"/>
    </row>
    <row r="58" ht="15.75" customHeight="1">
      <c r="AD58" s="60" t="s">
        <v>91</v>
      </c>
      <c r="AE58" s="43">
        <v>0.24</v>
      </c>
      <c r="AF58" s="44">
        <v>0.4</v>
      </c>
      <c r="AG58" s="43" t="s">
        <v>32</v>
      </c>
    </row>
    <row r="59" ht="15.75" customHeight="1">
      <c r="AD59" s="60" t="s">
        <v>92</v>
      </c>
      <c r="AE59" s="61">
        <f>SUM(Q30:Q31)+0.8*SUM(Q32:Q38)</f>
        <v>12600</v>
      </c>
      <c r="AF59" s="45">
        <f>H24</f>
        <v>48050</v>
      </c>
      <c r="AG59" s="61">
        <f t="shared" ref="AG59:AG60" si="23">AE59+AF59</f>
        <v>60650</v>
      </c>
    </row>
    <row r="60" ht="15.75" customHeight="1">
      <c r="AD60" s="60" t="s">
        <v>93</v>
      </c>
      <c r="AE60" s="43">
        <f t="shared" ref="AE60:AF60" si="22">AE59*AE58</f>
        <v>3024</v>
      </c>
      <c r="AF60" s="44">
        <f t="shared" si="22"/>
        <v>19220</v>
      </c>
      <c r="AG60" s="43">
        <f t="shared" si="23"/>
        <v>22244</v>
      </c>
    </row>
    <row r="61" ht="15.75" customHeight="1">
      <c r="AD61" s="60" t="s">
        <v>94</v>
      </c>
      <c r="AE61" s="43" t="s">
        <v>32</v>
      </c>
      <c r="AF61" s="44" t="s">
        <v>32</v>
      </c>
      <c r="AG61" s="43">
        <f>AG60/0.95</f>
        <v>23414.73684</v>
      </c>
    </row>
    <row r="62" ht="15.75" customHeight="1">
      <c r="AD62" s="60" t="s">
        <v>54</v>
      </c>
      <c r="AE62" s="43" t="s">
        <v>32</v>
      </c>
      <c r="AF62" s="44" t="s">
        <v>32</v>
      </c>
      <c r="AG62" s="43">
        <f>AG61/220</f>
        <v>106.430622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7">
    <mergeCell ref="A1:A2"/>
    <mergeCell ref="B1:C1"/>
    <mergeCell ref="D1:D2"/>
    <mergeCell ref="E1:F1"/>
    <mergeCell ref="G1:J1"/>
    <mergeCell ref="M28:N28"/>
    <mergeCell ref="O28:O29"/>
    <mergeCell ref="P28:P29"/>
    <mergeCell ref="M55:N55"/>
    <mergeCell ref="Q28:Q29"/>
    <mergeCell ref="R28:R29"/>
    <mergeCell ref="S28:S29"/>
    <mergeCell ref="T28:T29"/>
    <mergeCell ref="Z28:AB28"/>
    <mergeCell ref="U28:U29"/>
    <mergeCell ref="V28:V29"/>
    <mergeCell ref="W28:Y28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10" width="7.63"/>
    <col customWidth="1" min="11" max="11" width="16.0"/>
    <col customWidth="1" min="12" max="12" width="13.38"/>
    <col customWidth="1" min="13" max="13" width="15.5"/>
    <col customWidth="1" min="14" max="14" width="12.0"/>
    <col customWidth="1" min="15" max="15" width="10.75"/>
    <col customWidth="1" min="16" max="16" width="9.63"/>
    <col customWidth="1" min="17" max="17" width="10.38"/>
    <col customWidth="1" min="18" max="18" width="11.75"/>
    <col customWidth="1" min="19" max="19" width="10.38"/>
    <col customWidth="1" min="20" max="20" width="12.63"/>
    <col customWidth="1" min="21" max="21" width="8.63"/>
    <col customWidth="1" min="22" max="28" width="7.63"/>
  </cols>
  <sheetData>
    <row r="1" ht="15.0" customHeight="1">
      <c r="A1" s="6" t="s">
        <v>13</v>
      </c>
      <c r="B1" s="7" t="s">
        <v>14</v>
      </c>
      <c r="C1" s="8"/>
      <c r="D1" s="9" t="s">
        <v>15</v>
      </c>
      <c r="E1" s="7" t="s">
        <v>16</v>
      </c>
      <c r="F1" s="10"/>
      <c r="G1" s="7" t="s">
        <v>17</v>
      </c>
      <c r="H1" s="10"/>
      <c r="I1" s="10"/>
      <c r="J1" s="36"/>
    </row>
    <row r="2">
      <c r="A2" s="11"/>
      <c r="B2" s="12" t="s">
        <v>18</v>
      </c>
      <c r="C2" s="13" t="s">
        <v>19</v>
      </c>
      <c r="D2" s="14"/>
      <c r="E2" s="15" t="s">
        <v>20</v>
      </c>
      <c r="F2" s="16" t="s">
        <v>21</v>
      </c>
      <c r="G2" s="62" t="s">
        <v>22</v>
      </c>
      <c r="H2" s="16" t="s">
        <v>23</v>
      </c>
      <c r="I2" s="62" t="s">
        <v>24</v>
      </c>
      <c r="J2" s="41" t="s">
        <v>21</v>
      </c>
    </row>
    <row r="3">
      <c r="A3" s="63" t="s">
        <v>95</v>
      </c>
      <c r="B3" s="18">
        <v>1.95</v>
      </c>
      <c r="C3" s="18">
        <v>5.6</v>
      </c>
      <c r="D3" s="19">
        <f t="shared" ref="D3:D4" si="1">IF(B3&lt;=6,100,100+ROUNDDOWN((B3-6)/4,0)*60)</f>
        <v>100</v>
      </c>
      <c r="E3" s="3">
        <v>2.0</v>
      </c>
      <c r="F3" s="19">
        <f>IF(E3&lt;4,E3*600,1800+(E3-3)*100)</f>
        <v>1200</v>
      </c>
      <c r="G3" s="64" t="s">
        <v>96</v>
      </c>
      <c r="H3" s="65">
        <v>2200.0</v>
      </c>
      <c r="I3" s="66">
        <v>0.85</v>
      </c>
      <c r="J3" s="67">
        <f>H3/I3</f>
        <v>2588.235294</v>
      </c>
    </row>
    <row r="4">
      <c r="A4" s="63" t="s">
        <v>33</v>
      </c>
      <c r="B4" s="18">
        <v>8.0625</v>
      </c>
      <c r="C4" s="18">
        <v>11.8</v>
      </c>
      <c r="D4" s="19">
        <f t="shared" si="1"/>
        <v>100</v>
      </c>
      <c r="E4" s="19">
        <f>IF(B4&lt;=6,1,ROUNDUP(C4/5,0))</f>
        <v>3</v>
      </c>
      <c r="F4" s="19">
        <f t="shared" ref="F4:F10" si="2">E4*100</f>
        <v>300</v>
      </c>
      <c r="G4" s="68"/>
      <c r="H4" s="66"/>
      <c r="I4" s="66"/>
      <c r="J4" s="66"/>
    </row>
    <row r="5">
      <c r="A5" s="69" t="s">
        <v>97</v>
      </c>
      <c r="B5" s="18">
        <f>3.3585</f>
        <v>3.3585</v>
      </c>
      <c r="C5" s="18">
        <f>7.86</f>
        <v>7.86</v>
      </c>
      <c r="D5" s="3">
        <v>100.0</v>
      </c>
      <c r="E5" s="3">
        <v>1.0</v>
      </c>
      <c r="F5" s="19">
        <f t="shared" si="2"/>
        <v>100</v>
      </c>
      <c r="G5" s="68"/>
      <c r="H5" s="66"/>
      <c r="I5" s="66"/>
      <c r="J5" s="66"/>
    </row>
    <row r="6">
      <c r="A6" s="69" t="s">
        <v>98</v>
      </c>
      <c r="B6" s="18">
        <v>12.4844</v>
      </c>
      <c r="C6" s="18">
        <v>18.42</v>
      </c>
      <c r="D6" s="3">
        <v>200.0</v>
      </c>
      <c r="E6" s="3">
        <f t="shared" ref="E6:E7" si="3">IF(B6&lt;=6,1,ROUNDUP(C6/5,0))</f>
        <v>4</v>
      </c>
      <c r="F6" s="19">
        <f t="shared" si="2"/>
        <v>400</v>
      </c>
      <c r="G6" s="68"/>
      <c r="H6" s="66"/>
      <c r="I6" s="66"/>
      <c r="J6" s="66"/>
    </row>
    <row r="7">
      <c r="A7" s="63" t="s">
        <v>99</v>
      </c>
      <c r="B7" s="18">
        <v>11.553</v>
      </c>
      <c r="C7" s="18">
        <v>14.56</v>
      </c>
      <c r="D7" s="19">
        <f t="shared" ref="D7:D8" si="4">IF(B7&lt;=6,100,100+ROUNDDOWN((B7-6)/4,0)*60)</f>
        <v>160</v>
      </c>
      <c r="E7" s="19">
        <f t="shared" si="3"/>
        <v>3</v>
      </c>
      <c r="F7" s="19">
        <f t="shared" si="2"/>
        <v>300</v>
      </c>
      <c r="G7" s="66"/>
      <c r="H7" s="66"/>
      <c r="I7" s="66"/>
      <c r="J7" s="66"/>
    </row>
    <row r="8">
      <c r="A8" s="63" t="s">
        <v>100</v>
      </c>
      <c r="B8" s="18">
        <v>2.2605</v>
      </c>
      <c r="C8" s="18">
        <v>6.64</v>
      </c>
      <c r="D8" s="19">
        <f t="shared" si="4"/>
        <v>100</v>
      </c>
      <c r="E8" s="19">
        <v>3.0</v>
      </c>
      <c r="F8" s="19">
        <f t="shared" si="2"/>
        <v>300</v>
      </c>
      <c r="G8" s="68"/>
      <c r="H8" s="66"/>
      <c r="I8" s="66"/>
      <c r="J8" s="66"/>
    </row>
    <row r="9">
      <c r="A9" s="63" t="s">
        <v>101</v>
      </c>
      <c r="B9" s="18">
        <v>66.4914</v>
      </c>
      <c r="C9" s="18">
        <v>39.0662</v>
      </c>
      <c r="D9" s="3">
        <v>1200.0</v>
      </c>
      <c r="E9" s="3">
        <v>9.0</v>
      </c>
      <c r="F9" s="19">
        <f t="shared" si="2"/>
        <v>900</v>
      </c>
      <c r="G9" s="64" t="s">
        <v>102</v>
      </c>
      <c r="H9" s="66">
        <f>5*1450</f>
        <v>7250</v>
      </c>
      <c r="I9" s="66">
        <f>0.85</f>
        <v>0.85</v>
      </c>
      <c r="J9" s="67">
        <f>H9/I9</f>
        <v>8529.411765</v>
      </c>
    </row>
    <row r="10">
      <c r="A10" s="63" t="s">
        <v>103</v>
      </c>
      <c r="B10" s="18">
        <v>3.211</v>
      </c>
      <c r="C10" s="18">
        <v>7.54</v>
      </c>
      <c r="D10" s="19">
        <f t="shared" ref="D10:D11" si="5">IF(B10&lt;=6,100,100+ROUNDDOWN((B10-6)/4,0)*60)</f>
        <v>100</v>
      </c>
      <c r="E10" s="19">
        <f t="shared" ref="E10:E13" si="6">IF(B10&lt;=6,1,ROUNDUP(C10/5,0))</f>
        <v>1</v>
      </c>
      <c r="F10" s="19">
        <f t="shared" si="2"/>
        <v>100</v>
      </c>
      <c r="G10" s="68"/>
      <c r="H10" s="66"/>
      <c r="I10" s="66"/>
      <c r="J10" s="66"/>
    </row>
    <row r="11">
      <c r="A11" s="63" t="s">
        <v>49</v>
      </c>
      <c r="B11" s="18">
        <v>1.4025</v>
      </c>
      <c r="C11" s="18">
        <v>5.0</v>
      </c>
      <c r="D11" s="19">
        <f t="shared" si="5"/>
        <v>100</v>
      </c>
      <c r="E11" s="19">
        <f t="shared" si="6"/>
        <v>1</v>
      </c>
      <c r="F11" s="19">
        <f t="shared" ref="F11:F13" si="7">IF(E11&lt;4,E11*600,1800+(E11-3)*100)</f>
        <v>600</v>
      </c>
      <c r="G11" s="68"/>
      <c r="H11" s="66"/>
      <c r="I11" s="66"/>
      <c r="J11" s="66"/>
    </row>
    <row r="12">
      <c r="A12" s="63" t="s">
        <v>104</v>
      </c>
      <c r="B12" s="18">
        <v>4.1932</v>
      </c>
      <c r="C12" s="18">
        <v>9.1493</v>
      </c>
      <c r="D12" s="3">
        <v>120.0</v>
      </c>
      <c r="E12" s="19">
        <f t="shared" si="6"/>
        <v>1</v>
      </c>
      <c r="F12" s="19">
        <f t="shared" si="7"/>
        <v>600</v>
      </c>
      <c r="G12" s="68"/>
      <c r="H12" s="66"/>
      <c r="I12" s="66"/>
      <c r="J12" s="66"/>
      <c r="K12" s="70"/>
    </row>
    <row r="13">
      <c r="A13" s="63" t="s">
        <v>105</v>
      </c>
      <c r="B13" s="18">
        <v>4.2325</v>
      </c>
      <c r="C13" s="24">
        <v>10.2729</v>
      </c>
      <c r="D13" s="3">
        <v>120.0</v>
      </c>
      <c r="E13" s="19">
        <f t="shared" si="6"/>
        <v>1</v>
      </c>
      <c r="F13" s="19">
        <f t="shared" si="7"/>
        <v>600</v>
      </c>
      <c r="G13" s="68"/>
      <c r="H13" s="71"/>
      <c r="I13" s="71"/>
      <c r="J13" s="71"/>
      <c r="K13" s="70"/>
    </row>
    <row r="14">
      <c r="A14" s="72" t="s">
        <v>50</v>
      </c>
      <c r="B14" s="73">
        <f>SUM(B3:B13)</f>
        <v>119.1995</v>
      </c>
      <c r="C14" s="27" t="s">
        <v>32</v>
      </c>
      <c r="D14" s="28">
        <f t="shared" ref="D14:F14" si="8">SUM(D3:D13)</f>
        <v>2400</v>
      </c>
      <c r="E14" s="28">
        <f t="shared" si="8"/>
        <v>29</v>
      </c>
      <c r="F14" s="28">
        <f t="shared" si="8"/>
        <v>5400</v>
      </c>
      <c r="G14" s="74"/>
      <c r="H14" s="75"/>
      <c r="I14" s="75"/>
      <c r="J14" s="75"/>
    </row>
    <row r="17">
      <c r="K17" s="30" t="s">
        <v>51</v>
      </c>
      <c r="L17" s="8"/>
      <c r="M17" s="9" t="s">
        <v>52</v>
      </c>
      <c r="N17" s="9" t="s">
        <v>53</v>
      </c>
      <c r="O17" s="9" t="s">
        <v>21</v>
      </c>
      <c r="P17" s="9" t="s">
        <v>54</v>
      </c>
      <c r="Q17" s="9" t="s">
        <v>55</v>
      </c>
      <c r="R17" s="9" t="s">
        <v>56</v>
      </c>
      <c r="S17" s="9" t="s">
        <v>57</v>
      </c>
      <c r="T17" s="9" t="s">
        <v>58</v>
      </c>
      <c r="U17" s="7" t="s">
        <v>60</v>
      </c>
      <c r="V17" s="10"/>
      <c r="W17" s="36"/>
    </row>
    <row r="18">
      <c r="K18" s="37" t="s">
        <v>5</v>
      </c>
      <c r="L18" s="16" t="s">
        <v>61</v>
      </c>
      <c r="M18" s="14"/>
      <c r="N18" s="14"/>
      <c r="O18" s="14"/>
      <c r="P18" s="14"/>
      <c r="Q18" s="14"/>
      <c r="R18" s="14"/>
      <c r="S18" s="14"/>
      <c r="T18" s="14"/>
      <c r="U18" s="16" t="s">
        <v>61</v>
      </c>
      <c r="V18" s="16" t="s">
        <v>65</v>
      </c>
      <c r="W18" s="41" t="s">
        <v>66</v>
      </c>
    </row>
    <row r="19">
      <c r="K19" s="42">
        <v>1.0</v>
      </c>
      <c r="L19" s="44" t="s">
        <v>106</v>
      </c>
      <c r="M19" s="42">
        <v>220.0</v>
      </c>
      <c r="N19" s="19" t="str">
        <f>CONCATENATE(A3,CHAR(10),A7,CHAR(10),A10,CHAR(10),A11,CHAR(10),A5,CHAR(10),A6,CHAR(10),A8)</f>
        <v>Copa
Medição
Vestiário
WC
Hall de saída
Hall da portaria
Portaria</v>
      </c>
      <c r="O19" s="43">
        <f>SUM(D3,D7,D10,D11,D5,D6,D8)</f>
        <v>860</v>
      </c>
      <c r="P19" s="43">
        <f t="shared" ref="P19:P30" si="9">O19/M19</f>
        <v>3.909090909</v>
      </c>
      <c r="Q19" s="43">
        <f t="shared" ref="Q19:Q30" si="10">P19/0.8</f>
        <v>4.886363636</v>
      </c>
      <c r="R19" s="44">
        <v>15.5</v>
      </c>
      <c r="S19" s="44">
        <v>3.0</v>
      </c>
      <c r="T19" s="44" t="s">
        <v>7</v>
      </c>
      <c r="U19" s="42"/>
      <c r="V19" s="42"/>
      <c r="W19" s="42" t="str">
        <f t="shared" ref="W19:W20" si="11">CONCATENATE("10",CHAR(10),"25")</f>
        <v>10
25</v>
      </c>
    </row>
    <row r="20">
      <c r="K20" s="42">
        <v>2.0</v>
      </c>
      <c r="L20" s="44" t="s">
        <v>107</v>
      </c>
      <c r="M20" s="42">
        <v>220.0</v>
      </c>
      <c r="N20" s="19" t="str">
        <f>CONCATENATE(A12,CHAR(10),A13,CHAR(10),A9,CHAR(10),A4)</f>
        <v>WC Fem.
WC Masc.
Salão de festas
Depósito</v>
      </c>
      <c r="O20" s="42">
        <f>SUM(D12,D13,D9,D4)</f>
        <v>1540</v>
      </c>
      <c r="P20" s="43">
        <f t="shared" si="9"/>
        <v>7</v>
      </c>
      <c r="Q20" s="43">
        <f t="shared" si="10"/>
        <v>8.75</v>
      </c>
      <c r="R20" s="44">
        <v>15.5</v>
      </c>
      <c r="S20" s="44">
        <v>3.0</v>
      </c>
      <c r="T20" s="44" t="s">
        <v>7</v>
      </c>
      <c r="U20" s="42"/>
      <c r="V20" s="42"/>
      <c r="W20" s="42" t="str">
        <f t="shared" si="11"/>
        <v>10
25</v>
      </c>
    </row>
    <row r="21">
      <c r="K21" s="44">
        <v>3.0</v>
      </c>
      <c r="L21" s="42" t="s">
        <v>71</v>
      </c>
      <c r="M21" s="42">
        <v>220.0</v>
      </c>
      <c r="N21" s="19" t="str">
        <f>CONCATENATE(A12,CHAR(10),A13,CHAR(10),A9)</f>
        <v>WC Fem.
WC Masc.
Salão de festas</v>
      </c>
      <c r="O21" s="42">
        <f>SUM(F12,F13,F9)</f>
        <v>2100</v>
      </c>
      <c r="P21" s="43">
        <f t="shared" si="9"/>
        <v>9.545454545</v>
      </c>
      <c r="Q21" s="43">
        <f t="shared" si="10"/>
        <v>11.93181818</v>
      </c>
      <c r="R21" s="44">
        <v>21.0</v>
      </c>
      <c r="S21" s="44">
        <v>3.0</v>
      </c>
      <c r="T21" s="44" t="s">
        <v>11</v>
      </c>
      <c r="U21" s="42"/>
      <c r="V21" s="42"/>
      <c r="W21" s="42" t="str">
        <f t="shared" ref="W21:W30" si="12">CONCATENATE("15",CHAR(10),"25")</f>
        <v>15
25</v>
      </c>
    </row>
    <row r="22">
      <c r="K22" s="42">
        <v>4.0</v>
      </c>
      <c r="L22" s="42" t="s">
        <v>71</v>
      </c>
      <c r="M22" s="42">
        <v>220.0</v>
      </c>
      <c r="N22" s="19" t="str">
        <f>CONCATENATE(A4,CHAR(10),A5,CHAR(10),A6,CHAR(10),A7)</f>
        <v>Depósito
Hall de saída
Hall da portaria
Medição</v>
      </c>
      <c r="O22" s="42">
        <f>SUM(F4:F7)</f>
        <v>1100</v>
      </c>
      <c r="P22" s="43">
        <f t="shared" si="9"/>
        <v>5</v>
      </c>
      <c r="Q22" s="43">
        <f t="shared" si="10"/>
        <v>6.25</v>
      </c>
      <c r="R22" s="44">
        <v>21.0</v>
      </c>
      <c r="S22" s="44">
        <v>3.0</v>
      </c>
      <c r="T22" s="44" t="s">
        <v>11</v>
      </c>
      <c r="U22" s="42"/>
      <c r="V22" s="42"/>
      <c r="W22" s="42" t="str">
        <f t="shared" si="12"/>
        <v>15
25</v>
      </c>
    </row>
    <row r="23">
      <c r="K23" s="42">
        <v>5.0</v>
      </c>
      <c r="L23" s="42" t="s">
        <v>71</v>
      </c>
      <c r="M23" s="42">
        <v>220.0</v>
      </c>
      <c r="N23" s="19" t="str">
        <f>CONCATENATE(A8,CHAR(10),A10,CHAR(10),A11)</f>
        <v>Portaria
Vestiário
WC</v>
      </c>
      <c r="O23" s="42">
        <f>SUM(F8,F10,F11)</f>
        <v>1000</v>
      </c>
      <c r="P23" s="43">
        <f t="shared" si="9"/>
        <v>4.545454545</v>
      </c>
      <c r="Q23" s="43">
        <f t="shared" si="10"/>
        <v>5.681818182</v>
      </c>
      <c r="R23" s="44">
        <v>21.0</v>
      </c>
      <c r="S23" s="44">
        <v>3.0</v>
      </c>
      <c r="T23" s="44" t="s">
        <v>11</v>
      </c>
      <c r="U23" s="42"/>
      <c r="V23" s="42"/>
      <c r="W23" s="42" t="str">
        <f t="shared" si="12"/>
        <v>15
25</v>
      </c>
    </row>
    <row r="24">
      <c r="K24" s="44">
        <v>6.0</v>
      </c>
      <c r="L24" s="42" t="s">
        <v>71</v>
      </c>
      <c r="M24" s="42">
        <v>220.0</v>
      </c>
      <c r="N24" s="19" t="str">
        <f>CONCATENATE(A3)</f>
        <v>Copa</v>
      </c>
      <c r="O24" s="42">
        <f>SUM(F3)</f>
        <v>1200</v>
      </c>
      <c r="P24" s="43">
        <f t="shared" si="9"/>
        <v>5.454545455</v>
      </c>
      <c r="Q24" s="43">
        <f t="shared" si="10"/>
        <v>6.818181818</v>
      </c>
      <c r="R24" s="44">
        <v>21.0</v>
      </c>
      <c r="S24" s="44">
        <v>3.0</v>
      </c>
      <c r="T24" s="44" t="s">
        <v>11</v>
      </c>
      <c r="U24" s="42"/>
      <c r="V24" s="42"/>
      <c r="W24" s="42" t="str">
        <f t="shared" si="12"/>
        <v>15
25</v>
      </c>
    </row>
    <row r="25">
      <c r="K25" s="42">
        <v>7.0</v>
      </c>
      <c r="L25" s="42" t="s">
        <v>72</v>
      </c>
      <c r="M25" s="42">
        <v>220.0</v>
      </c>
      <c r="N25" s="19" t="s">
        <v>77</v>
      </c>
      <c r="O25" s="51">
        <f>J9/5</f>
        <v>1705.882353</v>
      </c>
      <c r="P25" s="43">
        <f t="shared" si="9"/>
        <v>7.754010695</v>
      </c>
      <c r="Q25" s="43">
        <f t="shared" si="10"/>
        <v>9.692513369</v>
      </c>
      <c r="R25" s="44">
        <v>21.0</v>
      </c>
      <c r="S25" s="44">
        <v>3.0</v>
      </c>
      <c r="T25" s="44" t="s">
        <v>11</v>
      </c>
      <c r="U25" s="42"/>
      <c r="V25" s="42"/>
      <c r="W25" s="42" t="str">
        <f t="shared" si="12"/>
        <v>15
25</v>
      </c>
    </row>
    <row r="26">
      <c r="K26" s="42">
        <v>8.0</v>
      </c>
      <c r="L26" s="42" t="s">
        <v>72</v>
      </c>
      <c r="M26" s="42">
        <v>220.0</v>
      </c>
      <c r="N26" s="19" t="s">
        <v>78</v>
      </c>
      <c r="O26" s="51">
        <f>J9/5</f>
        <v>1705.882353</v>
      </c>
      <c r="P26" s="43">
        <f t="shared" si="9"/>
        <v>7.754010695</v>
      </c>
      <c r="Q26" s="43">
        <f t="shared" si="10"/>
        <v>9.692513369</v>
      </c>
      <c r="R26" s="44">
        <v>21.0</v>
      </c>
      <c r="S26" s="44">
        <v>3.0</v>
      </c>
      <c r="T26" s="44" t="s">
        <v>11</v>
      </c>
      <c r="U26" s="42"/>
      <c r="V26" s="42"/>
      <c r="W26" s="42" t="str">
        <f t="shared" si="12"/>
        <v>15
25</v>
      </c>
    </row>
    <row r="27">
      <c r="K27" s="44">
        <v>9.0</v>
      </c>
      <c r="L27" s="42" t="s">
        <v>72</v>
      </c>
      <c r="M27" s="42">
        <v>220.0</v>
      </c>
      <c r="N27" s="19" t="s">
        <v>79</v>
      </c>
      <c r="O27" s="51">
        <f>J9/5</f>
        <v>1705.882353</v>
      </c>
      <c r="P27" s="43">
        <f t="shared" si="9"/>
        <v>7.754010695</v>
      </c>
      <c r="Q27" s="43">
        <f t="shared" si="10"/>
        <v>9.692513369</v>
      </c>
      <c r="R27" s="44">
        <v>21.0</v>
      </c>
      <c r="S27" s="44">
        <v>3.0</v>
      </c>
      <c r="T27" s="44" t="s">
        <v>11</v>
      </c>
      <c r="U27" s="42"/>
      <c r="V27" s="42"/>
      <c r="W27" s="42" t="str">
        <f t="shared" si="12"/>
        <v>15
25</v>
      </c>
    </row>
    <row r="28">
      <c r="K28" s="42">
        <v>10.0</v>
      </c>
      <c r="L28" s="42" t="s">
        <v>72</v>
      </c>
      <c r="M28" s="42">
        <v>220.0</v>
      </c>
      <c r="N28" s="19" t="s">
        <v>80</v>
      </c>
      <c r="O28" s="51">
        <f>J9/5</f>
        <v>1705.882353</v>
      </c>
      <c r="P28" s="43">
        <f t="shared" si="9"/>
        <v>7.754010695</v>
      </c>
      <c r="Q28" s="43">
        <f t="shared" si="10"/>
        <v>9.692513369</v>
      </c>
      <c r="R28" s="44">
        <v>21.0</v>
      </c>
      <c r="S28" s="44">
        <v>3.0</v>
      </c>
      <c r="T28" s="44" t="s">
        <v>11</v>
      </c>
      <c r="U28" s="42"/>
      <c r="V28" s="42"/>
      <c r="W28" s="42" t="str">
        <f t="shared" si="12"/>
        <v>15
25</v>
      </c>
    </row>
    <row r="29">
      <c r="K29" s="42">
        <v>11.0</v>
      </c>
      <c r="L29" s="42" t="s">
        <v>72</v>
      </c>
      <c r="M29" s="42">
        <v>220.0</v>
      </c>
      <c r="N29" s="3" t="s">
        <v>108</v>
      </c>
      <c r="O29" s="51">
        <f>J9/5</f>
        <v>1705.882353</v>
      </c>
      <c r="P29" s="43">
        <f t="shared" si="9"/>
        <v>7.754010695</v>
      </c>
      <c r="Q29" s="43">
        <f t="shared" si="10"/>
        <v>9.692513369</v>
      </c>
      <c r="R29" s="44">
        <v>21.0</v>
      </c>
      <c r="S29" s="44">
        <v>3.0</v>
      </c>
      <c r="T29" s="44" t="s">
        <v>11</v>
      </c>
      <c r="U29" s="42"/>
      <c r="V29" s="42"/>
      <c r="W29" s="42" t="str">
        <f t="shared" si="12"/>
        <v>15
25</v>
      </c>
    </row>
    <row r="30">
      <c r="K30" s="44">
        <v>12.0</v>
      </c>
      <c r="L30" s="42" t="s">
        <v>72</v>
      </c>
      <c r="M30" s="42">
        <v>220.0</v>
      </c>
      <c r="N30" s="3" t="s">
        <v>83</v>
      </c>
      <c r="O30" s="43">
        <f>J3</f>
        <v>2588.235294</v>
      </c>
      <c r="P30" s="43">
        <f t="shared" si="9"/>
        <v>11.76470588</v>
      </c>
      <c r="Q30" s="43">
        <f t="shared" si="10"/>
        <v>14.70588235</v>
      </c>
      <c r="R30" s="44">
        <v>21.0</v>
      </c>
      <c r="S30" s="44">
        <v>3.0</v>
      </c>
      <c r="T30" s="44" t="s">
        <v>11</v>
      </c>
      <c r="U30" s="42"/>
      <c r="V30" s="42"/>
      <c r="W30" s="42" t="str">
        <f t="shared" si="12"/>
        <v>15
25</v>
      </c>
    </row>
    <row r="31" ht="15.75" customHeight="1">
      <c r="K31" s="55" t="s">
        <v>87</v>
      </c>
      <c r="L31" s="56"/>
      <c r="M31" s="44">
        <v>220.0</v>
      </c>
      <c r="N31" s="57"/>
      <c r="O31" s="43"/>
      <c r="P31" s="43"/>
      <c r="Q31" s="43"/>
      <c r="R31" s="54"/>
      <c r="S31" s="54"/>
      <c r="T31" s="54"/>
      <c r="U31" s="54"/>
      <c r="V31" s="54"/>
      <c r="W31" s="54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6">
    <mergeCell ref="N17:N18"/>
    <mergeCell ref="O17:O18"/>
    <mergeCell ref="P17:P18"/>
    <mergeCell ref="Q17:Q18"/>
    <mergeCell ref="R17:R18"/>
    <mergeCell ref="S17:S18"/>
    <mergeCell ref="T17:T18"/>
    <mergeCell ref="U17:W17"/>
    <mergeCell ref="A1:A2"/>
    <mergeCell ref="B1:C1"/>
    <mergeCell ref="D1:D2"/>
    <mergeCell ref="E1:F1"/>
    <mergeCell ref="G1:J1"/>
    <mergeCell ref="K17:L17"/>
    <mergeCell ref="M17:M18"/>
    <mergeCell ref="K31:L31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7" max="7" width="30.63"/>
    <col customWidth="1" min="13" max="13" width="14.5"/>
  </cols>
  <sheetData>
    <row r="1">
      <c r="A1" s="6" t="s">
        <v>13</v>
      </c>
      <c r="B1" s="7" t="s">
        <v>14</v>
      </c>
      <c r="C1" s="8"/>
      <c r="D1" s="9" t="s">
        <v>15</v>
      </c>
      <c r="E1" s="7" t="s">
        <v>16</v>
      </c>
      <c r="F1" s="10"/>
      <c r="G1" s="7" t="s">
        <v>17</v>
      </c>
      <c r="H1" s="10"/>
      <c r="I1" s="10"/>
      <c r="J1" s="36"/>
    </row>
    <row r="2">
      <c r="A2" s="11"/>
      <c r="B2" s="12" t="s">
        <v>18</v>
      </c>
      <c r="C2" s="13" t="s">
        <v>19</v>
      </c>
      <c r="D2" s="14"/>
      <c r="E2" s="15" t="s">
        <v>20</v>
      </c>
      <c r="F2" s="16" t="s">
        <v>21</v>
      </c>
      <c r="G2" s="62" t="s">
        <v>22</v>
      </c>
      <c r="H2" s="16" t="s">
        <v>23</v>
      </c>
      <c r="I2" s="62" t="s">
        <v>24</v>
      </c>
      <c r="J2" s="41" t="s">
        <v>21</v>
      </c>
    </row>
    <row r="3">
      <c r="A3" s="63" t="s">
        <v>95</v>
      </c>
      <c r="B3" s="18">
        <v>1.95</v>
      </c>
      <c r="C3" s="18">
        <v>5.6</v>
      </c>
      <c r="D3" s="19">
        <f t="shared" ref="D3:D21" si="1">IF(B3&lt;=6,100,100+ROUNDDOWN((B3-6)/4,0)*60)</f>
        <v>100</v>
      </c>
      <c r="E3" s="19">
        <v>3.0</v>
      </c>
      <c r="F3" s="19">
        <f>IF(E3&lt;4,E3*600,1800+(E3-3)*100)</f>
        <v>1800</v>
      </c>
      <c r="G3" s="64" t="s">
        <v>96</v>
      </c>
      <c r="H3" s="66">
        <v>2000.0</v>
      </c>
      <c r="I3" s="66">
        <v>0.85</v>
      </c>
      <c r="J3" s="67">
        <f>H3/I3</f>
        <v>2352.941176</v>
      </c>
    </row>
    <row r="4">
      <c r="A4" s="63" t="s">
        <v>33</v>
      </c>
      <c r="B4" s="18">
        <v>8.0625</v>
      </c>
      <c r="C4" s="18">
        <v>11.8</v>
      </c>
      <c r="D4" s="19">
        <f t="shared" si="1"/>
        <v>100</v>
      </c>
      <c r="E4" s="19">
        <f t="shared" ref="E4:E7" si="2">IF(B4&lt;=6,1,ROUNDUP(C4/5,0))</f>
        <v>3</v>
      </c>
      <c r="F4" s="19">
        <f t="shared" ref="F4:F10" si="3">E4*100</f>
        <v>300</v>
      </c>
      <c r="G4" s="68"/>
      <c r="H4" s="66"/>
      <c r="I4" s="66"/>
      <c r="J4" s="66"/>
    </row>
    <row r="5">
      <c r="A5" s="63" t="s">
        <v>42</v>
      </c>
      <c r="B5" s="18">
        <v>3.3585</v>
      </c>
      <c r="C5" s="18">
        <v>7.86</v>
      </c>
      <c r="D5" s="19">
        <f t="shared" si="1"/>
        <v>100</v>
      </c>
      <c r="E5" s="19">
        <f t="shared" si="2"/>
        <v>1</v>
      </c>
      <c r="F5" s="19">
        <f t="shared" si="3"/>
        <v>100</v>
      </c>
      <c r="G5" s="68"/>
      <c r="H5" s="66"/>
      <c r="I5" s="66"/>
      <c r="J5" s="66"/>
    </row>
    <row r="6">
      <c r="A6" s="63" t="s">
        <v>43</v>
      </c>
      <c r="B6" s="18">
        <v>12.4844</v>
      </c>
      <c r="C6" s="18">
        <v>18.42</v>
      </c>
      <c r="D6" s="19">
        <f t="shared" si="1"/>
        <v>160</v>
      </c>
      <c r="E6" s="19">
        <f t="shared" si="2"/>
        <v>4</v>
      </c>
      <c r="F6" s="19">
        <f t="shared" si="3"/>
        <v>400</v>
      </c>
      <c r="G6" s="68"/>
      <c r="H6" s="66"/>
      <c r="I6" s="66"/>
      <c r="J6" s="66"/>
    </row>
    <row r="7">
      <c r="A7" s="63" t="s">
        <v>99</v>
      </c>
      <c r="B7" s="18">
        <v>11.553</v>
      </c>
      <c r="C7" s="18">
        <v>14.56</v>
      </c>
      <c r="D7" s="19">
        <f t="shared" si="1"/>
        <v>160</v>
      </c>
      <c r="E7" s="19">
        <f t="shared" si="2"/>
        <v>3</v>
      </c>
      <c r="F7" s="19">
        <f t="shared" si="3"/>
        <v>300</v>
      </c>
      <c r="G7" s="66"/>
      <c r="H7" s="66"/>
      <c r="I7" s="66"/>
      <c r="J7" s="66"/>
    </row>
    <row r="8">
      <c r="A8" s="63" t="s">
        <v>100</v>
      </c>
      <c r="B8" s="18">
        <v>2.2605</v>
      </c>
      <c r="C8" s="18">
        <v>6.64</v>
      </c>
      <c r="D8" s="19">
        <f t="shared" si="1"/>
        <v>100</v>
      </c>
      <c r="E8" s="19">
        <v>3.0</v>
      </c>
      <c r="F8" s="19">
        <f t="shared" si="3"/>
        <v>300</v>
      </c>
      <c r="G8" s="68"/>
      <c r="H8" s="66"/>
      <c r="I8" s="66"/>
      <c r="J8" s="66"/>
    </row>
    <row r="9">
      <c r="A9" s="63" t="s">
        <v>101</v>
      </c>
      <c r="B9" s="18">
        <v>66.4914</v>
      </c>
      <c r="C9" s="18">
        <v>39.0662</v>
      </c>
      <c r="D9" s="19">
        <f t="shared" si="1"/>
        <v>1000</v>
      </c>
      <c r="E9" s="19">
        <f>IF(B9&lt;=6,1,ROUNDUP(C9/5,0))</f>
        <v>8</v>
      </c>
      <c r="F9" s="19">
        <f t="shared" si="3"/>
        <v>800</v>
      </c>
      <c r="G9" s="68" t="s">
        <v>109</v>
      </c>
      <c r="H9" s="66">
        <f>5*1200</f>
        <v>6000</v>
      </c>
      <c r="I9" s="66">
        <f>0.85</f>
        <v>0.85</v>
      </c>
      <c r="J9" s="67">
        <f>H9/I9</f>
        <v>7058.823529</v>
      </c>
    </row>
    <row r="10">
      <c r="A10" s="63" t="s">
        <v>103</v>
      </c>
      <c r="B10" s="18">
        <v>3.211</v>
      </c>
      <c r="C10" s="18">
        <v>7.54</v>
      </c>
      <c r="D10" s="19">
        <f t="shared" si="1"/>
        <v>100</v>
      </c>
      <c r="E10" s="19">
        <v>3.0</v>
      </c>
      <c r="F10" s="19">
        <f t="shared" si="3"/>
        <v>300</v>
      </c>
      <c r="G10" s="68"/>
      <c r="H10" s="66"/>
      <c r="I10" s="66"/>
      <c r="J10" s="66"/>
    </row>
    <row r="11">
      <c r="A11" s="63" t="s">
        <v>49</v>
      </c>
      <c r="B11" s="18">
        <v>1.4025</v>
      </c>
      <c r="C11" s="18">
        <v>5.0</v>
      </c>
      <c r="D11" s="19">
        <f t="shared" si="1"/>
        <v>100</v>
      </c>
      <c r="E11" s="19">
        <f t="shared" ref="E11:E13" si="4">IF(B11&lt;=6,1,ROUNDUP(C11/5,0))</f>
        <v>1</v>
      </c>
      <c r="F11" s="19">
        <f t="shared" ref="F11:F13" si="5">IF(E11&lt;4,E11*600,1800+(E11-3)*100)</f>
        <v>600</v>
      </c>
      <c r="G11" s="68"/>
      <c r="H11" s="66"/>
      <c r="I11" s="66"/>
      <c r="J11" s="66"/>
    </row>
    <row r="12">
      <c r="A12" s="63" t="s">
        <v>104</v>
      </c>
      <c r="B12" s="18">
        <v>4.1932</v>
      </c>
      <c r="C12" s="18">
        <v>9.1493</v>
      </c>
      <c r="D12" s="19">
        <f t="shared" si="1"/>
        <v>100</v>
      </c>
      <c r="E12" s="19">
        <f t="shared" si="4"/>
        <v>1</v>
      </c>
      <c r="F12" s="19">
        <f t="shared" si="5"/>
        <v>600</v>
      </c>
      <c r="G12" s="68"/>
      <c r="H12" s="66"/>
      <c r="I12" s="66"/>
      <c r="J12" s="66"/>
      <c r="K12" s="70" t="s">
        <v>110</v>
      </c>
    </row>
    <row r="13">
      <c r="A13" s="63" t="s">
        <v>105</v>
      </c>
      <c r="B13" s="18">
        <v>4.2325</v>
      </c>
      <c r="C13" s="24">
        <v>10.2729</v>
      </c>
      <c r="D13" s="19">
        <f t="shared" si="1"/>
        <v>100</v>
      </c>
      <c r="E13" s="19">
        <f t="shared" si="4"/>
        <v>1</v>
      </c>
      <c r="F13" s="19">
        <f t="shared" si="5"/>
        <v>600</v>
      </c>
      <c r="G13" s="68"/>
      <c r="H13" s="71"/>
      <c r="I13" s="71"/>
      <c r="J13" s="71"/>
      <c r="K13" s="70" t="s">
        <v>110</v>
      </c>
    </row>
    <row r="14">
      <c r="A14" s="76" t="s">
        <v>111</v>
      </c>
      <c r="B14" s="18">
        <v>11.165</v>
      </c>
      <c r="C14" s="18">
        <v>13.5</v>
      </c>
      <c r="D14" s="19">
        <f t="shared" si="1"/>
        <v>160</v>
      </c>
      <c r="E14" s="19">
        <v>1.0</v>
      </c>
      <c r="F14" s="19">
        <v>100.0</v>
      </c>
      <c r="G14" s="65" t="s">
        <v>112</v>
      </c>
      <c r="H14" s="65">
        <f>2* 3677.49</f>
        <v>7354.98</v>
      </c>
      <c r="I14" s="65">
        <v>0.85</v>
      </c>
      <c r="J14" s="65">
        <f t="shared" ref="J14:J15" si="6">H14/I14</f>
        <v>8652.917647</v>
      </c>
    </row>
    <row r="15">
      <c r="A15" s="76" t="s">
        <v>113</v>
      </c>
      <c r="B15" s="18">
        <v>2.475</v>
      </c>
      <c r="C15" s="18">
        <v>6.3</v>
      </c>
      <c r="D15" s="19">
        <f t="shared" si="1"/>
        <v>100</v>
      </c>
      <c r="E15" s="19">
        <f>IF(B15&lt;=6,1,ROUNDUP(C15/5,0))</f>
        <v>1</v>
      </c>
      <c r="F15" s="19">
        <f>IF(E15&lt;4,E15*600,1800+(E15-3)*100)</f>
        <v>600</v>
      </c>
      <c r="G15" s="66" t="s">
        <v>26</v>
      </c>
      <c r="H15" s="65">
        <v>5500.0</v>
      </c>
      <c r="I15" s="65">
        <v>1.0</v>
      </c>
      <c r="J15" s="65">
        <f t="shared" si="6"/>
        <v>5500</v>
      </c>
    </row>
    <row r="16">
      <c r="A16" s="76" t="s">
        <v>31</v>
      </c>
      <c r="B16" s="18">
        <v>5.0</v>
      </c>
      <c r="C16" s="18">
        <v>9.0</v>
      </c>
      <c r="D16" s="19">
        <f t="shared" si="1"/>
        <v>100</v>
      </c>
      <c r="E16" s="19">
        <v>4.0</v>
      </c>
      <c r="F16" s="19">
        <f>100*E16</f>
        <v>400</v>
      </c>
      <c r="G16" s="77"/>
      <c r="H16" s="77"/>
      <c r="I16" s="77"/>
      <c r="J16" s="77"/>
    </row>
    <row r="17">
      <c r="A17" s="76" t="s">
        <v>45</v>
      </c>
      <c r="B17" s="24">
        <v>13.5315</v>
      </c>
      <c r="C17" s="24">
        <v>18.37</v>
      </c>
      <c r="D17" s="25">
        <f t="shared" si="1"/>
        <v>160</v>
      </c>
      <c r="E17" s="25">
        <f>IF(B17&lt;=6,1,ROUNDUP(C17/3.5,0))</f>
        <v>6</v>
      </c>
      <c r="F17" s="25">
        <f>IF(E17&lt;4,E17*600,1800+(E17-3)*100)</f>
        <v>2100</v>
      </c>
      <c r="G17" s="78"/>
      <c r="H17" s="78"/>
      <c r="I17" s="78"/>
      <c r="J17" s="78"/>
    </row>
    <row r="18">
      <c r="A18" s="63" t="s">
        <v>114</v>
      </c>
      <c r="B18" s="25">
        <v>12.4581</v>
      </c>
      <c r="C18" s="25">
        <v>14.2</v>
      </c>
      <c r="D18" s="25">
        <f t="shared" si="1"/>
        <v>160</v>
      </c>
      <c r="E18" s="25">
        <f>IF(B18&lt;=6,1,ROUNDUP(C18/5,0))</f>
        <v>3</v>
      </c>
      <c r="F18" s="25">
        <f t="shared" ref="F18:F21" si="7">100*E18</f>
        <v>300</v>
      </c>
      <c r="G18" s="77"/>
      <c r="H18" s="77"/>
      <c r="I18" s="77"/>
      <c r="J18" s="77"/>
    </row>
    <row r="19">
      <c r="A19" s="76" t="s">
        <v>115</v>
      </c>
      <c r="B19" s="23">
        <v>597.76</v>
      </c>
      <c r="C19" s="18">
        <v>108.225</v>
      </c>
      <c r="D19" s="19">
        <f t="shared" si="1"/>
        <v>8920</v>
      </c>
      <c r="E19" s="19">
        <v>2.0</v>
      </c>
      <c r="F19" s="19">
        <f t="shared" si="7"/>
        <v>200</v>
      </c>
      <c r="G19" s="77"/>
      <c r="H19" s="77"/>
      <c r="I19" s="77"/>
      <c r="J19" s="77"/>
    </row>
    <row r="20">
      <c r="A20" s="76" t="s">
        <v>116</v>
      </c>
      <c r="B20" s="18">
        <v>3.3585</v>
      </c>
      <c r="C20" s="18">
        <v>7.86</v>
      </c>
      <c r="D20" s="19">
        <f t="shared" si="1"/>
        <v>100</v>
      </c>
      <c r="E20" s="19">
        <f t="shared" ref="E20:E21" si="8">IF(B20&lt;=6,1,ROUNDUP(C20/5,0))</f>
        <v>1</v>
      </c>
      <c r="F20" s="19">
        <f t="shared" si="7"/>
        <v>100</v>
      </c>
      <c r="G20" s="77"/>
      <c r="H20" s="77"/>
      <c r="I20" s="77"/>
      <c r="J20" s="77"/>
    </row>
    <row r="21">
      <c r="A21" s="76" t="s">
        <v>117</v>
      </c>
      <c r="B21" s="18">
        <v>10.27</v>
      </c>
      <c r="C21" s="67">
        <v>13.1</v>
      </c>
      <c r="D21" s="19">
        <f t="shared" si="1"/>
        <v>160</v>
      </c>
      <c r="E21" s="19">
        <f t="shared" si="8"/>
        <v>3</v>
      </c>
      <c r="F21" s="66">
        <f t="shared" si="7"/>
        <v>300</v>
      </c>
      <c r="G21" s="77"/>
      <c r="H21" s="77"/>
      <c r="I21" s="77"/>
      <c r="J21" s="77"/>
    </row>
    <row r="22">
      <c r="A22" s="79" t="s">
        <v>118</v>
      </c>
      <c r="B22" s="48" t="s">
        <v>32</v>
      </c>
      <c r="C22" s="48" t="s">
        <v>32</v>
      </c>
      <c r="D22" s="48" t="s">
        <v>32</v>
      </c>
      <c r="E22" s="48" t="s">
        <v>32</v>
      </c>
      <c r="F22" s="48" t="s">
        <v>32</v>
      </c>
      <c r="G22" s="48" t="s">
        <v>32</v>
      </c>
      <c r="H22" s="48">
        <v>112.0</v>
      </c>
      <c r="I22" s="48">
        <v>0.86</v>
      </c>
    </row>
    <row r="23">
      <c r="L23" s="30" t="s">
        <v>51</v>
      </c>
      <c r="M23" s="8"/>
      <c r="N23" s="9" t="s">
        <v>52</v>
      </c>
      <c r="O23" s="9" t="s">
        <v>53</v>
      </c>
      <c r="P23" s="9" t="s">
        <v>21</v>
      </c>
      <c r="Q23" s="9" t="s">
        <v>54</v>
      </c>
      <c r="R23" s="9" t="s">
        <v>55</v>
      </c>
      <c r="S23" s="9" t="s">
        <v>56</v>
      </c>
      <c r="T23" s="9" t="s">
        <v>57</v>
      </c>
      <c r="U23" s="9" t="s">
        <v>58</v>
      </c>
      <c r="V23" s="7" t="s">
        <v>60</v>
      </c>
      <c r="W23" s="10"/>
      <c r="X23" s="36"/>
    </row>
    <row r="24">
      <c r="L24" s="37" t="s">
        <v>5</v>
      </c>
      <c r="M24" s="16" t="s">
        <v>61</v>
      </c>
      <c r="N24" s="14"/>
      <c r="O24" s="14"/>
      <c r="P24" s="14"/>
      <c r="Q24" s="14"/>
      <c r="R24" s="14"/>
      <c r="S24" s="14"/>
      <c r="T24" s="14"/>
      <c r="U24" s="14"/>
      <c r="V24" s="16" t="s">
        <v>61</v>
      </c>
      <c r="W24" s="16" t="s">
        <v>65</v>
      </c>
      <c r="X24" s="41" t="s">
        <v>66</v>
      </c>
    </row>
    <row r="25">
      <c r="L25" s="80">
        <v>1.0</v>
      </c>
      <c r="M25" s="19" t="s">
        <v>106</v>
      </c>
      <c r="N25" s="19">
        <v>220.0</v>
      </c>
      <c r="O25" s="19" t="s">
        <v>119</v>
      </c>
      <c r="P25" s="19">
        <v>820.0</v>
      </c>
      <c r="Q25" s="18">
        <v>3.727272727272727</v>
      </c>
      <c r="R25" s="18">
        <v>4.659090909090908</v>
      </c>
      <c r="S25" s="19">
        <v>15.5</v>
      </c>
      <c r="T25" s="19">
        <v>3.0</v>
      </c>
      <c r="U25" s="19" t="s">
        <v>7</v>
      </c>
      <c r="V25" s="19"/>
      <c r="W25" s="19"/>
      <c r="X25" s="19" t="s">
        <v>120</v>
      </c>
    </row>
    <row r="26">
      <c r="L26" s="19">
        <v>2.0</v>
      </c>
      <c r="M26" s="19" t="s">
        <v>107</v>
      </c>
      <c r="N26" s="19">
        <v>220.0</v>
      </c>
      <c r="O26" s="19" t="s">
        <v>121</v>
      </c>
      <c r="P26" s="19">
        <v>1300.0</v>
      </c>
      <c r="Q26" s="18">
        <v>5.909090909090909</v>
      </c>
      <c r="R26" s="18">
        <v>7.386363636363636</v>
      </c>
      <c r="S26" s="19">
        <v>15.5</v>
      </c>
      <c r="T26" s="19">
        <v>3.0</v>
      </c>
      <c r="U26" s="19" t="s">
        <v>7</v>
      </c>
      <c r="V26" s="19"/>
      <c r="W26" s="19"/>
      <c r="X26" s="19" t="s">
        <v>120</v>
      </c>
    </row>
    <row r="27">
      <c r="L27" s="19">
        <v>3.0</v>
      </c>
      <c r="M27" s="19" t="s">
        <v>71</v>
      </c>
      <c r="N27" s="19">
        <v>220.0</v>
      </c>
      <c r="O27" s="19" t="s">
        <v>122</v>
      </c>
      <c r="P27" s="19">
        <v>2200.0</v>
      </c>
      <c r="Q27" s="18">
        <v>10.0</v>
      </c>
      <c r="R27" s="18">
        <v>12.5</v>
      </c>
      <c r="S27" s="19">
        <v>21.0</v>
      </c>
      <c r="T27" s="19">
        <v>3.0</v>
      </c>
      <c r="U27" s="19" t="s">
        <v>11</v>
      </c>
      <c r="V27" s="19"/>
      <c r="W27" s="19"/>
      <c r="X27" s="19" t="s">
        <v>123</v>
      </c>
    </row>
    <row r="28">
      <c r="L28" s="19">
        <v>4.0</v>
      </c>
      <c r="M28" s="19" t="s">
        <v>71</v>
      </c>
      <c r="N28" s="19">
        <v>220.0</v>
      </c>
      <c r="O28" s="19" t="s">
        <v>95</v>
      </c>
      <c r="P28" s="19">
        <v>1800.0</v>
      </c>
      <c r="Q28" s="18">
        <v>8.181818181818182</v>
      </c>
      <c r="R28" s="18">
        <v>10.227272727272727</v>
      </c>
      <c r="S28" s="19">
        <v>21.0</v>
      </c>
      <c r="T28" s="19">
        <v>3.0</v>
      </c>
      <c r="U28" s="19" t="s">
        <v>11</v>
      </c>
      <c r="V28" s="19"/>
      <c r="W28" s="19"/>
      <c r="X28" s="19" t="s">
        <v>123</v>
      </c>
    </row>
    <row r="29">
      <c r="L29" s="19">
        <v>5.0</v>
      </c>
      <c r="M29" s="19" t="s">
        <v>72</v>
      </c>
      <c r="N29" s="19">
        <v>220.0</v>
      </c>
      <c r="O29" s="19" t="s">
        <v>77</v>
      </c>
      <c r="P29" s="18">
        <v>1411.764705882353</v>
      </c>
      <c r="Q29" s="18">
        <v>6.4171122994652405</v>
      </c>
      <c r="R29" s="18">
        <v>8.02139037433155</v>
      </c>
      <c r="S29" s="19">
        <v>21.0</v>
      </c>
      <c r="T29" s="19">
        <v>3.0</v>
      </c>
      <c r="U29" s="19" t="s">
        <v>11</v>
      </c>
      <c r="V29" s="19"/>
      <c r="W29" s="19"/>
      <c r="X29" s="19" t="s">
        <v>123</v>
      </c>
    </row>
    <row r="30">
      <c r="L30" s="19">
        <v>6.0</v>
      </c>
      <c r="M30" s="19" t="s">
        <v>72</v>
      </c>
      <c r="N30" s="19">
        <v>220.0</v>
      </c>
      <c r="O30" s="19" t="s">
        <v>78</v>
      </c>
      <c r="P30" s="18">
        <v>1411.764705882353</v>
      </c>
      <c r="Q30" s="18">
        <v>6.4171122994652405</v>
      </c>
      <c r="R30" s="18">
        <v>8.02139037433155</v>
      </c>
      <c r="S30" s="19">
        <v>21.0</v>
      </c>
      <c r="T30" s="19">
        <v>3.0</v>
      </c>
      <c r="U30" s="19" t="s">
        <v>11</v>
      </c>
      <c r="V30" s="19"/>
      <c r="W30" s="19"/>
      <c r="X30" s="19" t="s">
        <v>123</v>
      </c>
    </row>
    <row r="31">
      <c r="L31" s="19">
        <v>7.0</v>
      </c>
      <c r="M31" s="19" t="s">
        <v>72</v>
      </c>
      <c r="N31" s="19">
        <v>220.0</v>
      </c>
      <c r="O31" s="19" t="s">
        <v>79</v>
      </c>
      <c r="P31" s="18">
        <v>1411.764705882353</v>
      </c>
      <c r="Q31" s="18">
        <v>6.4171122994652405</v>
      </c>
      <c r="R31" s="18">
        <v>8.02139037433155</v>
      </c>
      <c r="S31" s="19">
        <v>21.0</v>
      </c>
      <c r="T31" s="19">
        <v>3.0</v>
      </c>
      <c r="U31" s="19" t="s">
        <v>11</v>
      </c>
      <c r="V31" s="19"/>
      <c r="W31" s="19"/>
      <c r="X31" s="19" t="s">
        <v>123</v>
      </c>
    </row>
    <row r="32">
      <c r="L32" s="19">
        <v>8.0</v>
      </c>
      <c r="M32" s="19" t="s">
        <v>72</v>
      </c>
      <c r="N32" s="19">
        <v>220.0</v>
      </c>
      <c r="O32" s="19" t="s">
        <v>80</v>
      </c>
      <c r="P32" s="18">
        <v>1411.764705882353</v>
      </c>
      <c r="Q32" s="18">
        <v>6.4171122994652405</v>
      </c>
      <c r="R32" s="18">
        <v>8.02139037433155</v>
      </c>
      <c r="S32" s="19">
        <v>21.0</v>
      </c>
      <c r="T32" s="19">
        <v>3.0</v>
      </c>
      <c r="U32" s="19" t="s">
        <v>11</v>
      </c>
      <c r="V32" s="19"/>
      <c r="W32" s="19"/>
      <c r="X32" s="19" t="s">
        <v>123</v>
      </c>
    </row>
    <row r="33">
      <c r="L33" s="19">
        <v>9.0</v>
      </c>
      <c r="M33" s="19" t="s">
        <v>72</v>
      </c>
      <c r="N33" s="19">
        <v>220.0</v>
      </c>
      <c r="O33" s="19" t="s">
        <v>108</v>
      </c>
      <c r="P33" s="18">
        <v>1411.764705882353</v>
      </c>
      <c r="Q33" s="18">
        <v>6.4171122994652405</v>
      </c>
      <c r="R33" s="18">
        <v>8.02139037433155</v>
      </c>
      <c r="S33" s="19">
        <v>21.0</v>
      </c>
      <c r="T33" s="19">
        <v>3.0</v>
      </c>
      <c r="U33" s="19" t="s">
        <v>11</v>
      </c>
      <c r="V33" s="19"/>
      <c r="W33" s="19"/>
      <c r="X33" s="19" t="s">
        <v>123</v>
      </c>
    </row>
    <row r="34">
      <c r="L34" s="19">
        <v>10.0</v>
      </c>
      <c r="M34" s="19" t="s">
        <v>72</v>
      </c>
      <c r="N34" s="19">
        <v>220.0</v>
      </c>
      <c r="O34" s="19" t="s">
        <v>83</v>
      </c>
      <c r="P34" s="18">
        <v>2352.9411764705883</v>
      </c>
      <c r="Q34" s="18">
        <v>10.695187165775401</v>
      </c>
      <c r="R34" s="18">
        <v>13.368983957219251</v>
      </c>
      <c r="S34" s="19">
        <v>21.0</v>
      </c>
      <c r="T34" s="19">
        <v>3.0</v>
      </c>
      <c r="U34" s="19" t="s">
        <v>11</v>
      </c>
      <c r="V34" s="19"/>
      <c r="W34" s="19"/>
      <c r="X34" s="19" t="s">
        <v>123</v>
      </c>
    </row>
    <row r="35">
      <c r="L35" s="80">
        <v>1.0</v>
      </c>
      <c r="M35" s="19" t="s">
        <v>124</v>
      </c>
      <c r="N35" s="19">
        <v>220.0</v>
      </c>
      <c r="O35" s="19" t="s">
        <v>125</v>
      </c>
      <c r="P35" s="19">
        <v>520.0</v>
      </c>
      <c r="Q35" s="18">
        <v>2.3636363636363638</v>
      </c>
      <c r="R35" s="18">
        <v>2.9545454545454546</v>
      </c>
      <c r="S35" s="19">
        <v>15.5</v>
      </c>
      <c r="T35" s="19">
        <v>3.0</v>
      </c>
      <c r="U35" s="19" t="s">
        <v>7</v>
      </c>
      <c r="V35" s="19"/>
      <c r="W35" s="19"/>
      <c r="X35" s="19" t="s">
        <v>120</v>
      </c>
    </row>
    <row r="36">
      <c r="L36" s="19">
        <v>2.0</v>
      </c>
      <c r="M36" s="19" t="s">
        <v>71</v>
      </c>
      <c r="N36" s="19">
        <v>220.0</v>
      </c>
      <c r="O36" s="19" t="s">
        <v>126</v>
      </c>
      <c r="P36" s="19">
        <v>1100.0</v>
      </c>
      <c r="Q36" s="18">
        <v>5.0</v>
      </c>
      <c r="R36" s="18">
        <v>6.25</v>
      </c>
      <c r="S36" s="19">
        <v>21.0</v>
      </c>
      <c r="T36" s="19">
        <v>3.0</v>
      </c>
      <c r="U36" s="19" t="s">
        <v>11</v>
      </c>
      <c r="V36" s="19"/>
      <c r="W36" s="19"/>
      <c r="X36" s="19" t="s">
        <v>123</v>
      </c>
    </row>
    <row r="37">
      <c r="L37" s="19">
        <v>3.0</v>
      </c>
      <c r="M37" s="19" t="s">
        <v>71</v>
      </c>
      <c r="N37" s="19">
        <v>220.0</v>
      </c>
      <c r="O37" s="19" t="s">
        <v>45</v>
      </c>
      <c r="P37" s="19">
        <v>2100.0</v>
      </c>
      <c r="Q37" s="18">
        <v>9.545454545454545</v>
      </c>
      <c r="R37" s="18">
        <v>11.93181818181818</v>
      </c>
      <c r="S37" s="19">
        <v>21.0</v>
      </c>
      <c r="T37" s="19">
        <v>3.0</v>
      </c>
      <c r="U37" s="19" t="s">
        <v>11</v>
      </c>
      <c r="V37" s="19"/>
      <c r="W37" s="19"/>
      <c r="X37" s="19" t="s">
        <v>123</v>
      </c>
    </row>
    <row r="38">
      <c r="L38" s="19">
        <v>4.0</v>
      </c>
      <c r="M38" s="19" t="s">
        <v>72</v>
      </c>
      <c r="N38" s="19">
        <v>220.0</v>
      </c>
      <c r="O38" s="19" t="s">
        <v>127</v>
      </c>
      <c r="P38" s="19">
        <v>5500.0</v>
      </c>
      <c r="Q38" s="18">
        <v>25.0</v>
      </c>
      <c r="R38" s="18">
        <v>31.25</v>
      </c>
      <c r="S38" s="19">
        <v>36.0</v>
      </c>
      <c r="T38" s="19">
        <v>3.0</v>
      </c>
      <c r="U38" s="19" t="s">
        <v>12</v>
      </c>
      <c r="V38" s="19"/>
      <c r="W38" s="19"/>
      <c r="X38" s="19" t="s">
        <v>128</v>
      </c>
    </row>
    <row r="39">
      <c r="L39" s="19">
        <v>5.0</v>
      </c>
      <c r="M39" s="19" t="s">
        <v>72</v>
      </c>
      <c r="N39" s="19">
        <v>220.0</v>
      </c>
      <c r="O39" s="19" t="s">
        <v>129</v>
      </c>
      <c r="P39" s="18">
        <v>4326.458823529411</v>
      </c>
      <c r="Q39" s="18">
        <v>19.66572192513369</v>
      </c>
      <c r="R39" s="18">
        <v>24.58215240641711</v>
      </c>
      <c r="S39" s="19">
        <v>28.0</v>
      </c>
      <c r="T39" s="19">
        <v>3.0</v>
      </c>
      <c r="U39" s="19" t="s">
        <v>130</v>
      </c>
      <c r="V39" s="19"/>
      <c r="W39" s="19"/>
      <c r="X39" s="19" t="s">
        <v>131</v>
      </c>
    </row>
    <row r="40">
      <c r="L40" s="19">
        <v>6.0</v>
      </c>
      <c r="M40" s="19" t="s">
        <v>72</v>
      </c>
      <c r="N40" s="19">
        <v>220.0</v>
      </c>
      <c r="O40" s="19" t="s">
        <v>132</v>
      </c>
      <c r="P40" s="18">
        <v>4326.458823529411</v>
      </c>
      <c r="Q40" s="18">
        <v>19.66572192513369</v>
      </c>
      <c r="R40" s="18">
        <v>24.58215240641711</v>
      </c>
      <c r="S40" s="19">
        <v>28.0</v>
      </c>
      <c r="T40" s="19">
        <v>3.0</v>
      </c>
      <c r="U40" s="19" t="s">
        <v>130</v>
      </c>
      <c r="V40" s="19"/>
      <c r="W40" s="19"/>
      <c r="X40" s="19" t="s">
        <v>131</v>
      </c>
    </row>
    <row r="41">
      <c r="L41" s="80">
        <v>1.0</v>
      </c>
      <c r="M41" s="19" t="s">
        <v>124</v>
      </c>
      <c r="N41" s="19">
        <v>220.0</v>
      </c>
      <c r="O41" s="19" t="s">
        <v>114</v>
      </c>
      <c r="P41" s="19">
        <v>160.0</v>
      </c>
      <c r="Q41" s="18">
        <v>0.7272727272727273</v>
      </c>
      <c r="R41" s="18">
        <v>0.9090909090909091</v>
      </c>
      <c r="S41" s="19">
        <v>17.5</v>
      </c>
      <c r="T41" s="19">
        <v>2.0</v>
      </c>
      <c r="U41" s="19" t="s">
        <v>7</v>
      </c>
      <c r="V41" s="19"/>
      <c r="W41" s="19"/>
      <c r="X41" s="19" t="s">
        <v>120</v>
      </c>
    </row>
    <row r="42">
      <c r="L42" s="19">
        <v>2.0</v>
      </c>
      <c r="M42" s="19" t="s">
        <v>71</v>
      </c>
      <c r="N42" s="19">
        <v>220.0</v>
      </c>
      <c r="O42" s="19" t="s">
        <v>114</v>
      </c>
      <c r="P42" s="19">
        <v>300.0</v>
      </c>
      <c r="Q42" s="18">
        <v>1.3636363636363635</v>
      </c>
      <c r="R42" s="18">
        <v>1.7045454545454544</v>
      </c>
      <c r="S42" s="19">
        <v>24.0</v>
      </c>
      <c r="T42" s="19">
        <v>2.0</v>
      </c>
      <c r="U42" s="19" t="s">
        <v>11</v>
      </c>
      <c r="V42" s="19"/>
      <c r="W42" s="19"/>
      <c r="X42" s="19" t="s">
        <v>120</v>
      </c>
    </row>
    <row r="43">
      <c r="L43" s="80">
        <v>1.0</v>
      </c>
      <c r="M43" s="19" t="s">
        <v>67</v>
      </c>
      <c r="N43" s="19">
        <v>220.0</v>
      </c>
      <c r="O43" s="19" t="s">
        <v>133</v>
      </c>
      <c r="P43" s="19">
        <v>260.0</v>
      </c>
      <c r="Q43" s="18">
        <v>1.1818181818181819</v>
      </c>
      <c r="R43" s="18">
        <v>1.4772727272727273</v>
      </c>
      <c r="S43" s="19">
        <v>15.5</v>
      </c>
      <c r="T43" s="19">
        <v>3.0</v>
      </c>
      <c r="U43" s="19" t="s">
        <v>7</v>
      </c>
      <c r="V43" s="19"/>
      <c r="W43" s="19"/>
      <c r="X43" s="19" t="s">
        <v>120</v>
      </c>
    </row>
    <row r="44">
      <c r="L44" s="19">
        <v>2.0</v>
      </c>
      <c r="M44" s="19" t="s">
        <v>134</v>
      </c>
      <c r="N44" s="19">
        <v>220.0</v>
      </c>
      <c r="O44" s="19" t="s">
        <v>115</v>
      </c>
      <c r="P44" s="19">
        <v>1784.0</v>
      </c>
      <c r="Q44" s="18">
        <v>8.10909090909091</v>
      </c>
      <c r="R44" s="18">
        <v>10.136363636363637</v>
      </c>
      <c r="S44" s="19">
        <v>15.5</v>
      </c>
      <c r="T44" s="19">
        <v>3.0</v>
      </c>
      <c r="U44" s="19" t="s">
        <v>7</v>
      </c>
      <c r="V44" s="19"/>
      <c r="W44" s="19"/>
      <c r="X44" s="19" t="s">
        <v>120</v>
      </c>
    </row>
    <row r="45">
      <c r="L45" s="19">
        <v>3.0</v>
      </c>
      <c r="M45" s="19" t="s">
        <v>135</v>
      </c>
      <c r="N45" s="19">
        <v>220.0</v>
      </c>
      <c r="O45" s="19" t="s">
        <v>115</v>
      </c>
      <c r="P45" s="19">
        <v>1784.0</v>
      </c>
      <c r="Q45" s="18">
        <v>8.10909090909091</v>
      </c>
      <c r="R45" s="18">
        <v>10.136363636363637</v>
      </c>
      <c r="S45" s="19">
        <v>15.5</v>
      </c>
      <c r="T45" s="19">
        <v>3.0</v>
      </c>
      <c r="U45" s="19" t="s">
        <v>11</v>
      </c>
      <c r="V45" s="19"/>
      <c r="W45" s="19"/>
      <c r="X45" s="19" t="s">
        <v>120</v>
      </c>
    </row>
    <row r="46">
      <c r="L46" s="19">
        <v>4.0</v>
      </c>
      <c r="M46" s="19" t="s">
        <v>136</v>
      </c>
      <c r="N46" s="19">
        <v>220.0</v>
      </c>
      <c r="O46" s="19" t="s">
        <v>115</v>
      </c>
      <c r="P46" s="19">
        <v>1784.0</v>
      </c>
      <c r="Q46" s="18">
        <v>8.10909090909091</v>
      </c>
      <c r="R46" s="18">
        <v>10.136363636363637</v>
      </c>
      <c r="S46" s="19">
        <v>15.5</v>
      </c>
      <c r="T46" s="19">
        <v>3.0</v>
      </c>
      <c r="U46" s="19" t="s">
        <v>11</v>
      </c>
      <c r="V46" s="19"/>
      <c r="W46" s="19"/>
      <c r="X46" s="19" t="s">
        <v>120</v>
      </c>
    </row>
    <row r="47">
      <c r="L47" s="19">
        <v>5.0</v>
      </c>
      <c r="M47" s="19" t="s">
        <v>137</v>
      </c>
      <c r="N47" s="19">
        <v>220.0</v>
      </c>
      <c r="O47" s="19" t="s">
        <v>115</v>
      </c>
      <c r="P47" s="19">
        <v>1784.0</v>
      </c>
      <c r="Q47" s="18">
        <v>8.10909090909091</v>
      </c>
      <c r="R47" s="18">
        <v>10.136363636363637</v>
      </c>
      <c r="S47" s="19">
        <v>15.5</v>
      </c>
      <c r="T47" s="19">
        <v>3.0</v>
      </c>
      <c r="U47" s="19" t="s">
        <v>11</v>
      </c>
      <c r="V47" s="19"/>
      <c r="W47" s="19"/>
      <c r="X47" s="19" t="s">
        <v>120</v>
      </c>
    </row>
    <row r="48">
      <c r="L48" s="19">
        <v>6.0</v>
      </c>
      <c r="M48" s="19" t="s">
        <v>138</v>
      </c>
      <c r="N48" s="19">
        <v>220.0</v>
      </c>
      <c r="O48" s="19" t="s">
        <v>115</v>
      </c>
      <c r="P48" s="19">
        <v>1784.0</v>
      </c>
      <c r="Q48" s="18">
        <v>8.10909090909091</v>
      </c>
      <c r="R48" s="18">
        <v>10.136363636363637</v>
      </c>
      <c r="S48" s="19">
        <v>15.5</v>
      </c>
      <c r="T48" s="19">
        <v>3.0</v>
      </c>
      <c r="U48" s="19" t="s">
        <v>11</v>
      </c>
      <c r="V48" s="19"/>
      <c r="W48" s="19"/>
      <c r="X48" s="19" t="s">
        <v>120</v>
      </c>
    </row>
    <row r="49">
      <c r="L49" s="19">
        <v>7.0</v>
      </c>
      <c r="M49" s="19" t="s">
        <v>71</v>
      </c>
      <c r="N49" s="19">
        <v>220.0</v>
      </c>
      <c r="O49" s="19" t="s">
        <v>139</v>
      </c>
      <c r="P49" s="19">
        <v>600.0</v>
      </c>
      <c r="Q49" s="18">
        <v>2.727272727272727</v>
      </c>
      <c r="R49" s="18">
        <v>3.4090909090909087</v>
      </c>
      <c r="S49" s="19">
        <v>21.0</v>
      </c>
      <c r="T49" s="19">
        <v>3.0</v>
      </c>
      <c r="U49" s="19" t="s">
        <v>11</v>
      </c>
      <c r="V49" s="19"/>
      <c r="W49" s="19"/>
      <c r="X49" s="19" t="s">
        <v>120</v>
      </c>
    </row>
    <row r="50">
      <c r="L50" s="55" t="s">
        <v>87</v>
      </c>
      <c r="M50" s="56"/>
      <c r="N50" s="44">
        <v>220.0</v>
      </c>
      <c r="O50" s="57"/>
      <c r="P50" s="43"/>
      <c r="Q50" s="43"/>
      <c r="R50" s="43"/>
      <c r="S50" s="54"/>
      <c r="T50" s="54"/>
      <c r="U50" s="54"/>
      <c r="V50" s="54"/>
      <c r="W50" s="54"/>
      <c r="X50" s="54"/>
    </row>
  </sheetData>
  <mergeCells count="16">
    <mergeCell ref="A1:A2"/>
    <mergeCell ref="B1:C1"/>
    <mergeCell ref="D1:D2"/>
    <mergeCell ref="E1:F1"/>
    <mergeCell ref="G1:J1"/>
    <mergeCell ref="L23:M23"/>
    <mergeCell ref="N23:N24"/>
    <mergeCell ref="O23:O24"/>
    <mergeCell ref="L50:M50"/>
    <mergeCell ref="P23:P24"/>
    <mergeCell ref="Q23:Q24"/>
    <mergeCell ref="R23:R24"/>
    <mergeCell ref="S23:S24"/>
    <mergeCell ref="T23:T24"/>
    <mergeCell ref="U23:U24"/>
    <mergeCell ref="V23:X2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9" width="7.63"/>
    <col customWidth="1" min="10" max="10" width="10.75"/>
    <col customWidth="1" min="11" max="11" width="5.63"/>
    <col customWidth="1" min="12" max="12" width="13.38"/>
    <col customWidth="1" min="13" max="13" width="15.5"/>
    <col customWidth="1" min="14" max="14" width="12.0"/>
    <col customWidth="1" min="15" max="15" width="7.38"/>
    <col customWidth="1" min="16" max="16" width="9.63"/>
    <col customWidth="1" min="17" max="17" width="10.38"/>
    <col customWidth="1" min="18" max="18" width="11.13"/>
    <col customWidth="1" min="19" max="19" width="10.38"/>
    <col customWidth="1" min="20" max="20" width="11.75"/>
    <col customWidth="1" min="21" max="21" width="8.63"/>
    <col customWidth="1" min="22" max="28" width="7.63"/>
  </cols>
  <sheetData>
    <row r="1" ht="15.0" customHeight="1">
      <c r="A1" s="6" t="s">
        <v>13</v>
      </c>
      <c r="B1" s="7" t="s">
        <v>14</v>
      </c>
      <c r="C1" s="8"/>
      <c r="D1" s="9" t="s">
        <v>15</v>
      </c>
      <c r="E1" s="7" t="s">
        <v>16</v>
      </c>
      <c r="F1" s="10"/>
      <c r="G1" s="7" t="s">
        <v>17</v>
      </c>
      <c r="H1" s="10"/>
      <c r="I1" s="10"/>
      <c r="J1" s="36"/>
    </row>
    <row r="2">
      <c r="A2" s="11"/>
      <c r="B2" s="12" t="s">
        <v>18</v>
      </c>
      <c r="C2" s="13" t="s">
        <v>19</v>
      </c>
      <c r="D2" s="14"/>
      <c r="E2" s="15" t="s">
        <v>20</v>
      </c>
      <c r="F2" s="16" t="s">
        <v>21</v>
      </c>
      <c r="G2" s="62" t="s">
        <v>22</v>
      </c>
      <c r="H2" s="16" t="s">
        <v>23</v>
      </c>
      <c r="I2" s="62" t="s">
        <v>24</v>
      </c>
      <c r="J2" s="41" t="s">
        <v>21</v>
      </c>
    </row>
    <row r="3">
      <c r="A3" s="63" t="s">
        <v>111</v>
      </c>
      <c r="B3" s="23">
        <v>10.7565</v>
      </c>
      <c r="C3" s="23">
        <v>13.57</v>
      </c>
      <c r="D3" s="19">
        <f t="shared" ref="D3:D6" si="1">IF(B3&lt;=6,100,100+ROUNDDOWN((B3-6)/4,0)*60)</f>
        <v>160</v>
      </c>
      <c r="E3" s="19">
        <v>1.0</v>
      </c>
      <c r="F3" s="19">
        <f>E3*600</f>
        <v>600</v>
      </c>
      <c r="G3" s="65" t="s">
        <v>140</v>
      </c>
      <c r="H3" s="65">
        <f>2* 3677.49</f>
        <v>7354.98</v>
      </c>
      <c r="I3" s="65">
        <v>0.85</v>
      </c>
      <c r="J3" s="81">
        <f t="shared" ref="J3:J4" si="2">H3/I3</f>
        <v>8652.917647</v>
      </c>
    </row>
    <row r="4">
      <c r="A4" s="63" t="s">
        <v>113</v>
      </c>
      <c r="B4" s="18">
        <v>2.475</v>
      </c>
      <c r="C4" s="18">
        <v>6.3</v>
      </c>
      <c r="D4" s="19">
        <f t="shared" si="1"/>
        <v>100</v>
      </c>
      <c r="E4" s="19">
        <f>IF(B4&lt;=6,1,ROUNDUP(C4/5,0))</f>
        <v>1</v>
      </c>
      <c r="F4" s="19">
        <f>IF(E4&lt;4,E4*600,1800+(E4-3)*100)</f>
        <v>600</v>
      </c>
      <c r="G4" s="66" t="s">
        <v>26</v>
      </c>
      <c r="H4" s="65">
        <v>5500.0</v>
      </c>
      <c r="I4" s="65">
        <v>1.0</v>
      </c>
      <c r="J4" s="65">
        <f t="shared" si="2"/>
        <v>5500</v>
      </c>
    </row>
    <row r="5">
      <c r="A5" s="63" t="s">
        <v>31</v>
      </c>
      <c r="B5" s="18">
        <v>5.0</v>
      </c>
      <c r="C5" s="18">
        <v>9.0</v>
      </c>
      <c r="D5" s="19">
        <f t="shared" si="1"/>
        <v>100</v>
      </c>
      <c r="E5" s="3">
        <v>3.0</v>
      </c>
      <c r="F5" s="19">
        <f t="shared" ref="F5:F6" si="3">100*E5</f>
        <v>300</v>
      </c>
      <c r="G5" s="77"/>
      <c r="H5" s="77"/>
      <c r="I5" s="77"/>
      <c r="J5" s="77"/>
    </row>
    <row r="6">
      <c r="A6" s="69" t="s">
        <v>116</v>
      </c>
      <c r="B6" s="82">
        <v>1.53</v>
      </c>
      <c r="C6" s="82">
        <v>5.3</v>
      </c>
      <c r="D6" s="19">
        <f t="shared" si="1"/>
        <v>100</v>
      </c>
      <c r="E6" s="19">
        <f>IF(B6&lt;=6,1,ROUNDUP(C6/5,0))</f>
        <v>1</v>
      </c>
      <c r="F6" s="19">
        <f t="shared" si="3"/>
        <v>100</v>
      </c>
      <c r="G6" s="78"/>
      <c r="H6" s="78"/>
      <c r="I6" s="78"/>
      <c r="J6" s="78"/>
    </row>
    <row r="7">
      <c r="A7" s="63" t="s">
        <v>45</v>
      </c>
      <c r="B7" s="82">
        <v>11.92</v>
      </c>
      <c r="C7" s="82">
        <v>14.7451</v>
      </c>
      <c r="D7" s="83">
        <v>200.0</v>
      </c>
      <c r="E7" s="25">
        <f>IF(B7&lt;=6,1,ROUNDUP(C7/3.5,0))</f>
        <v>5</v>
      </c>
      <c r="F7" s="25">
        <f>IF(E7&lt;4,E7*600,1800+(E7-3)*100)</f>
        <v>2000</v>
      </c>
      <c r="G7" s="78"/>
      <c r="H7" s="78"/>
      <c r="I7" s="78"/>
      <c r="J7" s="78"/>
    </row>
    <row r="8">
      <c r="A8" s="72" t="s">
        <v>50</v>
      </c>
      <c r="B8" s="27">
        <f>SUM(B3:B7)</f>
        <v>31.6815</v>
      </c>
      <c r="C8" s="28" t="s">
        <v>32</v>
      </c>
      <c r="D8" s="28">
        <f t="shared" ref="D8:F8" si="4">SUM(D3:D7)</f>
        <v>660</v>
      </c>
      <c r="E8" s="28">
        <f t="shared" si="4"/>
        <v>11</v>
      </c>
      <c r="F8" s="28">
        <f t="shared" si="4"/>
        <v>3600</v>
      </c>
      <c r="G8" s="28"/>
      <c r="H8" s="28"/>
      <c r="I8" s="28"/>
      <c r="J8" s="28"/>
    </row>
    <row r="11">
      <c r="K11" s="30" t="s">
        <v>51</v>
      </c>
      <c r="L11" s="8"/>
      <c r="M11" s="9" t="s">
        <v>52</v>
      </c>
      <c r="N11" s="9" t="s">
        <v>53</v>
      </c>
      <c r="O11" s="9" t="s">
        <v>21</v>
      </c>
      <c r="P11" s="9" t="s">
        <v>54</v>
      </c>
      <c r="Q11" s="84" t="s">
        <v>55</v>
      </c>
      <c r="R11" s="84" t="s">
        <v>56</v>
      </c>
      <c r="S11" s="9" t="s">
        <v>57</v>
      </c>
      <c r="T11" s="9" t="s">
        <v>58</v>
      </c>
      <c r="U11" s="7" t="s">
        <v>60</v>
      </c>
      <c r="V11" s="10"/>
      <c r="W11" s="36"/>
    </row>
    <row r="12">
      <c r="K12" s="37" t="s">
        <v>5</v>
      </c>
      <c r="L12" s="16" t="s">
        <v>61</v>
      </c>
      <c r="M12" s="14"/>
      <c r="N12" s="14"/>
      <c r="O12" s="14"/>
      <c r="P12" s="14"/>
      <c r="Q12" s="85"/>
      <c r="R12" s="85"/>
      <c r="S12" s="14"/>
      <c r="T12" s="14"/>
      <c r="U12" s="16" t="s">
        <v>61</v>
      </c>
      <c r="V12" s="16" t="s">
        <v>65</v>
      </c>
      <c r="W12" s="41" t="s">
        <v>66</v>
      </c>
    </row>
    <row r="13">
      <c r="K13" s="42">
        <v>1.0</v>
      </c>
      <c r="L13" s="42" t="s">
        <v>124</v>
      </c>
      <c r="M13" s="42">
        <v>220.0</v>
      </c>
      <c r="N13" s="19" t="str">
        <f>CONCATENATE(A3,CHAR(10),A4,CHAR(10),A5,CHAR(10),A6,CHAR(10),A7)</f>
        <v>Bombas
BWC
Dependência
Hall
Serviço</v>
      </c>
      <c r="O13" s="42">
        <f>SUM(D3:D7)</f>
        <v>660</v>
      </c>
      <c r="P13" s="43">
        <f t="shared" ref="P13:P18" si="5">O13/M13</f>
        <v>3</v>
      </c>
      <c r="Q13" s="43">
        <f t="shared" ref="Q13:Q18" si="6">P13/0.8</f>
        <v>3.75</v>
      </c>
      <c r="R13" s="44">
        <v>15.5</v>
      </c>
      <c r="S13" s="44">
        <v>3.0</v>
      </c>
      <c r="T13" s="44" t="s">
        <v>7</v>
      </c>
      <c r="U13" s="42"/>
      <c r="V13" s="42"/>
      <c r="W13" s="42" t="str">
        <f>CONCATENATE("10",CHAR(10),"25")</f>
        <v>10
25</v>
      </c>
    </row>
    <row r="14">
      <c r="K14" s="42">
        <v>2.0</v>
      </c>
      <c r="L14" s="42" t="s">
        <v>71</v>
      </c>
      <c r="M14" s="42">
        <v>220.0</v>
      </c>
      <c r="N14" s="19" t="str">
        <f>CONCATENATE(A3,CHAR(10),A4,CHAR(10),A5,CHAR(10),A6)</f>
        <v>Bombas
BWC
Dependência
Hall</v>
      </c>
      <c r="O14" s="42">
        <f>SUM(F3:F6)</f>
        <v>1600</v>
      </c>
      <c r="P14" s="43">
        <f t="shared" si="5"/>
        <v>7.272727273</v>
      </c>
      <c r="Q14" s="43">
        <f t="shared" si="6"/>
        <v>9.090909091</v>
      </c>
      <c r="R14" s="44">
        <v>21.0</v>
      </c>
      <c r="S14" s="44">
        <v>3.0</v>
      </c>
      <c r="T14" s="44" t="s">
        <v>11</v>
      </c>
      <c r="U14" s="42"/>
      <c r="V14" s="42"/>
      <c r="W14" s="42" t="str">
        <f t="shared" ref="W14:W15" si="7">CONCATENATE("15",CHAR(10),"25")</f>
        <v>15
25</v>
      </c>
    </row>
    <row r="15">
      <c r="K15" s="42">
        <v>3.0</v>
      </c>
      <c r="L15" s="42" t="s">
        <v>71</v>
      </c>
      <c r="M15" s="42">
        <v>220.0</v>
      </c>
      <c r="N15" s="19" t="str">
        <f>CONCATENATE(A7)</f>
        <v>Serviço</v>
      </c>
      <c r="O15" s="42">
        <f>SUM(F7)</f>
        <v>2000</v>
      </c>
      <c r="P15" s="43">
        <f t="shared" si="5"/>
        <v>9.090909091</v>
      </c>
      <c r="Q15" s="43">
        <f t="shared" si="6"/>
        <v>11.36363636</v>
      </c>
      <c r="R15" s="44">
        <v>21.0</v>
      </c>
      <c r="S15" s="44">
        <v>3.0</v>
      </c>
      <c r="T15" s="44" t="s">
        <v>11</v>
      </c>
      <c r="U15" s="42"/>
      <c r="V15" s="42"/>
      <c r="W15" s="42" t="str">
        <f t="shared" si="7"/>
        <v>15
25</v>
      </c>
    </row>
    <row r="16">
      <c r="K16" s="42">
        <v>4.0</v>
      </c>
      <c r="L16" s="42" t="s">
        <v>72</v>
      </c>
      <c r="M16" s="42">
        <v>220.0</v>
      </c>
      <c r="N16" s="19" t="s">
        <v>127</v>
      </c>
      <c r="O16" s="42">
        <f>J4</f>
        <v>5500</v>
      </c>
      <c r="P16" s="43">
        <f t="shared" si="5"/>
        <v>25</v>
      </c>
      <c r="Q16" s="43">
        <f t="shared" si="6"/>
        <v>31.25</v>
      </c>
      <c r="R16" s="44">
        <v>36.0</v>
      </c>
      <c r="S16" s="44">
        <v>3.0</v>
      </c>
      <c r="T16" s="3" t="s">
        <v>12</v>
      </c>
      <c r="U16" s="42"/>
      <c r="V16" s="42"/>
      <c r="W16" s="42" t="str">
        <f>CONCATENATE("30",CHAR(10),"40")</f>
        <v>30
40</v>
      </c>
    </row>
    <row r="17">
      <c r="K17" s="42">
        <v>5.0</v>
      </c>
      <c r="L17" s="42" t="s">
        <v>72</v>
      </c>
      <c r="M17" s="42">
        <v>220.0</v>
      </c>
      <c r="N17" s="3" t="s">
        <v>129</v>
      </c>
      <c r="O17" s="43">
        <f>J3/2</f>
        <v>4326.458824</v>
      </c>
      <c r="P17" s="43">
        <f t="shared" si="5"/>
        <v>19.66572193</v>
      </c>
      <c r="Q17" s="43">
        <f t="shared" si="6"/>
        <v>24.58215241</v>
      </c>
      <c r="R17" s="44">
        <v>28.0</v>
      </c>
      <c r="S17" s="44">
        <v>3.0</v>
      </c>
      <c r="T17" s="3" t="s">
        <v>130</v>
      </c>
      <c r="U17" s="42"/>
      <c r="V17" s="42"/>
      <c r="W17" s="42" t="str">
        <f t="shared" ref="W17:W18" si="8">CONCATENATE("25",CHAR(10),"25")</f>
        <v>25
25</v>
      </c>
    </row>
    <row r="18">
      <c r="K18" s="44">
        <v>6.0</v>
      </c>
      <c r="L18" s="42" t="s">
        <v>72</v>
      </c>
      <c r="M18" s="42">
        <v>220.0</v>
      </c>
      <c r="N18" s="3" t="s">
        <v>132</v>
      </c>
      <c r="O18" s="43">
        <f>J3/2</f>
        <v>4326.458824</v>
      </c>
      <c r="P18" s="43">
        <f t="shared" si="5"/>
        <v>19.66572193</v>
      </c>
      <c r="Q18" s="43">
        <f t="shared" si="6"/>
        <v>24.58215241</v>
      </c>
      <c r="R18" s="44">
        <v>28.0</v>
      </c>
      <c r="S18" s="44">
        <v>3.0</v>
      </c>
      <c r="T18" s="3" t="s">
        <v>130</v>
      </c>
      <c r="U18" s="42"/>
      <c r="V18" s="42"/>
      <c r="W18" s="42" t="str">
        <f t="shared" si="8"/>
        <v>25
25</v>
      </c>
    </row>
    <row r="19">
      <c r="K19" s="55" t="s">
        <v>87</v>
      </c>
      <c r="L19" s="56"/>
      <c r="M19" s="44">
        <v>220.0</v>
      </c>
      <c r="N19" s="57"/>
      <c r="O19" s="43"/>
      <c r="P19" s="43"/>
      <c r="Q19" s="43"/>
      <c r="R19" s="54"/>
      <c r="S19" s="54"/>
      <c r="T19" s="54"/>
      <c r="U19" s="54"/>
      <c r="V19" s="54"/>
      <c r="W19" s="54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6">
    <mergeCell ref="N11:N12"/>
    <mergeCell ref="O11:O12"/>
    <mergeCell ref="P11:P12"/>
    <mergeCell ref="Q11:Q12"/>
    <mergeCell ref="R11:R12"/>
    <mergeCell ref="S11:S12"/>
    <mergeCell ref="T11:T12"/>
    <mergeCell ref="U11:W11"/>
    <mergeCell ref="A1:A2"/>
    <mergeCell ref="B1:C1"/>
    <mergeCell ref="D1:D2"/>
    <mergeCell ref="E1:F1"/>
    <mergeCell ref="G1:J1"/>
    <mergeCell ref="K11:L11"/>
    <mergeCell ref="M11:M12"/>
    <mergeCell ref="K19:L19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10" width="7.63"/>
    <col customWidth="1" min="11" max="11" width="16.0"/>
    <col customWidth="1" min="12" max="12" width="13.38"/>
    <col customWidth="1" min="13" max="13" width="15.5"/>
    <col customWidth="1" min="14" max="14" width="12.0"/>
    <col customWidth="1" min="15" max="15" width="7.63"/>
    <col customWidth="1" min="16" max="16" width="9.63"/>
    <col customWidth="1" min="17" max="19" width="10.38"/>
    <col customWidth="1" min="20" max="20" width="11.75"/>
    <col customWidth="1" min="21" max="21" width="8.63"/>
    <col customWidth="1" min="22" max="28" width="7.63"/>
  </cols>
  <sheetData>
    <row r="1" ht="15.0" customHeight="1">
      <c r="A1" s="6" t="s">
        <v>13</v>
      </c>
      <c r="B1" s="7" t="s">
        <v>14</v>
      </c>
      <c r="C1" s="8"/>
      <c r="D1" s="9" t="s">
        <v>15</v>
      </c>
      <c r="E1" s="7" t="s">
        <v>16</v>
      </c>
      <c r="F1" s="10"/>
      <c r="G1" s="7" t="s">
        <v>17</v>
      </c>
      <c r="H1" s="36"/>
    </row>
    <row r="2">
      <c r="A2" s="11"/>
      <c r="B2" s="12" t="s">
        <v>18</v>
      </c>
      <c r="C2" s="13" t="s">
        <v>19</v>
      </c>
      <c r="D2" s="14"/>
      <c r="E2" s="15" t="s">
        <v>20</v>
      </c>
      <c r="F2" s="16" t="s">
        <v>21</v>
      </c>
      <c r="G2" s="62" t="s">
        <v>22</v>
      </c>
      <c r="H2" s="41" t="s">
        <v>23</v>
      </c>
    </row>
    <row r="3">
      <c r="A3" s="63" t="s">
        <v>114</v>
      </c>
      <c r="B3" s="25">
        <v>12.4581</v>
      </c>
      <c r="C3" s="25">
        <v>14.2</v>
      </c>
      <c r="D3" s="25">
        <f>IF(B3&lt;=6,100,100+ROUNDDOWN((B3-6)/4,0)*60)</f>
        <v>160</v>
      </c>
      <c r="E3" s="25">
        <f>IF(B3&lt;=6,1,ROUNDUP(C3/5,0))</f>
        <v>3</v>
      </c>
      <c r="F3" s="25">
        <f>100*E3</f>
        <v>300</v>
      </c>
      <c r="G3" s="78"/>
      <c r="H3" s="78"/>
    </row>
    <row r="4" ht="15.0" customHeight="1">
      <c r="A4" s="72" t="s">
        <v>50</v>
      </c>
      <c r="B4" s="73">
        <f>SUM(B3)</f>
        <v>12.4581</v>
      </c>
      <c r="C4" s="27" t="s">
        <v>32</v>
      </c>
      <c r="D4" s="28">
        <f t="shared" ref="D4:F4" si="1">SUM(D3)</f>
        <v>160</v>
      </c>
      <c r="E4" s="28">
        <f t="shared" si="1"/>
        <v>3</v>
      </c>
      <c r="F4" s="28">
        <f t="shared" si="1"/>
        <v>300</v>
      </c>
      <c r="G4" s="86"/>
      <c r="H4" s="87"/>
    </row>
    <row r="5" ht="15.0" customHeight="1"/>
    <row r="7" ht="20.25" customHeight="1">
      <c r="K7" s="30" t="s">
        <v>51</v>
      </c>
      <c r="L7" s="8"/>
      <c r="M7" s="9" t="s">
        <v>52</v>
      </c>
      <c r="N7" s="9" t="s">
        <v>53</v>
      </c>
      <c r="O7" s="9" t="s">
        <v>21</v>
      </c>
      <c r="P7" s="9" t="s">
        <v>54</v>
      </c>
      <c r="Q7" s="9" t="s">
        <v>55</v>
      </c>
      <c r="R7" s="9" t="s">
        <v>56</v>
      </c>
      <c r="S7" s="9" t="s">
        <v>57</v>
      </c>
      <c r="T7" s="9" t="s">
        <v>58</v>
      </c>
      <c r="U7" s="7" t="s">
        <v>60</v>
      </c>
      <c r="V7" s="10"/>
      <c r="W7" s="36"/>
    </row>
    <row r="8" ht="35.25" customHeight="1">
      <c r="K8" s="37" t="s">
        <v>5</v>
      </c>
      <c r="L8" s="16" t="s">
        <v>61</v>
      </c>
      <c r="M8" s="14"/>
      <c r="N8" s="14"/>
      <c r="O8" s="14"/>
      <c r="P8" s="14"/>
      <c r="Q8" s="14"/>
      <c r="R8" s="14"/>
      <c r="S8" s="14"/>
      <c r="T8" s="14"/>
      <c r="U8" s="16" t="s">
        <v>61</v>
      </c>
      <c r="V8" s="16" t="s">
        <v>65</v>
      </c>
      <c r="W8" s="41" t="s">
        <v>66</v>
      </c>
    </row>
    <row r="9">
      <c r="K9" s="42">
        <v>1.0</v>
      </c>
      <c r="L9" s="42" t="s">
        <v>124</v>
      </c>
      <c r="M9" s="42">
        <v>220.0</v>
      </c>
      <c r="N9" s="19" t="str">
        <f>CONCATENATE(A3)</f>
        <v>Cx. d'água</v>
      </c>
      <c r="O9" s="42">
        <f>D3</f>
        <v>160</v>
      </c>
      <c r="P9" s="43">
        <f t="shared" ref="P9:P10" si="2">O9/M9</f>
        <v>0.7272727273</v>
      </c>
      <c r="Q9" s="43">
        <f t="shared" ref="Q9:Q10" si="3">P9/0.8</f>
        <v>0.9090909091</v>
      </c>
      <c r="R9" s="44">
        <v>17.5</v>
      </c>
      <c r="S9" s="44">
        <v>2.0</v>
      </c>
      <c r="T9" s="44" t="s">
        <v>7</v>
      </c>
      <c r="U9" s="42"/>
      <c r="V9" s="42"/>
      <c r="W9" s="44" t="str">
        <f t="shared" ref="W9:W10" si="4">CONCATENATE("10",CHAR(10),"25")</f>
        <v>10
25</v>
      </c>
    </row>
    <row r="10">
      <c r="K10" s="42">
        <v>2.0</v>
      </c>
      <c r="L10" s="42" t="s">
        <v>71</v>
      </c>
      <c r="M10" s="42">
        <v>220.0</v>
      </c>
      <c r="N10" s="19" t="str">
        <f>CONCATENATE(A3)</f>
        <v>Cx. d'água</v>
      </c>
      <c r="O10" s="42">
        <f>F3</f>
        <v>300</v>
      </c>
      <c r="P10" s="43">
        <f t="shared" si="2"/>
        <v>1.363636364</v>
      </c>
      <c r="Q10" s="43">
        <f t="shared" si="3"/>
        <v>1.704545455</v>
      </c>
      <c r="R10" s="44">
        <v>24.0</v>
      </c>
      <c r="S10" s="44">
        <v>2.0</v>
      </c>
      <c r="T10" s="44" t="s">
        <v>11</v>
      </c>
      <c r="U10" s="42"/>
      <c r="V10" s="42"/>
      <c r="W10" s="88" t="str">
        <f t="shared" si="4"/>
        <v>10
25</v>
      </c>
      <c r="X10" s="48" t="s">
        <v>141</v>
      </c>
    </row>
    <row r="11">
      <c r="K11" s="55" t="s">
        <v>87</v>
      </c>
      <c r="L11" s="56"/>
      <c r="M11" s="44">
        <v>220.0</v>
      </c>
      <c r="N11" s="57"/>
      <c r="O11" s="43"/>
      <c r="P11" s="43"/>
      <c r="Q11" s="43"/>
      <c r="R11" s="54"/>
      <c r="S11" s="54"/>
      <c r="T11" s="54"/>
      <c r="U11" s="54"/>
      <c r="V11" s="54"/>
      <c r="W11" s="5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N7:N8"/>
    <mergeCell ref="O7:O8"/>
    <mergeCell ref="P7:P8"/>
    <mergeCell ref="Q7:Q8"/>
    <mergeCell ref="R7:R8"/>
    <mergeCell ref="S7:S8"/>
    <mergeCell ref="T7:T8"/>
    <mergeCell ref="U7:W7"/>
    <mergeCell ref="A1:A2"/>
    <mergeCell ref="B1:C1"/>
    <mergeCell ref="D1:D2"/>
    <mergeCell ref="E1:F1"/>
    <mergeCell ref="G1:H1"/>
    <mergeCell ref="K7:L7"/>
    <mergeCell ref="M7:M8"/>
    <mergeCell ref="K11:L11"/>
  </mergeCells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0.13"/>
    <col customWidth="1" min="3" max="3" width="13.75"/>
    <col customWidth="1" min="4" max="4" width="14.5"/>
    <col customWidth="1" min="5" max="5" width="9.25"/>
    <col customWidth="1" min="6" max="6" width="13.88"/>
    <col customWidth="1" min="7" max="7" width="27.25"/>
    <col customWidth="1" min="8" max="8" width="10.88"/>
    <col customWidth="1" min="9" max="10" width="7.63"/>
    <col customWidth="1" min="11" max="11" width="16.0"/>
    <col customWidth="1" min="12" max="12" width="13.38"/>
    <col customWidth="1" min="13" max="13" width="15.5"/>
    <col customWidth="1" min="14" max="14" width="12.0"/>
    <col customWidth="1" min="15" max="15" width="7.63"/>
    <col customWidth="1" min="16" max="16" width="9.63"/>
    <col customWidth="1" min="17" max="19" width="10.38"/>
    <col customWidth="1" min="20" max="20" width="11.75"/>
    <col customWidth="1" min="21" max="21" width="8.63"/>
    <col customWidth="1" min="22" max="28" width="7.63"/>
  </cols>
  <sheetData>
    <row r="1" ht="15.0" customHeight="1">
      <c r="A1" s="6" t="s">
        <v>13</v>
      </c>
      <c r="B1" s="7" t="s">
        <v>14</v>
      </c>
      <c r="C1" s="8"/>
      <c r="D1" s="9" t="s">
        <v>15</v>
      </c>
      <c r="E1" s="7" t="s">
        <v>16</v>
      </c>
      <c r="F1" s="10"/>
      <c r="G1" s="7" t="s">
        <v>17</v>
      </c>
      <c r="H1" s="36"/>
    </row>
    <row r="2">
      <c r="A2" s="11"/>
      <c r="B2" s="12" t="s">
        <v>18</v>
      </c>
      <c r="C2" s="13" t="s">
        <v>19</v>
      </c>
      <c r="D2" s="14"/>
      <c r="E2" s="15" t="s">
        <v>20</v>
      </c>
      <c r="F2" s="16" t="s">
        <v>21</v>
      </c>
      <c r="G2" s="62" t="s">
        <v>22</v>
      </c>
      <c r="H2" s="41" t="s">
        <v>23</v>
      </c>
    </row>
    <row r="3">
      <c r="A3" s="63" t="s">
        <v>115</v>
      </c>
      <c r="B3" s="23">
        <v>597.76</v>
      </c>
      <c r="C3" s="18">
        <v>108.225</v>
      </c>
      <c r="D3" s="80">
        <f t="shared" ref="D3:D5" si="1">IF(B3&lt;=6,100,100+ROUNDDOWN((B3-6)/4,0)*60)</f>
        <v>8920</v>
      </c>
      <c r="E3" s="19">
        <v>2.0</v>
      </c>
      <c r="F3" s="19">
        <f t="shared" ref="F3:F5" si="2">100*E3</f>
        <v>200</v>
      </c>
      <c r="G3" s="77"/>
      <c r="H3" s="77"/>
    </row>
    <row r="4">
      <c r="A4" s="63" t="s">
        <v>116</v>
      </c>
      <c r="B4" s="18">
        <v>3.3585</v>
      </c>
      <c r="C4" s="18">
        <v>7.86</v>
      </c>
      <c r="D4" s="19">
        <f t="shared" si="1"/>
        <v>100</v>
      </c>
      <c r="E4" s="19">
        <f t="shared" ref="E4:E5" si="3">IF(B4&lt;=6,1,ROUNDUP(C4/5,0))</f>
        <v>1</v>
      </c>
      <c r="F4" s="19">
        <f t="shared" si="2"/>
        <v>100</v>
      </c>
      <c r="G4" s="77"/>
      <c r="H4" s="77"/>
    </row>
    <row r="5">
      <c r="A5" s="63" t="s">
        <v>117</v>
      </c>
      <c r="B5" s="18">
        <v>10.27</v>
      </c>
      <c r="C5" s="24">
        <v>13.1</v>
      </c>
      <c r="D5" s="19">
        <f t="shared" si="1"/>
        <v>160</v>
      </c>
      <c r="E5" s="19">
        <f t="shared" si="3"/>
        <v>3</v>
      </c>
      <c r="F5" s="25">
        <f t="shared" si="2"/>
        <v>300</v>
      </c>
      <c r="G5" s="78"/>
      <c r="H5" s="78"/>
    </row>
    <row r="6">
      <c r="A6" s="72" t="s">
        <v>50</v>
      </c>
      <c r="B6" s="73">
        <f>SUM(B3:B5)</f>
        <v>611.3885</v>
      </c>
      <c r="C6" s="27" t="s">
        <v>32</v>
      </c>
      <c r="D6" s="28">
        <f t="shared" ref="D6:F6" si="4">SUM(D3:D5)</f>
        <v>9180</v>
      </c>
      <c r="E6" s="28">
        <f t="shared" si="4"/>
        <v>6</v>
      </c>
      <c r="F6" s="28">
        <f t="shared" si="4"/>
        <v>600</v>
      </c>
      <c r="G6" s="86"/>
      <c r="H6" s="87"/>
    </row>
    <row r="9">
      <c r="K9" s="30" t="s">
        <v>51</v>
      </c>
      <c r="L9" s="8"/>
      <c r="M9" s="9" t="s">
        <v>52</v>
      </c>
      <c r="N9" s="9" t="s">
        <v>53</v>
      </c>
      <c r="O9" s="9" t="s">
        <v>21</v>
      </c>
      <c r="P9" s="9" t="s">
        <v>54</v>
      </c>
      <c r="Q9" s="84" t="s">
        <v>55</v>
      </c>
      <c r="R9" s="84" t="s">
        <v>56</v>
      </c>
      <c r="S9" s="9" t="s">
        <v>57</v>
      </c>
      <c r="T9" s="9" t="s">
        <v>58</v>
      </c>
      <c r="U9" s="7" t="s">
        <v>60</v>
      </c>
      <c r="V9" s="10"/>
      <c r="W9" s="36"/>
    </row>
    <row r="10">
      <c r="K10" s="37" t="s">
        <v>5</v>
      </c>
      <c r="L10" s="16" t="s">
        <v>61</v>
      </c>
      <c r="M10" s="14"/>
      <c r="N10" s="14"/>
      <c r="O10" s="14"/>
      <c r="P10" s="14"/>
      <c r="Q10" s="85"/>
      <c r="R10" s="85"/>
      <c r="S10" s="14"/>
      <c r="T10" s="14"/>
      <c r="U10" s="16" t="s">
        <v>61</v>
      </c>
      <c r="V10" s="16" t="s">
        <v>65</v>
      </c>
      <c r="W10" s="41" t="s">
        <v>66</v>
      </c>
    </row>
    <row r="11">
      <c r="K11" s="42">
        <v>1.0</v>
      </c>
      <c r="L11" s="42" t="s">
        <v>67</v>
      </c>
      <c r="M11" s="42">
        <v>220.0</v>
      </c>
      <c r="N11" s="19" t="str">
        <f>CONCATENATE(A4,CHAR(10),A5)</f>
        <v>Hall
Sala</v>
      </c>
      <c r="O11" s="42">
        <f>SUM(D4:D5)</f>
        <v>260</v>
      </c>
      <c r="P11" s="43">
        <f t="shared" ref="P11:P17" si="5">O11/M11</f>
        <v>1.181818182</v>
      </c>
      <c r="Q11" s="43">
        <f t="shared" ref="Q11:Q17" si="6">P11/0.8</f>
        <v>1.477272727</v>
      </c>
      <c r="R11" s="44">
        <v>15.5</v>
      </c>
      <c r="S11" s="44">
        <v>3.0</v>
      </c>
      <c r="T11" s="44" t="s">
        <v>7</v>
      </c>
      <c r="U11" s="42"/>
      <c r="V11" s="42"/>
      <c r="W11" s="42" t="str">
        <f t="shared" ref="W11:W17" si="7">CONCATENATE("10",CHAR(10),"25")</f>
        <v>10
25</v>
      </c>
    </row>
    <row r="12">
      <c r="K12" s="44">
        <v>2.0</v>
      </c>
      <c r="L12" s="44" t="s">
        <v>134</v>
      </c>
      <c r="M12" s="44">
        <v>220.0</v>
      </c>
      <c r="N12" s="19" t="str">
        <f>CONCATENATE(A3)</f>
        <v>Garagem</v>
      </c>
      <c r="O12" s="42">
        <f>D3/5</f>
        <v>1784</v>
      </c>
      <c r="P12" s="43">
        <f t="shared" si="5"/>
        <v>8.109090909</v>
      </c>
      <c r="Q12" s="43">
        <f t="shared" si="6"/>
        <v>10.13636364</v>
      </c>
      <c r="R12" s="44">
        <v>15.5</v>
      </c>
      <c r="S12" s="44">
        <v>3.0</v>
      </c>
      <c r="T12" s="44" t="s">
        <v>7</v>
      </c>
      <c r="U12" s="42"/>
      <c r="V12" s="42"/>
      <c r="W12" s="42" t="str">
        <f t="shared" si="7"/>
        <v>10
25</v>
      </c>
    </row>
    <row r="13">
      <c r="K13" s="44">
        <v>3.0</v>
      </c>
      <c r="L13" s="44" t="s">
        <v>135</v>
      </c>
      <c r="M13" s="44">
        <v>220.0</v>
      </c>
      <c r="N13" s="19" t="str">
        <f>CONCATENATE(A3)</f>
        <v>Garagem</v>
      </c>
      <c r="O13" s="42">
        <f>D3/5</f>
        <v>1784</v>
      </c>
      <c r="P13" s="43">
        <f t="shared" si="5"/>
        <v>8.109090909</v>
      </c>
      <c r="Q13" s="43">
        <f t="shared" si="6"/>
        <v>10.13636364</v>
      </c>
      <c r="R13" s="44">
        <v>15.5</v>
      </c>
      <c r="S13" s="44">
        <v>3.0</v>
      </c>
      <c r="T13" s="44" t="s">
        <v>11</v>
      </c>
      <c r="U13" s="42"/>
      <c r="V13" s="42"/>
      <c r="W13" s="42" t="str">
        <f t="shared" si="7"/>
        <v>10
25</v>
      </c>
    </row>
    <row r="14">
      <c r="K14" s="44">
        <v>4.0</v>
      </c>
      <c r="L14" s="44" t="s">
        <v>136</v>
      </c>
      <c r="M14" s="44">
        <v>220.0</v>
      </c>
      <c r="N14" s="19" t="str">
        <f>CONCATENATE(A3)</f>
        <v>Garagem</v>
      </c>
      <c r="O14" s="42">
        <f>D3/5</f>
        <v>1784</v>
      </c>
      <c r="P14" s="43">
        <f t="shared" si="5"/>
        <v>8.109090909</v>
      </c>
      <c r="Q14" s="43">
        <f t="shared" si="6"/>
        <v>10.13636364</v>
      </c>
      <c r="R14" s="44">
        <v>15.5</v>
      </c>
      <c r="S14" s="44">
        <v>3.0</v>
      </c>
      <c r="T14" s="44" t="s">
        <v>11</v>
      </c>
      <c r="U14" s="42"/>
      <c r="V14" s="42"/>
      <c r="W14" s="42" t="str">
        <f t="shared" si="7"/>
        <v>10
25</v>
      </c>
    </row>
    <row r="15">
      <c r="K15" s="44">
        <v>5.0</v>
      </c>
      <c r="L15" s="44" t="s">
        <v>137</v>
      </c>
      <c r="M15" s="44">
        <v>220.0</v>
      </c>
      <c r="N15" s="19" t="str">
        <f>CONCATENATE(A3)</f>
        <v>Garagem</v>
      </c>
      <c r="O15" s="42">
        <f>D3/5</f>
        <v>1784</v>
      </c>
      <c r="P15" s="43">
        <f t="shared" si="5"/>
        <v>8.109090909</v>
      </c>
      <c r="Q15" s="43">
        <f t="shared" si="6"/>
        <v>10.13636364</v>
      </c>
      <c r="R15" s="44">
        <v>15.5</v>
      </c>
      <c r="S15" s="44">
        <v>3.0</v>
      </c>
      <c r="T15" s="44" t="s">
        <v>11</v>
      </c>
      <c r="U15" s="42"/>
      <c r="V15" s="42"/>
      <c r="W15" s="42" t="str">
        <f t="shared" si="7"/>
        <v>10
25</v>
      </c>
    </row>
    <row r="16">
      <c r="K16" s="44">
        <v>6.0</v>
      </c>
      <c r="L16" s="44" t="s">
        <v>138</v>
      </c>
      <c r="M16" s="42">
        <v>220.0</v>
      </c>
      <c r="N16" s="19" t="str">
        <f>CONCATENATE(A3)</f>
        <v>Garagem</v>
      </c>
      <c r="O16" s="42">
        <f>D3/5</f>
        <v>1784</v>
      </c>
      <c r="P16" s="43">
        <f t="shared" si="5"/>
        <v>8.109090909</v>
      </c>
      <c r="Q16" s="43">
        <f t="shared" si="6"/>
        <v>10.13636364</v>
      </c>
      <c r="R16" s="44">
        <v>15.5</v>
      </c>
      <c r="S16" s="44">
        <v>3.0</v>
      </c>
      <c r="T16" s="44" t="s">
        <v>11</v>
      </c>
      <c r="U16" s="42"/>
      <c r="V16" s="42"/>
      <c r="W16" s="42" t="str">
        <f t="shared" si="7"/>
        <v>10
25</v>
      </c>
    </row>
    <row r="17">
      <c r="K17" s="44">
        <v>7.0</v>
      </c>
      <c r="L17" s="42" t="s">
        <v>71</v>
      </c>
      <c r="M17" s="42">
        <v>220.0</v>
      </c>
      <c r="N17" s="19" t="str">
        <f>CONCATENATE(A3,CHAR(10),A4,CHAR(10),A5)</f>
        <v>Garagem
Hall
Sala</v>
      </c>
      <c r="O17" s="42">
        <f>SUM(F3:F5)</f>
        <v>600</v>
      </c>
      <c r="P17" s="43">
        <f t="shared" si="5"/>
        <v>2.727272727</v>
      </c>
      <c r="Q17" s="43">
        <f t="shared" si="6"/>
        <v>3.409090909</v>
      </c>
      <c r="R17" s="44">
        <v>21.0</v>
      </c>
      <c r="S17" s="44">
        <v>3.0</v>
      </c>
      <c r="T17" s="44" t="s">
        <v>11</v>
      </c>
      <c r="U17" s="42"/>
      <c r="V17" s="42"/>
      <c r="W17" s="88" t="str">
        <f t="shared" si="7"/>
        <v>10
25</v>
      </c>
      <c r="X17" s="48" t="s">
        <v>141</v>
      </c>
    </row>
    <row r="18">
      <c r="K18" s="55" t="s">
        <v>87</v>
      </c>
      <c r="L18" s="56"/>
      <c r="M18" s="44">
        <v>220.0</v>
      </c>
      <c r="N18" s="57"/>
      <c r="O18" s="43"/>
      <c r="P18" s="43"/>
      <c r="Q18" s="43"/>
      <c r="R18" s="54"/>
      <c r="S18" s="54"/>
      <c r="T18" s="54"/>
      <c r="U18" s="54"/>
      <c r="V18" s="54"/>
      <c r="W18" s="54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6">
    <mergeCell ref="N9:N10"/>
    <mergeCell ref="O9:O10"/>
    <mergeCell ref="P9:P10"/>
    <mergeCell ref="Q9:Q10"/>
    <mergeCell ref="R9:R10"/>
    <mergeCell ref="S9:S10"/>
    <mergeCell ref="T9:T10"/>
    <mergeCell ref="U9:W9"/>
    <mergeCell ref="A1:A2"/>
    <mergeCell ref="B1:C1"/>
    <mergeCell ref="D1:D2"/>
    <mergeCell ref="E1:F1"/>
    <mergeCell ref="G1:H1"/>
    <mergeCell ref="K9:L9"/>
    <mergeCell ref="M9:M10"/>
    <mergeCell ref="K18:L18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2020-03-26T17:12:55Z</dcterms:created>
  <dc:creator>Levy Gabriel</dc:creator>
</cp:coreProperties>
</file>