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20" yWindow="1080" windowWidth="24915" windowHeight="11625" tabRatio="892" activeTab="1"/>
  </bookViews>
  <sheets>
    <sheet name="Комбайн" sheetId="1" r:id="rId1"/>
    <sheet name="01.10" sheetId="71" r:id="rId2"/>
  </sheets>
  <calcPr calcId="144525"/>
</workbook>
</file>

<file path=xl/calcChain.xml><?xml version="1.0" encoding="utf-8"?>
<calcChain xmlns="http://schemas.openxmlformats.org/spreadsheetml/2006/main">
  <c r="AE14" i="1" l="1"/>
  <c r="AE12" i="1" s="1"/>
  <c r="AE15" i="1"/>
  <c r="AE16" i="1"/>
  <c r="AE11" i="1" l="1"/>
  <c r="AB14" i="1"/>
  <c r="AB11" i="1" s="1"/>
  <c r="AC14" i="1"/>
  <c r="AC12" i="1" s="1"/>
  <c r="AD14" i="1"/>
  <c r="AD11" i="1" s="1"/>
  <c r="AB15" i="1"/>
  <c r="AC15" i="1"/>
  <c r="AD15" i="1"/>
  <c r="AB16" i="1"/>
  <c r="AC16" i="1"/>
  <c r="AD16" i="1"/>
  <c r="AD12" i="1" l="1"/>
  <c r="AB12" i="1"/>
  <c r="AC11" i="1"/>
  <c r="AA32" i="1"/>
  <c r="AA29" i="1"/>
  <c r="AA22" i="1"/>
  <c r="AA21" i="1"/>
  <c r="AA17" i="1"/>
  <c r="Z14" i="1"/>
  <c r="Z11" i="1" s="1"/>
  <c r="AA14" i="1"/>
  <c r="Z15" i="1"/>
  <c r="AA15" i="1"/>
  <c r="Z16" i="1"/>
  <c r="AA16" i="1"/>
  <c r="AA11" i="1" l="1"/>
  <c r="AA12" i="1"/>
  <c r="Z12" i="1"/>
  <c r="Z32" i="1"/>
  <c r="Z31" i="1"/>
  <c r="Z30" i="1"/>
  <c r="Z25" i="1"/>
  <c r="Z29" i="1"/>
  <c r="Z28" i="1"/>
  <c r="Z27" i="1"/>
  <c r="Z26" i="1"/>
  <c r="Z23" i="1"/>
  <c r="Z22" i="1"/>
  <c r="Z21" i="1"/>
  <c r="Z20" i="1"/>
  <c r="Z19" i="1"/>
  <c r="Z18" i="1"/>
  <c r="Z17" i="1"/>
  <c r="Y31" i="1" l="1"/>
  <c r="Y30" i="1"/>
  <c r="Y28" i="1"/>
  <c r="Y27" i="1"/>
  <c r="Y25" i="1"/>
  <c r="Y26" i="1"/>
  <c r="Y22" i="1"/>
  <c r="Y21" i="1"/>
  <c r="Y20" i="1"/>
  <c r="Y19" i="1"/>
  <c r="Y18" i="1"/>
  <c r="Y17" i="1"/>
  <c r="X14" i="1"/>
  <c r="X11" i="1" s="1"/>
  <c r="Y14" i="1"/>
  <c r="X15" i="1"/>
  <c r="Y15" i="1"/>
  <c r="X16" i="1"/>
  <c r="Y16" i="1"/>
  <c r="Y11" i="1" l="1"/>
  <c r="Y12" i="1"/>
  <c r="X12" i="1"/>
  <c r="V14" i="1"/>
  <c r="V11" i="1" s="1"/>
  <c r="W14" i="1"/>
  <c r="W11" i="1" s="1"/>
  <c r="V15" i="1"/>
  <c r="W15" i="1"/>
  <c r="V16" i="1"/>
  <c r="W16" i="1"/>
  <c r="W26" i="1"/>
  <c r="W22" i="1"/>
  <c r="W21" i="1"/>
  <c r="W20" i="1"/>
  <c r="W19" i="1"/>
  <c r="W18" i="1"/>
  <c r="W17" i="1"/>
  <c r="W12" i="1" l="1"/>
  <c r="V12" i="1"/>
  <c r="U14" i="1"/>
  <c r="U11" i="1" s="1"/>
  <c r="U15" i="1"/>
  <c r="U16" i="1"/>
  <c r="U12" i="1" l="1"/>
  <c r="T32" i="1"/>
  <c r="T23" i="1"/>
  <c r="T26" i="1"/>
  <c r="T22" i="1"/>
  <c r="T21" i="1"/>
  <c r="T20" i="1"/>
  <c r="T19" i="1"/>
  <c r="T18" i="1"/>
  <c r="T17" i="1"/>
  <c r="T14" i="1"/>
  <c r="T15" i="1"/>
  <c r="T16" i="1"/>
  <c r="T11" i="1" l="1"/>
  <c r="T12" i="1"/>
  <c r="S31" i="1"/>
  <c r="S28" i="1"/>
  <c r="S27" i="1"/>
  <c r="S25" i="1"/>
  <c r="R32" i="1" l="1"/>
  <c r="S14" i="1"/>
  <c r="S15" i="1"/>
  <c r="S16" i="1"/>
  <c r="S11" i="1" l="1"/>
  <c r="S12" i="1"/>
  <c r="S26" i="1"/>
  <c r="S22" i="1"/>
  <c r="S21" i="1"/>
  <c r="S20" i="1"/>
  <c r="S19" i="1"/>
  <c r="S18" i="1"/>
  <c r="S17" i="1"/>
  <c r="R26" i="1" l="1"/>
  <c r="R22" i="1"/>
  <c r="R28" i="1"/>
  <c r="R27" i="1"/>
  <c r="R25" i="1"/>
  <c r="R21" i="1" l="1"/>
  <c r="R20" i="1"/>
  <c r="R19" i="1"/>
  <c r="R18" i="1"/>
  <c r="R17" i="1"/>
  <c r="R14" i="1" l="1"/>
  <c r="R11" i="1" s="1"/>
  <c r="R15" i="1"/>
  <c r="R16" i="1"/>
  <c r="R12" i="1" l="1"/>
  <c r="Q20" i="1" l="1"/>
  <c r="Q31" i="1"/>
  <c r="Q30" i="1"/>
  <c r="Q28" i="1"/>
  <c r="Q27" i="1"/>
  <c r="Q25" i="1"/>
  <c r="Q26" i="1"/>
  <c r="Q22" i="1"/>
  <c r="Q21" i="1"/>
  <c r="Q19" i="1"/>
  <c r="Q18" i="1"/>
  <c r="Q17" i="1"/>
  <c r="Q16" i="1" l="1"/>
  <c r="Q15" i="1"/>
  <c r="Q14" i="1"/>
  <c r="Q11" i="1" s="1"/>
  <c r="Q12" i="1" l="1"/>
  <c r="P17" i="1" l="1"/>
  <c r="P16" i="1"/>
  <c r="P15" i="1"/>
  <c r="P14" i="1"/>
  <c r="N14" i="1"/>
  <c r="N11" i="1" s="1"/>
  <c r="O14" i="1"/>
  <c r="O11" i="1" s="1"/>
  <c r="N15" i="1"/>
  <c r="O15" i="1"/>
  <c r="N16" i="1"/>
  <c r="O16" i="1"/>
  <c r="M16" i="1"/>
  <c r="M15" i="1"/>
  <c r="M14" i="1"/>
  <c r="P28" i="1"/>
  <c r="P27" i="1"/>
  <c r="P25" i="1"/>
  <c r="P26" i="1"/>
  <c r="P22" i="1"/>
  <c r="P21" i="1"/>
  <c r="P20" i="1"/>
  <c r="P19" i="1"/>
  <c r="P18" i="1"/>
  <c r="P11" i="1" l="1"/>
  <c r="O12" i="1"/>
  <c r="N12" i="1"/>
  <c r="P12" i="1"/>
  <c r="M11" i="1" l="1"/>
  <c r="M12" i="1" l="1"/>
  <c r="L28" i="1"/>
  <c r="L27" i="1"/>
  <c r="L25" i="1"/>
  <c r="L14" i="1" l="1"/>
  <c r="L11" i="1" s="1"/>
  <c r="L15" i="1"/>
  <c r="L16" i="1"/>
  <c r="L12" i="1" l="1"/>
  <c r="K14" i="1"/>
  <c r="K15" i="1"/>
  <c r="K16" i="1"/>
  <c r="K11" i="1" l="1"/>
  <c r="K12" i="1"/>
  <c r="J28" i="1"/>
  <c r="J27" i="1"/>
  <c r="J25" i="1"/>
  <c r="J14" i="1"/>
  <c r="J11" i="1" s="1"/>
  <c r="J15" i="1"/>
  <c r="J16" i="1"/>
  <c r="J12" i="1" l="1"/>
  <c r="H14" i="1"/>
  <c r="I14" i="1"/>
  <c r="H15" i="1"/>
  <c r="I15" i="1"/>
  <c r="H16" i="1"/>
  <c r="I16" i="1"/>
  <c r="H11" i="1" l="1"/>
  <c r="I11" i="1"/>
  <c r="I12" i="1"/>
  <c r="H12" i="1"/>
  <c r="G14" i="1"/>
  <c r="G11" i="1" s="1"/>
  <c r="G15" i="1"/>
  <c r="G16" i="1"/>
  <c r="G12" i="1" l="1"/>
  <c r="F14" i="1"/>
  <c r="F11" i="1" s="1"/>
  <c r="F15" i="1"/>
  <c r="F16" i="1"/>
  <c r="F12" i="1" l="1"/>
  <c r="E16" i="1"/>
  <c r="E15" i="1"/>
  <c r="E14" i="1"/>
  <c r="E11" i="1" l="1"/>
  <c r="E12" i="1" l="1"/>
  <c r="D14" i="1" l="1"/>
  <c r="D15" i="1"/>
  <c r="D16" i="1"/>
  <c r="D13" i="1" l="1"/>
</calcChain>
</file>

<file path=xl/comments1.xml><?xml version="1.0" encoding="utf-8"?>
<comments xmlns="http://schemas.openxmlformats.org/spreadsheetml/2006/main">
  <authors>
    <author>Диспетчер ЧИМК Васюк Евгений</author>
  </authors>
  <commentList>
    <comment ref="U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F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G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H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I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J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K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L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M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N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O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P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Q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R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S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T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V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W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X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Y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Z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A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B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C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D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T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ремонт
</t>
        </r>
      </text>
    </comment>
    <comment ref="U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359</t>
        </r>
      </text>
    </comment>
    <comment ref="U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451</t>
        </r>
      </text>
    </comment>
    <comment ref="U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546 Халявин</t>
        </r>
      </text>
    </comment>
    <comment ref="U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</commentList>
</comments>
</file>

<file path=xl/comments2.xml><?xml version="1.0" encoding="utf-8"?>
<comments xmlns="http://schemas.openxmlformats.org/spreadsheetml/2006/main">
  <authors>
    <author>Диспетчер ЧИМК Васюк Евгений</author>
    <author>LyDjons</author>
  </authors>
  <commentList>
    <comment ref="C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574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584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639</t>
        </r>
      </text>
    </comment>
    <comment ref="C10" authorId="1">
      <text>
        <r>
          <rPr>
            <b/>
            <sz val="9"/>
            <color indexed="81"/>
            <rFont val="Tahoma"/>
            <family val="2"/>
            <charset val="204"/>
          </rPr>
          <t>LyDjons:</t>
        </r>
        <r>
          <rPr>
            <sz val="9"/>
            <color indexed="81"/>
            <rFont val="Tahoma"/>
            <family val="2"/>
            <charset val="204"/>
          </rPr>
          <t xml:space="preserve">
351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554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237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238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239</t>
        </r>
      </text>
    </comment>
    <comment ref="C1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240</t>
        </r>
      </text>
    </comment>
    <comment ref="C1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446</t>
        </r>
      </text>
    </comment>
    <comment ref="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241
</t>
        </r>
      </text>
    </comment>
    <comment ref="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242</t>
        </r>
      </text>
    </comment>
  </commentList>
</comments>
</file>

<file path=xl/sharedStrings.xml><?xml version="1.0" encoding="utf-8"?>
<sst xmlns="http://schemas.openxmlformats.org/spreadsheetml/2006/main" count="137" uniqueCount="81">
  <si>
    <t>Держ №</t>
  </si>
  <si>
    <t>Рік випуску</t>
  </si>
  <si>
    <t>Разом по ІМК</t>
  </si>
  <si>
    <t>Коефіцієнт готовності</t>
  </si>
  <si>
    <t>Коефіцієнт використання</t>
  </si>
  <si>
    <t>в т.ч. працювали</t>
  </si>
  <si>
    <t>простой</t>
  </si>
  <si>
    <t>ремонт</t>
  </si>
  <si>
    <t>ЧІМК</t>
  </si>
  <si>
    <t>Працював</t>
  </si>
  <si>
    <t>Вид робіт вказується</t>
  </si>
  <si>
    <t>Простой</t>
  </si>
  <si>
    <t>Причина простою вказується в примітці</t>
  </si>
  <si>
    <t>Ремонт</t>
  </si>
  <si>
    <t>Причина ремонту вказується в примітці</t>
  </si>
  <si>
    <t>Всього комбайнів</t>
  </si>
  <si>
    <t>Відділення</t>
  </si>
  <si>
    <t>Марка ТЗ</t>
  </si>
  <si>
    <t>Держ. №</t>
  </si>
  <si>
    <t>Вид робіт</t>
  </si>
  <si>
    <t>ПІБ</t>
  </si>
  <si>
    <t>Робота комбайнів</t>
  </si>
  <si>
    <t>Транспортний засіб</t>
  </si>
  <si>
    <t>John Deere S6901</t>
  </si>
  <si>
    <t>John Deere S9880</t>
  </si>
  <si>
    <t>Палессе</t>
  </si>
  <si>
    <t>09039</t>
  </si>
  <si>
    <t>11270</t>
  </si>
  <si>
    <t>11271</t>
  </si>
  <si>
    <t>11273</t>
  </si>
  <si>
    <t>11269</t>
  </si>
  <si>
    <t>11272</t>
  </si>
  <si>
    <t>ПБН-30</t>
  </si>
  <si>
    <t>201357</t>
  </si>
  <si>
    <t>ДОН</t>
  </si>
  <si>
    <t>с.л. 41</t>
  </si>
  <si>
    <t xml:space="preserve">Джон Дір 17638СВ </t>
  </si>
  <si>
    <t>Джон Дір 17640</t>
  </si>
  <si>
    <t>збирання кукурудзи</t>
  </si>
  <si>
    <t>Джон Дір 17637</t>
  </si>
  <si>
    <t>Джон Дір 17635</t>
  </si>
  <si>
    <t>Вересень</t>
  </si>
  <si>
    <t>Най.Class  Lexion 480</t>
  </si>
  <si>
    <t>NewHolland новый</t>
  </si>
  <si>
    <t>вечеря</t>
  </si>
  <si>
    <t>новый New Holland</t>
  </si>
  <si>
    <t>обід</t>
  </si>
  <si>
    <t>Комбайни Халявин</t>
  </si>
  <si>
    <t>вееря</t>
  </si>
  <si>
    <t>Півень</t>
  </si>
  <si>
    <t>Коробко</t>
  </si>
  <si>
    <t>Кордик</t>
  </si>
  <si>
    <t>Василенко</t>
  </si>
  <si>
    <t>Скляров О</t>
  </si>
  <si>
    <t>Скляров М</t>
  </si>
  <si>
    <t>Бублик</t>
  </si>
  <si>
    <t>Іллюшко Л.С</t>
  </si>
  <si>
    <t>Джон-Дір-6920 гос 11293</t>
  </si>
  <si>
    <t>рух комбайнів, бункерів</t>
  </si>
  <si>
    <t>переїзди</t>
  </si>
  <si>
    <t>простій</t>
  </si>
  <si>
    <t>Виконання робіт, години</t>
  </si>
  <si>
    <t xml:space="preserve">най. Case </t>
  </si>
  <si>
    <t>07156</t>
  </si>
  <si>
    <t>07157</t>
  </si>
  <si>
    <t>Данилов Ю.М.</t>
  </si>
  <si>
    <t>Косенко О.І.</t>
  </si>
  <si>
    <t>Бункера Петруші</t>
  </si>
  <si>
    <t>не вигружає дані</t>
  </si>
  <si>
    <t>най. John Deere</t>
  </si>
  <si>
    <t>Комбайни Новий Білоус</t>
  </si>
  <si>
    <t>БункераНовий Білоус</t>
  </si>
  <si>
    <t>Комбайни Петруші</t>
  </si>
  <si>
    <t>1.10</t>
  </si>
  <si>
    <t>Робота комбайнів ГП "ІМК" в жовтні 2014р.</t>
  </si>
  <si>
    <t>най. Class</t>
  </si>
  <si>
    <t>22491</t>
  </si>
  <si>
    <t>най Class Lexion 580</t>
  </si>
  <si>
    <t>17495</t>
  </si>
  <si>
    <t>06551</t>
  </si>
  <si>
    <t>test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</si>
</sst>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Arial Cyr"/>
      <family val="2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sz val="10"/>
      <color theme="0"/>
      <name val="Arial Cyr"/>
      <family val="2"/>
      <charset val="204"/>
    </font>
    <font>
      <sz val="10"/>
      <color theme="1"/>
      <name val="Arial Cyr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114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0" fillId="3" borderId="2" xfId="0" applyFill="1" applyBorder="1"/>
    <xf numFmtId="16" fontId="0" fillId="3" borderId="2" xfId="0" applyNumberFormat="1" applyFill="1" applyBorder="1"/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/>
    <xf numFmtId="0" fontId="4" fillId="0" borderId="2" xfId="0" applyFont="1" applyBorder="1"/>
    <xf numFmtId="0" fontId="0" fillId="5" borderId="2" xfId="0" applyFill="1" applyBorder="1"/>
    <xf numFmtId="0" fontId="4" fillId="0" borderId="2" xfId="0" applyFont="1" applyBorder="1" applyAlignment="1">
      <alignment horizontal="left" indent="2"/>
    </xf>
    <xf numFmtId="0" fontId="0" fillId="0" borderId="2" xfId="0" applyBorder="1"/>
    <xf numFmtId="0" fontId="5" fillId="0" borderId="2" xfId="0" applyFont="1" applyBorder="1"/>
    <xf numFmtId="0" fontId="0" fillId="2" borderId="2" xfId="0" applyFill="1" applyBorder="1"/>
    <xf numFmtId="0" fontId="0" fillId="7" borderId="2" xfId="0" applyFill="1" applyBorder="1"/>
    <xf numFmtId="0" fontId="0" fillId="8" borderId="2" xfId="0" applyFill="1" applyBorder="1"/>
    <xf numFmtId="0" fontId="3" fillId="9" borderId="2" xfId="0" applyFont="1" applyFill="1" applyBorder="1"/>
    <xf numFmtId="2" fontId="0" fillId="9" borderId="2" xfId="0" applyNumberFormat="1" applyFill="1" applyBorder="1"/>
    <xf numFmtId="49" fontId="1" fillId="2" borderId="0" xfId="0" applyNumberFormat="1" applyFont="1" applyFill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4" fillId="0" borderId="11" xfId="0" applyFont="1" applyFill="1" applyBorder="1"/>
    <xf numFmtId="49" fontId="0" fillId="0" borderId="2" xfId="0" applyNumberFormat="1" applyBorder="1" applyAlignment="1">
      <alignment horizontal="left"/>
    </xf>
    <xf numFmtId="0" fontId="0" fillId="11" borderId="2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0" xfId="0"/>
    <xf numFmtId="0" fontId="0" fillId="0" borderId="2" xfId="0" applyBorder="1"/>
    <xf numFmtId="2" fontId="0" fillId="9" borderId="2" xfId="0" applyNumberFormat="1" applyFill="1" applyBorder="1"/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0" fontId="0" fillId="0" borderId="0" xfId="0" applyBorder="1"/>
    <xf numFmtId="0" fontId="0" fillId="4" borderId="2" xfId="0" applyFill="1" applyBorder="1"/>
    <xf numFmtId="0" fontId="0" fillId="0" borderId="2" xfId="0" applyBorder="1" applyAlignment="1">
      <alignment horizontal="left"/>
    </xf>
    <xf numFmtId="0" fontId="0" fillId="0" borderId="0" xfId="0"/>
    <xf numFmtId="0" fontId="0" fillId="5" borderId="2" xfId="0" applyFill="1" applyBorder="1"/>
    <xf numFmtId="0" fontId="0" fillId="0" borderId="2" xfId="0" applyBorder="1"/>
    <xf numFmtId="0" fontId="0" fillId="2" borderId="2" xfId="0" applyFill="1" applyBorder="1"/>
    <xf numFmtId="0" fontId="0" fillId="7" borderId="2" xfId="0" applyFill="1" applyBorder="1"/>
    <xf numFmtId="0" fontId="0" fillId="0" borderId="2" xfId="0" applyFill="1" applyBorder="1"/>
    <xf numFmtId="49" fontId="0" fillId="0" borderId="4" xfId="0" applyNumberFormat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13" xfId="0" applyBorder="1"/>
    <xf numFmtId="49" fontId="0" fillId="0" borderId="2" xfId="0" applyNumberFormat="1" applyBorder="1" applyAlignment="1">
      <alignment horizontal="left" vertical="center"/>
    </xf>
    <xf numFmtId="0" fontId="0" fillId="2" borderId="0" xfId="0" applyFill="1"/>
    <xf numFmtId="0" fontId="0" fillId="7" borderId="0" xfId="0" applyFill="1"/>
    <xf numFmtId="0" fontId="0" fillId="7" borderId="10" xfId="0" applyFill="1" applyBorder="1"/>
    <xf numFmtId="0" fontId="0" fillId="0" borderId="4" xfId="0" applyFill="1" applyBorder="1"/>
    <xf numFmtId="0" fontId="0" fillId="7" borderId="4" xfId="0" applyFill="1" applyBorder="1"/>
    <xf numFmtId="0" fontId="0" fillId="2" borderId="4" xfId="0" applyFill="1" applyBorder="1"/>
    <xf numFmtId="0" fontId="0" fillId="0" borderId="11" xfId="0" applyFill="1" applyBorder="1"/>
    <xf numFmtId="0" fontId="0" fillId="5" borderId="11" xfId="0" applyFill="1" applyBorder="1"/>
    <xf numFmtId="0" fontId="0" fillId="0" borderId="14" xfId="0" applyBorder="1"/>
    <xf numFmtId="0" fontId="0" fillId="0" borderId="7" xfId="0" applyBorder="1"/>
    <xf numFmtId="0" fontId="4" fillId="0" borderId="13" xfId="0" applyFont="1" applyFill="1" applyBorder="1"/>
    <xf numFmtId="0" fontId="0" fillId="0" borderId="13" xfId="0" applyFill="1" applyBorder="1"/>
    <xf numFmtId="0" fontId="0" fillId="7" borderId="13" xfId="0" applyFill="1" applyBorder="1"/>
    <xf numFmtId="0" fontId="0" fillId="2" borderId="13" xfId="0" applyFill="1" applyBorder="1"/>
    <xf numFmtId="0" fontId="0" fillId="5" borderId="13" xfId="0" applyFill="1" applyBorder="1"/>
    <xf numFmtId="0" fontId="0" fillId="0" borderId="15" xfId="0" applyBorder="1"/>
    <xf numFmtId="0" fontId="4" fillId="0" borderId="4" xfId="0" applyFont="1" applyFill="1" applyBorder="1"/>
    <xf numFmtId="0" fontId="0" fillId="0" borderId="11" xfId="0" applyBorder="1"/>
    <xf numFmtId="49" fontId="0" fillId="0" borderId="1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0" fontId="0" fillId="11" borderId="11" xfId="0" applyFill="1" applyBorder="1"/>
    <xf numFmtId="0" fontId="0" fillId="0" borderId="4" xfId="0" applyFill="1" applyBorder="1" applyAlignment="1"/>
    <xf numFmtId="0" fontId="4" fillId="0" borderId="2" xfId="0" applyFont="1" applyFill="1" applyBorder="1" applyAlignment="1"/>
    <xf numFmtId="0" fontId="0" fillId="12" borderId="0" xfId="0" applyFill="1"/>
    <xf numFmtId="0" fontId="0" fillId="2" borderId="9" xfId="0" applyFill="1" applyBorder="1"/>
    <xf numFmtId="0" fontId="0" fillId="0" borderId="9" xfId="0" applyFill="1" applyBorder="1"/>
    <xf numFmtId="0" fontId="0" fillId="5" borderId="9" xfId="0" applyFill="1" applyBorder="1"/>
    <xf numFmtId="0" fontId="0" fillId="0" borderId="11" xfId="0" applyBorder="1" applyAlignment="1">
      <alignment horizontal="left"/>
    </xf>
    <xf numFmtId="0" fontId="0" fillId="0" borderId="16" xfId="0" applyBorder="1"/>
    <xf numFmtId="0" fontId="0" fillId="0" borderId="17" xfId="0" applyBorder="1"/>
    <xf numFmtId="49" fontId="0" fillId="0" borderId="13" xfId="0" applyNumberFormat="1" applyBorder="1" applyAlignment="1">
      <alignment horizontal="left"/>
    </xf>
    <xf numFmtId="0" fontId="0" fillId="5" borderId="10" xfId="0" applyFill="1" applyBorder="1"/>
    <xf numFmtId="0" fontId="0" fillId="0" borderId="20" xfId="0" applyBorder="1"/>
    <xf numFmtId="0" fontId="0" fillId="7" borderId="9" xfId="0" applyFill="1" applyBorder="1"/>
    <xf numFmtId="0" fontId="0" fillId="2" borderId="10" xfId="0" applyFill="1" applyBorder="1"/>
    <xf numFmtId="0" fontId="0" fillId="0" borderId="0" xfId="0" applyBorder="1" applyAlignment="1"/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/>
    <xf numFmtId="0" fontId="0" fillId="11" borderId="13" xfId="0" applyFill="1" applyBorder="1"/>
    <xf numFmtId="0" fontId="0" fillId="0" borderId="11" xfId="0" applyBorder="1" applyAlignment="1">
      <alignment horizontal="center"/>
    </xf>
    <xf numFmtId="0" fontId="0" fillId="11" borderId="4" xfId="0" applyFill="1" applyBorder="1"/>
    <xf numFmtId="0" fontId="0" fillId="0" borderId="13" xfId="0" applyBorder="1" applyAlignment="1">
      <alignment horizontal="left"/>
    </xf>
    <xf numFmtId="0" fontId="9" fillId="0" borderId="13" xfId="0" applyFont="1" applyFill="1" applyBorder="1" applyAlignment="1">
      <alignment vertical="center" wrapText="1"/>
    </xf>
    <xf numFmtId="49" fontId="0" fillId="0" borderId="9" xfId="0" applyNumberFormat="1" applyBorder="1" applyAlignment="1">
      <alignment horizontal="left" vertical="center"/>
    </xf>
    <xf numFmtId="0" fontId="4" fillId="0" borderId="9" xfId="0" applyFont="1" applyFill="1" applyBorder="1" applyAlignment="1"/>
    <xf numFmtId="49" fontId="0" fillId="0" borderId="4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24" xfId="0" applyNumberFormat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10" borderId="6" xfId="0" applyFill="1" applyBorder="1" applyAlignment="1">
      <alignment horizontal="center" vertical="center" wrapText="1"/>
    </xf>
  </cellXfs>
  <cellStyles count="2">
    <cellStyle name="Обычный" xfId="0" builtinId="0"/>
    <cellStyle name="Обычный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AH36"/>
  <sheetViews>
    <sheetView workbookViewId="0">
      <pane xSplit="3" ySplit="4" topLeftCell="L5" activePane="bottomRight" state="frozen"/>
      <selection activeCell="AH12" sqref="AH12"/>
      <selection pane="topRight" activeCell="AH12" sqref="AH12"/>
      <selection pane="bottomLeft" activeCell="AH12" sqref="AH12"/>
      <selection pane="bottomRight" activeCell="AH12" sqref="AH12"/>
    </sheetView>
  </sheetViews>
  <sheetFormatPr defaultRowHeight="15" outlineLevelRow="1" x14ac:dyDescent="0.25"/>
  <cols>
    <col min="1" max="1" width="28" customWidth="1"/>
    <col min="2" max="2" width="10.5703125" customWidth="1"/>
    <col min="3" max="3" width="13.28515625" customWidth="1"/>
  </cols>
  <sheetData>
    <row r="1" spans="1:34" ht="18" customHeight="1" x14ac:dyDescent="0.25">
      <c r="A1" s="103" t="s">
        <v>74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34" x14ac:dyDescent="0.25">
      <c r="A2" s="1" t="s">
        <v>22</v>
      </c>
      <c r="B2" s="1" t="s">
        <v>0</v>
      </c>
      <c r="C2" s="1" t="s">
        <v>1</v>
      </c>
      <c r="D2" s="2" t="s">
        <v>41</v>
      </c>
      <c r="E2" s="3">
        <v>41913</v>
      </c>
      <c r="F2" s="3">
        <v>41884</v>
      </c>
      <c r="G2" s="3">
        <v>41885</v>
      </c>
      <c r="H2" s="3">
        <v>41886</v>
      </c>
      <c r="I2" s="3">
        <v>41887</v>
      </c>
      <c r="J2" s="3">
        <v>41888</v>
      </c>
      <c r="K2" s="3">
        <v>41889</v>
      </c>
      <c r="L2" s="3">
        <v>41890</v>
      </c>
      <c r="M2" s="3">
        <v>41891</v>
      </c>
      <c r="N2" s="3">
        <v>41892</v>
      </c>
      <c r="O2" s="3">
        <v>41893</v>
      </c>
      <c r="P2" s="3">
        <v>41894</v>
      </c>
      <c r="Q2" s="3">
        <v>41895</v>
      </c>
      <c r="R2" s="3">
        <v>41896</v>
      </c>
      <c r="S2" s="3">
        <v>41897</v>
      </c>
      <c r="T2" s="3">
        <v>41898</v>
      </c>
      <c r="U2" s="3">
        <v>41899</v>
      </c>
      <c r="V2" s="3">
        <v>41900</v>
      </c>
      <c r="W2" s="3">
        <v>41901</v>
      </c>
      <c r="X2" s="3">
        <v>41902</v>
      </c>
      <c r="Y2" s="3">
        <v>41903</v>
      </c>
      <c r="Z2" s="3">
        <v>41904</v>
      </c>
      <c r="AA2" s="3">
        <v>41905</v>
      </c>
      <c r="AB2" s="3">
        <v>41906</v>
      </c>
      <c r="AC2" s="3">
        <v>41907</v>
      </c>
      <c r="AD2" s="3">
        <v>41908</v>
      </c>
      <c r="AE2" s="3">
        <v>41909</v>
      </c>
      <c r="AF2" s="3">
        <v>41910</v>
      </c>
      <c r="AG2" s="3">
        <v>41911</v>
      </c>
      <c r="AH2" s="3">
        <v>41912</v>
      </c>
    </row>
    <row r="3" spans="1:34" x14ac:dyDescent="0.25">
      <c r="A3" s="4" t="s">
        <v>2</v>
      </c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</row>
    <row r="4" spans="1:34" x14ac:dyDescent="0.25">
      <c r="A4" s="4" t="s">
        <v>3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</row>
    <row r="5" spans="1:34" x14ac:dyDescent="0.25">
      <c r="A5" s="4" t="s">
        <v>4</v>
      </c>
      <c r="B5" s="4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4" x14ac:dyDescent="0.25">
      <c r="A6" s="6" t="s">
        <v>15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</row>
    <row r="7" spans="1:34" x14ac:dyDescent="0.25">
      <c r="A7" s="8" t="s">
        <v>5</v>
      </c>
      <c r="B7" s="8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</row>
    <row r="8" spans="1:34" x14ac:dyDescent="0.25">
      <c r="A8" s="8" t="s">
        <v>6</v>
      </c>
      <c r="B8" s="8"/>
      <c r="C8" s="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</row>
    <row r="9" spans="1:34" x14ac:dyDescent="0.25">
      <c r="A9" s="8" t="s">
        <v>7</v>
      </c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</row>
    <row r="10" spans="1:34" x14ac:dyDescent="0.25">
      <c r="A10" s="14" t="s">
        <v>8</v>
      </c>
      <c r="B10" s="14"/>
      <c r="C10" s="14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</row>
    <row r="11" spans="1:34" x14ac:dyDescent="0.25">
      <c r="A11" s="14" t="s">
        <v>3</v>
      </c>
      <c r="B11" s="14"/>
      <c r="C11" s="14"/>
      <c r="D11" s="15"/>
      <c r="E11" s="15">
        <f t="shared" ref="E11:F11" si="0">(E14+E15)/E13</f>
        <v>1</v>
      </c>
      <c r="F11" s="26">
        <f t="shared" si="0"/>
        <v>1</v>
      </c>
      <c r="G11" s="26">
        <f t="shared" ref="G11:I11" si="1">(G14+G15)/G13</f>
        <v>1</v>
      </c>
      <c r="H11" s="26">
        <f t="shared" si="1"/>
        <v>1</v>
      </c>
      <c r="I11" s="26">
        <f t="shared" si="1"/>
        <v>1</v>
      </c>
      <c r="J11" s="26">
        <f t="shared" ref="J11:K11" si="2">(J14+J15)/J13</f>
        <v>1</v>
      </c>
      <c r="K11" s="26">
        <f t="shared" si="2"/>
        <v>1</v>
      </c>
      <c r="L11" s="26">
        <f t="shared" ref="L11:M11" si="3">(L14+L15)/L13</f>
        <v>1</v>
      </c>
      <c r="M11" s="26">
        <f t="shared" si="3"/>
        <v>1</v>
      </c>
      <c r="N11" s="26">
        <f t="shared" ref="N11:O11" si="4">(N14+N15)/N13</f>
        <v>1</v>
      </c>
      <c r="O11" s="26">
        <f t="shared" si="4"/>
        <v>1</v>
      </c>
      <c r="P11" s="26">
        <f t="shared" ref="P11:Q11" si="5">(P14+P15)/P13</f>
        <v>1</v>
      </c>
      <c r="Q11" s="26">
        <f t="shared" si="5"/>
        <v>1</v>
      </c>
      <c r="R11" s="26">
        <f t="shared" ref="R11:S11" si="6">(R14+R15)/R13</f>
        <v>1</v>
      </c>
      <c r="S11" s="26">
        <f t="shared" si="6"/>
        <v>1</v>
      </c>
      <c r="T11" s="26">
        <f t="shared" ref="T11:U11" si="7">(T14+T15)/T13</f>
        <v>1</v>
      </c>
      <c r="U11" s="26">
        <f t="shared" si="7"/>
        <v>1</v>
      </c>
      <c r="V11" s="26">
        <f t="shared" ref="V11:W11" si="8">(V14+V15)/V13</f>
        <v>1</v>
      </c>
      <c r="W11" s="26">
        <f t="shared" si="8"/>
        <v>1</v>
      </c>
      <c r="X11" s="26">
        <f t="shared" ref="X11:Y11" si="9">(X14+X15)/X13</f>
        <v>1</v>
      </c>
      <c r="Y11" s="26">
        <f t="shared" si="9"/>
        <v>1</v>
      </c>
      <c r="Z11" s="26">
        <f t="shared" ref="Z11:AA11" si="10">(Z14+Z15)/Z13</f>
        <v>1</v>
      </c>
      <c r="AA11" s="26">
        <f t="shared" si="10"/>
        <v>0.9375</v>
      </c>
      <c r="AB11" s="26">
        <f t="shared" ref="AB11:AD11" si="11">(AB14+AB15)/AB13</f>
        <v>1</v>
      </c>
      <c r="AC11" s="26">
        <f t="shared" si="11"/>
        <v>1</v>
      </c>
      <c r="AD11" s="26">
        <f t="shared" si="11"/>
        <v>1</v>
      </c>
      <c r="AE11" s="26">
        <f t="shared" ref="AE11" si="12">(AE14+AE15)/AE13</f>
        <v>1</v>
      </c>
      <c r="AF11" s="26"/>
      <c r="AG11" s="26"/>
      <c r="AH11" s="26"/>
    </row>
    <row r="12" spans="1:34" x14ac:dyDescent="0.25">
      <c r="A12" s="14" t="s">
        <v>4</v>
      </c>
      <c r="B12" s="14"/>
      <c r="C12" s="14"/>
      <c r="D12" s="15"/>
      <c r="E12" s="15">
        <f t="shared" ref="E12:F12" si="13">E14/E13</f>
        <v>0.84615384615384615</v>
      </c>
      <c r="F12" s="26">
        <f t="shared" si="13"/>
        <v>0.84615384615384615</v>
      </c>
      <c r="G12" s="26">
        <f t="shared" ref="G12:I12" si="14">G14/G13</f>
        <v>0.92307692307692313</v>
      </c>
      <c r="H12" s="26">
        <f t="shared" si="14"/>
        <v>0.92307692307692313</v>
      </c>
      <c r="I12" s="26">
        <f t="shared" si="14"/>
        <v>0.92307692307692313</v>
      </c>
      <c r="J12" s="26">
        <f t="shared" ref="J12:K12" si="15">J14/J13</f>
        <v>0.92307692307692313</v>
      </c>
      <c r="K12" s="26">
        <f t="shared" si="15"/>
        <v>0.69230769230769229</v>
      </c>
      <c r="L12" s="26">
        <f t="shared" ref="L12:M12" si="16">L14/L13</f>
        <v>0.84615384615384615</v>
      </c>
      <c r="M12" s="26">
        <f t="shared" si="16"/>
        <v>0.9285714285714286</v>
      </c>
      <c r="N12" s="26">
        <f t="shared" ref="N12:O12" si="17">N14/N13</f>
        <v>0.9285714285714286</v>
      </c>
      <c r="O12" s="26">
        <f t="shared" si="17"/>
        <v>0.7857142857142857</v>
      </c>
      <c r="P12" s="26">
        <f t="shared" ref="P12:Q12" si="18">P14/P13</f>
        <v>0.93333333333333335</v>
      </c>
      <c r="Q12" s="26">
        <f t="shared" si="18"/>
        <v>0.9375</v>
      </c>
      <c r="R12" s="26">
        <f t="shared" ref="R12:S12" si="19">R14/R13</f>
        <v>0.875</v>
      </c>
      <c r="S12" s="26">
        <f t="shared" si="19"/>
        <v>0.9375</v>
      </c>
      <c r="T12" s="26">
        <f t="shared" ref="T12:U12" si="20">T14/T13</f>
        <v>0.875</v>
      </c>
      <c r="U12" s="26">
        <f t="shared" si="20"/>
        <v>0</v>
      </c>
      <c r="V12" s="26">
        <f t="shared" ref="V12:W12" si="21">V14/V13</f>
        <v>0</v>
      </c>
      <c r="W12" s="26">
        <f t="shared" si="21"/>
        <v>0.875</v>
      </c>
      <c r="X12" s="26">
        <f t="shared" ref="X12:Y12" si="22">X14/X13</f>
        <v>0.9375</v>
      </c>
      <c r="Y12" s="26">
        <f t="shared" si="22"/>
        <v>0.9375</v>
      </c>
      <c r="Z12" s="26">
        <f t="shared" ref="Z12:AA12" si="23">Z14/Z13</f>
        <v>0.9375</v>
      </c>
      <c r="AA12" s="26">
        <f t="shared" si="23"/>
        <v>0.875</v>
      </c>
      <c r="AB12" s="26">
        <f t="shared" ref="AB12:AD12" si="24">AB14/AB13</f>
        <v>0.5625</v>
      </c>
      <c r="AC12" s="26">
        <f t="shared" si="24"/>
        <v>0</v>
      </c>
      <c r="AD12" s="26">
        <f t="shared" si="24"/>
        <v>0</v>
      </c>
      <c r="AE12" s="26">
        <f t="shared" ref="AE12" si="25">AE14/AE13</f>
        <v>0.5</v>
      </c>
      <c r="AF12" s="26"/>
      <c r="AG12" s="26"/>
      <c r="AH12" s="26"/>
    </row>
    <row r="13" spans="1:34" x14ac:dyDescent="0.25">
      <c r="A13" s="6" t="s">
        <v>15</v>
      </c>
      <c r="B13" s="6"/>
      <c r="C13" s="6"/>
      <c r="D13" s="10">
        <f>SUM(Q13:T13)</f>
        <v>64</v>
      </c>
      <c r="E13" s="7">
        <v>13</v>
      </c>
      <c r="F13" s="33">
        <v>13</v>
      </c>
      <c r="G13" s="33">
        <v>13</v>
      </c>
      <c r="H13" s="33">
        <v>13</v>
      </c>
      <c r="I13" s="33">
        <v>13</v>
      </c>
      <c r="J13" s="33">
        <v>13</v>
      </c>
      <c r="K13" s="33">
        <v>13</v>
      </c>
      <c r="L13" s="33">
        <v>13</v>
      </c>
      <c r="M13" s="33">
        <v>14</v>
      </c>
      <c r="N13" s="33">
        <v>14</v>
      </c>
      <c r="O13" s="33">
        <v>14</v>
      </c>
      <c r="P13" s="33">
        <v>15</v>
      </c>
      <c r="Q13" s="33">
        <v>16</v>
      </c>
      <c r="R13" s="33">
        <v>16</v>
      </c>
      <c r="S13" s="33">
        <v>16</v>
      </c>
      <c r="T13" s="33">
        <v>16</v>
      </c>
      <c r="U13" s="33">
        <v>16</v>
      </c>
      <c r="V13" s="33">
        <v>16</v>
      </c>
      <c r="W13" s="33">
        <v>16</v>
      </c>
      <c r="X13" s="33">
        <v>16</v>
      </c>
      <c r="Y13" s="33">
        <v>16</v>
      </c>
      <c r="Z13" s="33">
        <v>16</v>
      </c>
      <c r="AA13" s="33">
        <v>16</v>
      </c>
      <c r="AB13" s="33">
        <v>16</v>
      </c>
      <c r="AC13" s="33">
        <v>16</v>
      </c>
      <c r="AD13" s="33">
        <v>16</v>
      </c>
      <c r="AE13" s="33">
        <v>16</v>
      </c>
      <c r="AF13" s="33"/>
      <c r="AG13" s="33"/>
      <c r="AH13" s="33"/>
    </row>
    <row r="14" spans="1:34" x14ac:dyDescent="0.25">
      <c r="A14" s="8" t="s">
        <v>5</v>
      </c>
      <c r="B14" s="8"/>
      <c r="C14" s="8"/>
      <c r="D14" s="10">
        <f>SUM(Q14:T14)</f>
        <v>58</v>
      </c>
      <c r="E14" s="9">
        <f>COUNTIFS(E17:E29,"&lt;&gt;0",E17:E29,"&lt;&gt;1")</f>
        <v>11</v>
      </c>
      <c r="F14" s="34">
        <f>COUNTIFS(F17:F29,"&lt;&gt;0",F17:F29,"&lt;&gt;1")</f>
        <v>11</v>
      </c>
      <c r="G14" s="34">
        <f>COUNTIFS(G17:G29,"&lt;&gt;0",G17:G29,"&lt;&gt;1")</f>
        <v>12</v>
      </c>
      <c r="H14" s="34">
        <f t="shared" ref="H14:I14" si="26">COUNTIFS(H17:H29,"&lt;&gt;0",H17:H29,"&lt;&gt;1")</f>
        <v>12</v>
      </c>
      <c r="I14" s="34">
        <f t="shared" si="26"/>
        <v>12</v>
      </c>
      <c r="J14" s="34">
        <f t="shared" ref="J14:K14" si="27">COUNTIFS(J17:J29,"&lt;&gt;0",J17:J29,"&lt;&gt;1")</f>
        <v>12</v>
      </c>
      <c r="K14" s="34">
        <f t="shared" si="27"/>
        <v>9</v>
      </c>
      <c r="L14" s="34">
        <f t="shared" ref="L14" si="28">COUNTIFS(L17:L29,"&lt;&gt;0",L17:L29,"&lt;&gt;1")</f>
        <v>11</v>
      </c>
      <c r="M14" s="34">
        <f>COUNTIFS(M17:M30,"&lt;&gt;0",M17:M30,"&lt;&gt;1")</f>
        <v>13</v>
      </c>
      <c r="N14" s="34">
        <f t="shared" ref="N14:O14" si="29">COUNTIFS(N17:N30,"&lt;&gt;0",N17:N30,"&lt;&gt;1")</f>
        <v>13</v>
      </c>
      <c r="O14" s="34">
        <f t="shared" si="29"/>
        <v>11</v>
      </c>
      <c r="P14" s="34">
        <f>COUNTIFS(P17:P31,"&lt;&gt;0",P17:P31,"&lt;&gt;1")</f>
        <v>14</v>
      </c>
      <c r="Q14" s="34">
        <f>COUNTIFS(Q17:Q32,"&lt;&gt;0",Q17:Q32,"&lt;&gt;1")</f>
        <v>15</v>
      </c>
      <c r="R14" s="34">
        <f>COUNTIFS(R17:R32,"&lt;&gt;0",R17:R32,"&lt;&gt;1")</f>
        <v>14</v>
      </c>
      <c r="S14" s="34">
        <f>COUNTIFS(S17:S32,"&lt;&gt;0",S17:S32,"&lt;&gt;1")</f>
        <v>15</v>
      </c>
      <c r="T14" s="34">
        <f>COUNTIFS(T17:T32,"&lt;&gt;0",T17:T32,"&lt;&gt;1")</f>
        <v>14</v>
      </c>
      <c r="U14" s="34">
        <f>COUNTIFS(U17:U32,"&lt;&gt;0",U17:U32,"&lt;&gt;1")</f>
        <v>0</v>
      </c>
      <c r="V14" s="34">
        <f t="shared" ref="V14:W14" si="30">COUNTIFS(V17:V32,"&lt;&gt;0",V17:V32,"&lt;&gt;1")</f>
        <v>0</v>
      </c>
      <c r="W14" s="34">
        <f t="shared" si="30"/>
        <v>14</v>
      </c>
      <c r="X14" s="34">
        <f t="shared" ref="X14:Y14" si="31">COUNTIFS(X17:X32,"&lt;&gt;0",X17:X32,"&lt;&gt;1")</f>
        <v>15</v>
      </c>
      <c r="Y14" s="34">
        <f t="shared" si="31"/>
        <v>15</v>
      </c>
      <c r="Z14" s="34">
        <f t="shared" ref="Z14:AA14" si="32">COUNTIFS(Z17:Z32,"&lt;&gt;0",Z17:Z32,"&lt;&gt;1")</f>
        <v>15</v>
      </c>
      <c r="AA14" s="34">
        <f t="shared" si="32"/>
        <v>14</v>
      </c>
      <c r="AB14" s="34">
        <f t="shared" ref="AB14:AD14" si="33">COUNTIFS(AB17:AB32,"&lt;&gt;0",AB17:AB32,"&lt;&gt;1")</f>
        <v>9</v>
      </c>
      <c r="AC14" s="34">
        <f t="shared" si="33"/>
        <v>0</v>
      </c>
      <c r="AD14" s="34">
        <f t="shared" si="33"/>
        <v>0</v>
      </c>
      <c r="AE14" s="34">
        <f t="shared" ref="AE14" si="34">COUNTIFS(AE17:AE32,"&lt;&gt;0",AE17:AE32,"&lt;&gt;1")</f>
        <v>8</v>
      </c>
      <c r="AF14" s="34"/>
      <c r="AG14" s="34"/>
      <c r="AH14" s="34"/>
    </row>
    <row r="15" spans="1:34" x14ac:dyDescent="0.25">
      <c r="A15" s="8" t="s">
        <v>6</v>
      </c>
      <c r="B15" s="8"/>
      <c r="C15" s="8"/>
      <c r="D15" s="10">
        <f>SUM(Q15:T15)</f>
        <v>6</v>
      </c>
      <c r="E15" s="7">
        <f>COUNTIF(E17:E29,"=0")</f>
        <v>2</v>
      </c>
      <c r="F15" s="33">
        <f>COUNTIF(F17:F29,"=0")</f>
        <v>2</v>
      </c>
      <c r="G15" s="33">
        <f>COUNTIF(G17:G29,"=0")</f>
        <v>1</v>
      </c>
      <c r="H15" s="33">
        <f t="shared" ref="H15:I15" si="35">COUNTIF(H17:H29,"=0")</f>
        <v>1</v>
      </c>
      <c r="I15" s="33">
        <f t="shared" si="35"/>
        <v>1</v>
      </c>
      <c r="J15" s="33">
        <f t="shared" ref="J15:K15" si="36">COUNTIF(J17:J29,"=0")</f>
        <v>1</v>
      </c>
      <c r="K15" s="33">
        <f t="shared" si="36"/>
        <v>4</v>
      </c>
      <c r="L15" s="33">
        <f t="shared" ref="L15" si="37">COUNTIF(L17:L29,"=0")</f>
        <v>2</v>
      </c>
      <c r="M15" s="33">
        <f>COUNTIF(M17:M30,"=0")</f>
        <v>1</v>
      </c>
      <c r="N15" s="33">
        <f t="shared" ref="N15:O15" si="38">COUNTIF(N17:N30,"=0")</f>
        <v>1</v>
      </c>
      <c r="O15" s="33">
        <f t="shared" si="38"/>
        <v>3</v>
      </c>
      <c r="P15" s="33">
        <f>COUNTIF(P17:P31,"=0")</f>
        <v>1</v>
      </c>
      <c r="Q15" s="33">
        <f>COUNTIF(Q17:Q32,"=0")</f>
        <v>1</v>
      </c>
      <c r="R15" s="33">
        <f>COUNTIF(R17:R32,"=0")</f>
        <v>2</v>
      </c>
      <c r="S15" s="33">
        <f>COUNTIF(S17:S32,"=0")</f>
        <v>1</v>
      </c>
      <c r="T15" s="33">
        <f>COUNTIF(T17:T32,"=0")</f>
        <v>2</v>
      </c>
      <c r="U15" s="33">
        <f>COUNTIF(U17:U32,"=0")</f>
        <v>16</v>
      </c>
      <c r="V15" s="33">
        <f t="shared" ref="V15:W15" si="39">COUNTIF(V17:V32,"=0")</f>
        <v>16</v>
      </c>
      <c r="W15" s="33">
        <f t="shared" si="39"/>
        <v>2</v>
      </c>
      <c r="X15" s="33">
        <f t="shared" ref="X15:Y15" si="40">COUNTIF(X17:X32,"=0")</f>
        <v>1</v>
      </c>
      <c r="Y15" s="33">
        <f t="shared" si="40"/>
        <v>1</v>
      </c>
      <c r="Z15" s="33">
        <f t="shared" ref="Z15:AA15" si="41">COUNTIF(Z17:Z32,"=0")</f>
        <v>1</v>
      </c>
      <c r="AA15" s="33">
        <f t="shared" si="41"/>
        <v>1</v>
      </c>
      <c r="AB15" s="33">
        <f t="shared" ref="AB15:AD15" si="42">COUNTIF(AB17:AB32,"=0")</f>
        <v>7</v>
      </c>
      <c r="AC15" s="33">
        <f t="shared" si="42"/>
        <v>16</v>
      </c>
      <c r="AD15" s="33">
        <f t="shared" si="42"/>
        <v>16</v>
      </c>
      <c r="AE15" s="33">
        <f t="shared" ref="AE15" si="43">COUNTIF(AE17:AE32,"=0")</f>
        <v>8</v>
      </c>
      <c r="AF15" s="33"/>
      <c r="AG15" s="33"/>
      <c r="AH15" s="33"/>
    </row>
    <row r="16" spans="1:34" x14ac:dyDescent="0.25">
      <c r="A16" s="8" t="s">
        <v>7</v>
      </c>
      <c r="B16" s="8"/>
      <c r="C16" s="8"/>
      <c r="D16" s="10">
        <f>SUM(Q16:T16)</f>
        <v>0</v>
      </c>
      <c r="E16" s="7">
        <f>COUNTIF(E17:E29,"=1")</f>
        <v>0</v>
      </c>
      <c r="F16" s="33">
        <f>COUNTIF(F17:F29,"=1")</f>
        <v>0</v>
      </c>
      <c r="G16" s="33">
        <f>COUNTIF(G17:G29,"=1")</f>
        <v>0</v>
      </c>
      <c r="H16" s="33">
        <f t="shared" ref="H16:I16" si="44">COUNTIF(H17:H29,"=1")</f>
        <v>0</v>
      </c>
      <c r="I16" s="33">
        <f t="shared" si="44"/>
        <v>0</v>
      </c>
      <c r="J16" s="33">
        <f t="shared" ref="J16:K16" si="45">COUNTIF(J17:J29,"=1")</f>
        <v>0</v>
      </c>
      <c r="K16" s="33">
        <f t="shared" si="45"/>
        <v>0</v>
      </c>
      <c r="L16" s="33">
        <f t="shared" ref="L16" si="46">COUNTIF(L17:L29,"=1")</f>
        <v>0</v>
      </c>
      <c r="M16" s="33">
        <f>COUNTIF(M17:M30,"=1")</f>
        <v>0</v>
      </c>
      <c r="N16" s="33">
        <f t="shared" ref="N16:O16" si="47">COUNTIF(N17:N30,"=1")</f>
        <v>0</v>
      </c>
      <c r="O16" s="33">
        <f t="shared" si="47"/>
        <v>0</v>
      </c>
      <c r="P16" s="33">
        <f>COUNTIF(P17:P31,"=1")</f>
        <v>0</v>
      </c>
      <c r="Q16" s="33">
        <f>COUNTIF(Q17:Q32,"=1")</f>
        <v>0</v>
      </c>
      <c r="R16" s="33">
        <f>COUNTIF(R17:R32,"=1")</f>
        <v>0</v>
      </c>
      <c r="S16" s="33">
        <f>COUNTIF(S17:S32,"=1")</f>
        <v>0</v>
      </c>
      <c r="T16" s="33">
        <f>COUNTIF(T17:T32,"=1")</f>
        <v>0</v>
      </c>
      <c r="U16" s="33">
        <f>COUNTIF(U17:U32,"=1")</f>
        <v>0</v>
      </c>
      <c r="V16" s="33">
        <f t="shared" ref="V16:W16" si="48">COUNTIF(V17:V32,"=1")</f>
        <v>0</v>
      </c>
      <c r="W16" s="33">
        <f t="shared" si="48"/>
        <v>0</v>
      </c>
      <c r="X16" s="33">
        <f t="shared" ref="X16:Y16" si="49">COUNTIF(X17:X32,"=1")</f>
        <v>0</v>
      </c>
      <c r="Y16" s="33">
        <f t="shared" si="49"/>
        <v>0</v>
      </c>
      <c r="Z16" s="33">
        <f t="shared" ref="Z16:AA16" si="50">COUNTIF(Z17:Z32,"=1")</f>
        <v>0</v>
      </c>
      <c r="AA16" s="33">
        <f t="shared" si="50"/>
        <v>1</v>
      </c>
      <c r="AB16" s="33">
        <f t="shared" ref="AB16:AD16" si="51">COUNTIF(AB17:AB32,"=1")</f>
        <v>0</v>
      </c>
      <c r="AC16" s="33">
        <f t="shared" si="51"/>
        <v>0</v>
      </c>
      <c r="AD16" s="33">
        <f t="shared" si="51"/>
        <v>0</v>
      </c>
      <c r="AE16" s="33">
        <f t="shared" ref="AE16" si="52">COUNTIF(AE17:AE32,"=1")</f>
        <v>0</v>
      </c>
      <c r="AF16" s="33"/>
      <c r="AG16" s="33"/>
      <c r="AH16" s="33"/>
    </row>
    <row r="17" spans="1:34" outlineLevel="1" x14ac:dyDescent="0.25">
      <c r="A17" s="18" t="s">
        <v>23</v>
      </c>
      <c r="B17" s="19" t="s">
        <v>26</v>
      </c>
      <c r="C17" s="22"/>
      <c r="D17" s="31"/>
      <c r="E17" s="99">
        <v>19</v>
      </c>
      <c r="F17" s="99">
        <v>14</v>
      </c>
      <c r="G17" s="99">
        <v>16.23</v>
      </c>
      <c r="H17" s="99">
        <v>19</v>
      </c>
      <c r="I17" s="99">
        <v>18</v>
      </c>
      <c r="J17" s="99">
        <v>27</v>
      </c>
      <c r="K17" s="99">
        <v>26</v>
      </c>
      <c r="L17" s="99">
        <v>11</v>
      </c>
      <c r="M17" s="99">
        <v>27</v>
      </c>
      <c r="N17" s="99">
        <v>24</v>
      </c>
      <c r="O17" s="99">
        <v>19</v>
      </c>
      <c r="P17" s="99">
        <f>19+4+8</f>
        <v>31</v>
      </c>
      <c r="Q17" s="99">
        <f>23+4.5</f>
        <v>27.5</v>
      </c>
      <c r="R17" s="99">
        <f>16+9.5</f>
        <v>25.5</v>
      </c>
      <c r="S17" s="99">
        <f>11+24</f>
        <v>35</v>
      </c>
      <c r="T17" s="99">
        <f>9+11+2</f>
        <v>22</v>
      </c>
      <c r="U17" s="98">
        <v>0</v>
      </c>
      <c r="V17" s="98">
        <v>0</v>
      </c>
      <c r="W17" s="99">
        <f>19.78+11</f>
        <v>30.78</v>
      </c>
      <c r="X17" s="99">
        <v>24</v>
      </c>
      <c r="Y17" s="99">
        <f>9+17</f>
        <v>26</v>
      </c>
      <c r="Z17" s="99">
        <f>4+11+3</f>
        <v>18</v>
      </c>
      <c r="AA17" s="99">
        <f>7+23</f>
        <v>30</v>
      </c>
      <c r="AB17" s="99">
        <v>26.5</v>
      </c>
      <c r="AC17" s="98">
        <v>0</v>
      </c>
      <c r="AD17" s="98">
        <v>0</v>
      </c>
      <c r="AE17" s="99">
        <v>20</v>
      </c>
      <c r="AF17" s="31"/>
      <c r="AG17" s="31"/>
      <c r="AH17" s="31"/>
    </row>
    <row r="18" spans="1:34" outlineLevel="1" x14ac:dyDescent="0.25">
      <c r="A18" s="21" t="s">
        <v>24</v>
      </c>
      <c r="B18" s="19" t="s">
        <v>27</v>
      </c>
      <c r="C18" s="22"/>
      <c r="D18" s="31"/>
      <c r="E18" s="99">
        <v>18</v>
      </c>
      <c r="F18" s="99">
        <v>17</v>
      </c>
      <c r="G18" s="99">
        <v>19</v>
      </c>
      <c r="H18" s="99">
        <v>18</v>
      </c>
      <c r="I18" s="99">
        <v>23</v>
      </c>
      <c r="J18" s="99">
        <v>25</v>
      </c>
      <c r="K18" s="98">
        <v>0</v>
      </c>
      <c r="L18" s="99">
        <v>16</v>
      </c>
      <c r="M18" s="99">
        <v>32</v>
      </c>
      <c r="N18" s="99">
        <v>35</v>
      </c>
      <c r="O18" s="99">
        <v>34</v>
      </c>
      <c r="P18" s="99">
        <f>22+7+9</f>
        <v>38</v>
      </c>
      <c r="Q18" s="99">
        <f>31+4.5</f>
        <v>35.5</v>
      </c>
      <c r="R18" s="99">
        <f>23+6</f>
        <v>29</v>
      </c>
      <c r="S18" s="99">
        <f>7+24</f>
        <v>31</v>
      </c>
      <c r="T18" s="99">
        <f>10+12+2</f>
        <v>24</v>
      </c>
      <c r="U18" s="98">
        <v>0</v>
      </c>
      <c r="V18" s="98">
        <v>0</v>
      </c>
      <c r="W18" s="99">
        <f>19+13</f>
        <v>32</v>
      </c>
      <c r="X18" s="99">
        <v>30</v>
      </c>
      <c r="Y18" s="99">
        <f>8.7+18</f>
        <v>26.7</v>
      </c>
      <c r="Z18" s="99">
        <f>5+15+3</f>
        <v>23</v>
      </c>
      <c r="AA18" s="99">
        <v>35</v>
      </c>
      <c r="AB18" s="99">
        <v>32</v>
      </c>
      <c r="AC18" s="98">
        <v>0</v>
      </c>
      <c r="AD18" s="98">
        <v>0</v>
      </c>
      <c r="AE18" s="99">
        <v>21</v>
      </c>
      <c r="AF18" s="31"/>
      <c r="AG18" s="31"/>
      <c r="AH18" s="31"/>
    </row>
    <row r="19" spans="1:34" outlineLevel="1" x14ac:dyDescent="0.25">
      <c r="A19" s="21" t="s">
        <v>24</v>
      </c>
      <c r="B19" s="19" t="s">
        <v>28</v>
      </c>
      <c r="C19" s="22"/>
      <c r="D19" s="31"/>
      <c r="E19" s="99">
        <v>22</v>
      </c>
      <c r="F19" s="99">
        <v>17</v>
      </c>
      <c r="G19" s="99">
        <v>17</v>
      </c>
      <c r="H19" s="99">
        <v>23</v>
      </c>
      <c r="I19" s="99">
        <v>24</v>
      </c>
      <c r="J19" s="99">
        <v>36</v>
      </c>
      <c r="K19" s="99">
        <v>37</v>
      </c>
      <c r="L19" s="99">
        <v>26</v>
      </c>
      <c r="M19" s="99">
        <v>30</v>
      </c>
      <c r="N19" s="99">
        <v>13</v>
      </c>
      <c r="O19" s="98">
        <v>0</v>
      </c>
      <c r="P19" s="99">
        <f>19+5+5</f>
        <v>29</v>
      </c>
      <c r="Q19" s="99">
        <f>29+4.5</f>
        <v>33.5</v>
      </c>
      <c r="R19" s="99">
        <f>18+9.5</f>
        <v>27.5</v>
      </c>
      <c r="S19" s="99">
        <f>3+13+10</f>
        <v>26</v>
      </c>
      <c r="T19" s="99">
        <f>9+10.83+2</f>
        <v>21.83</v>
      </c>
      <c r="U19" s="98">
        <v>0</v>
      </c>
      <c r="V19" s="98">
        <v>0</v>
      </c>
      <c r="W19" s="99">
        <f>22+11</f>
        <v>33</v>
      </c>
      <c r="X19" s="99">
        <v>23</v>
      </c>
      <c r="Y19" s="99">
        <f>15+16.6</f>
        <v>31.6</v>
      </c>
      <c r="Z19" s="99">
        <f>6+8.51+11</f>
        <v>25.509999999999998</v>
      </c>
      <c r="AA19" s="99">
        <v>18</v>
      </c>
      <c r="AB19" s="99">
        <v>30</v>
      </c>
      <c r="AC19" s="98">
        <v>0</v>
      </c>
      <c r="AD19" s="98">
        <v>0</v>
      </c>
      <c r="AE19" s="99">
        <v>25</v>
      </c>
      <c r="AF19" s="31"/>
      <c r="AG19" s="31"/>
      <c r="AH19" s="31"/>
    </row>
    <row r="20" spans="1:34" outlineLevel="1" x14ac:dyDescent="0.25">
      <c r="A20" s="21" t="s">
        <v>24</v>
      </c>
      <c r="B20" s="19" t="s">
        <v>29</v>
      </c>
      <c r="C20" s="22"/>
      <c r="D20" s="31"/>
      <c r="E20" s="99">
        <v>19</v>
      </c>
      <c r="F20" s="99">
        <v>12</v>
      </c>
      <c r="G20" s="99">
        <v>18</v>
      </c>
      <c r="H20" s="99">
        <v>23</v>
      </c>
      <c r="I20" s="99">
        <v>27</v>
      </c>
      <c r="J20" s="99">
        <v>39</v>
      </c>
      <c r="K20" s="99">
        <v>40</v>
      </c>
      <c r="L20" s="99">
        <v>24</v>
      </c>
      <c r="M20" s="99">
        <v>32</v>
      </c>
      <c r="N20" s="99">
        <v>31</v>
      </c>
      <c r="O20" s="99">
        <v>35</v>
      </c>
      <c r="P20" s="99">
        <f>20+3+7</f>
        <v>30</v>
      </c>
      <c r="Q20" s="99">
        <f>31.32+5</f>
        <v>36.32</v>
      </c>
      <c r="R20" s="99">
        <f>18+12</f>
        <v>30</v>
      </c>
      <c r="S20" s="99">
        <f>11+25</f>
        <v>36</v>
      </c>
      <c r="T20" s="99">
        <f>11+14+2+2</f>
        <v>29</v>
      </c>
      <c r="U20" s="98">
        <v>0</v>
      </c>
      <c r="V20" s="98">
        <v>0</v>
      </c>
      <c r="W20" s="99">
        <f>21+13</f>
        <v>34</v>
      </c>
      <c r="X20" s="99">
        <v>28</v>
      </c>
      <c r="Y20" s="99">
        <f>17+19</f>
        <v>36</v>
      </c>
      <c r="Z20" s="99">
        <f>3+14+4</f>
        <v>21</v>
      </c>
      <c r="AA20" s="99">
        <v>37</v>
      </c>
      <c r="AB20" s="99">
        <v>29.5</v>
      </c>
      <c r="AC20" s="98">
        <v>0</v>
      </c>
      <c r="AD20" s="98">
        <v>0</v>
      </c>
      <c r="AE20" s="99">
        <v>15</v>
      </c>
      <c r="AF20" s="31"/>
      <c r="AG20" s="31"/>
      <c r="AH20" s="31"/>
    </row>
    <row r="21" spans="1:34" outlineLevel="1" x14ac:dyDescent="0.25">
      <c r="A21" s="21" t="s">
        <v>24</v>
      </c>
      <c r="B21" s="19" t="s">
        <v>30</v>
      </c>
      <c r="C21" s="22"/>
      <c r="D21" s="31"/>
      <c r="E21" s="99">
        <v>24</v>
      </c>
      <c r="F21" s="99">
        <v>13.5</v>
      </c>
      <c r="G21" s="99">
        <v>17</v>
      </c>
      <c r="H21" s="99">
        <v>23</v>
      </c>
      <c r="I21" s="99">
        <v>23</v>
      </c>
      <c r="J21" s="99">
        <v>32</v>
      </c>
      <c r="K21" s="99">
        <v>35</v>
      </c>
      <c r="L21" s="99">
        <v>27</v>
      </c>
      <c r="M21" s="99">
        <v>32.75</v>
      </c>
      <c r="N21" s="99">
        <v>33</v>
      </c>
      <c r="O21" s="99">
        <v>35</v>
      </c>
      <c r="P21" s="99">
        <f>22+5+6</f>
        <v>33</v>
      </c>
      <c r="Q21" s="99">
        <f>27+6</f>
        <v>33</v>
      </c>
      <c r="R21" s="99">
        <f>21+10</f>
        <v>31</v>
      </c>
      <c r="S21" s="99">
        <f>14+25</f>
        <v>39</v>
      </c>
      <c r="T21" s="99">
        <f>12+11+2+0.64</f>
        <v>25.64</v>
      </c>
      <c r="U21" s="98">
        <v>0</v>
      </c>
      <c r="V21" s="98">
        <v>0</v>
      </c>
      <c r="W21" s="99">
        <f>21+11</f>
        <v>32</v>
      </c>
      <c r="X21" s="99">
        <v>27</v>
      </c>
      <c r="Y21" s="99">
        <f>13+18</f>
        <v>31</v>
      </c>
      <c r="Z21" s="99">
        <f>6+10+4</f>
        <v>20</v>
      </c>
      <c r="AA21" s="99">
        <f>7.47+24</f>
        <v>31.47</v>
      </c>
      <c r="AB21" s="99">
        <v>15.27</v>
      </c>
      <c r="AC21" s="98">
        <v>0</v>
      </c>
      <c r="AD21" s="98">
        <v>0</v>
      </c>
      <c r="AE21" s="99">
        <v>23</v>
      </c>
      <c r="AF21" s="31"/>
      <c r="AG21" s="31"/>
      <c r="AH21" s="31"/>
    </row>
    <row r="22" spans="1:34" outlineLevel="1" x14ac:dyDescent="0.25">
      <c r="A22" s="21" t="s">
        <v>24</v>
      </c>
      <c r="B22" s="19" t="s">
        <v>31</v>
      </c>
      <c r="C22" s="22"/>
      <c r="D22" s="31"/>
      <c r="E22" s="99">
        <v>23</v>
      </c>
      <c r="F22" s="99">
        <v>16.5</v>
      </c>
      <c r="G22" s="99">
        <v>19</v>
      </c>
      <c r="H22" s="99">
        <v>22</v>
      </c>
      <c r="I22" s="99">
        <v>23</v>
      </c>
      <c r="J22" s="99">
        <v>37</v>
      </c>
      <c r="K22" s="99">
        <v>40</v>
      </c>
      <c r="L22" s="99">
        <v>32</v>
      </c>
      <c r="M22" s="99">
        <v>29</v>
      </c>
      <c r="N22" s="99">
        <v>31</v>
      </c>
      <c r="O22" s="99">
        <v>36</v>
      </c>
      <c r="P22" s="99">
        <f>21+4+10</f>
        <v>35</v>
      </c>
      <c r="Q22" s="99">
        <f>31+5</f>
        <v>36</v>
      </c>
      <c r="R22" s="99">
        <f>22+12</f>
        <v>34</v>
      </c>
      <c r="S22" s="99">
        <f>14+19</f>
        <v>33</v>
      </c>
      <c r="T22" s="99">
        <f>6+13+2</f>
        <v>21</v>
      </c>
      <c r="U22" s="98">
        <v>0</v>
      </c>
      <c r="V22" s="98">
        <v>0</v>
      </c>
      <c r="W22" s="99">
        <f>17+13</f>
        <v>30</v>
      </c>
      <c r="X22" s="99">
        <v>5</v>
      </c>
      <c r="Y22" s="99">
        <f>12+21</f>
        <v>33</v>
      </c>
      <c r="Z22" s="99">
        <f>6.68+12+4</f>
        <v>22.68</v>
      </c>
      <c r="AA22" s="99">
        <f>9+27</f>
        <v>36</v>
      </c>
      <c r="AB22" s="99">
        <v>32</v>
      </c>
      <c r="AC22" s="98">
        <v>0</v>
      </c>
      <c r="AD22" s="98">
        <v>0</v>
      </c>
      <c r="AE22" s="99">
        <v>18</v>
      </c>
      <c r="AF22" s="31"/>
      <c r="AG22" s="31"/>
      <c r="AH22" s="31"/>
    </row>
    <row r="23" spans="1:34" outlineLevel="1" x14ac:dyDescent="0.25">
      <c r="A23" s="21" t="s">
        <v>25</v>
      </c>
      <c r="B23" s="22">
        <v>16318</v>
      </c>
      <c r="C23" s="22"/>
      <c r="D23" s="31"/>
      <c r="E23" s="99">
        <v>12</v>
      </c>
      <c r="F23" s="99">
        <v>12</v>
      </c>
      <c r="G23" s="99">
        <v>6</v>
      </c>
      <c r="H23" s="99">
        <v>6</v>
      </c>
      <c r="I23" s="99">
        <v>9</v>
      </c>
      <c r="J23" s="99">
        <v>5</v>
      </c>
      <c r="K23" s="98">
        <v>0</v>
      </c>
      <c r="L23" s="98">
        <v>0</v>
      </c>
      <c r="M23" s="99">
        <v>3</v>
      </c>
      <c r="N23" s="99">
        <v>9</v>
      </c>
      <c r="O23" s="98">
        <v>0</v>
      </c>
      <c r="P23" s="99">
        <v>7</v>
      </c>
      <c r="Q23" s="99">
        <v>6</v>
      </c>
      <c r="R23" s="98">
        <v>0</v>
      </c>
      <c r="S23" s="99">
        <v>7</v>
      </c>
      <c r="T23" s="99">
        <f>2+3</f>
        <v>5</v>
      </c>
      <c r="U23" s="98">
        <v>0</v>
      </c>
      <c r="V23" s="98">
        <v>0</v>
      </c>
      <c r="W23" s="99">
        <v>10</v>
      </c>
      <c r="X23" s="99">
        <v>3</v>
      </c>
      <c r="Y23" s="99">
        <v>8</v>
      </c>
      <c r="Z23" s="99">
        <f>4+2</f>
        <v>6</v>
      </c>
      <c r="AA23" s="99">
        <v>10</v>
      </c>
      <c r="AB23" s="99">
        <v>6</v>
      </c>
      <c r="AC23" s="98">
        <v>0</v>
      </c>
      <c r="AD23" s="98">
        <v>0</v>
      </c>
      <c r="AE23" s="99">
        <v>7</v>
      </c>
      <c r="AF23" s="31"/>
      <c r="AG23" s="31"/>
      <c r="AH23" s="31"/>
    </row>
    <row r="24" spans="1:34" outlineLevel="1" x14ac:dyDescent="0.25">
      <c r="A24" s="21" t="s">
        <v>34</v>
      </c>
      <c r="B24" s="22" t="s">
        <v>35</v>
      </c>
      <c r="C24" s="22"/>
      <c r="D24" s="31"/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  <c r="AC24" s="98">
        <v>0</v>
      </c>
      <c r="AD24" s="98">
        <v>0</v>
      </c>
      <c r="AE24" s="98">
        <v>0</v>
      </c>
      <c r="AF24" s="31"/>
      <c r="AG24" s="31"/>
      <c r="AH24" s="31"/>
    </row>
    <row r="25" spans="1:34" outlineLevel="1" x14ac:dyDescent="0.25">
      <c r="A25" s="21" t="s">
        <v>42</v>
      </c>
      <c r="B25" s="22">
        <v>22492</v>
      </c>
      <c r="C25" s="22"/>
      <c r="D25" s="31"/>
      <c r="E25" s="99">
        <v>28.6</v>
      </c>
      <c r="F25" s="99">
        <v>25.4</v>
      </c>
      <c r="G25" s="99">
        <v>25.69</v>
      </c>
      <c r="H25" s="99">
        <v>32</v>
      </c>
      <c r="I25" s="99">
        <v>22</v>
      </c>
      <c r="J25" s="99">
        <f>2.68+7.5</f>
        <v>10.18</v>
      </c>
      <c r="K25" s="99">
        <v>39</v>
      </c>
      <c r="L25" s="99">
        <f>4.5+5+13.5</f>
        <v>23</v>
      </c>
      <c r="M25" s="99">
        <v>28.93</v>
      </c>
      <c r="N25" s="99">
        <v>15</v>
      </c>
      <c r="O25" s="99">
        <v>30</v>
      </c>
      <c r="P25" s="99">
        <f>25.5+8+2.6</f>
        <v>36.1</v>
      </c>
      <c r="Q25" s="99">
        <f>4.5+8+6+8</f>
        <v>26.5</v>
      </c>
      <c r="R25" s="99">
        <f>18+8+1.5</f>
        <v>27.5</v>
      </c>
      <c r="S25" s="99">
        <f>3+3.5+8</f>
        <v>14.5</v>
      </c>
      <c r="T25" s="99"/>
      <c r="U25" s="98">
        <v>0</v>
      </c>
      <c r="V25" s="98">
        <v>0</v>
      </c>
      <c r="W25" s="99">
        <v>21</v>
      </c>
      <c r="X25" s="99">
        <v>16.5</v>
      </c>
      <c r="Y25" s="99">
        <f>22.31+3</f>
        <v>25.31</v>
      </c>
      <c r="Z25" s="99">
        <f>14+21</f>
        <v>35</v>
      </c>
      <c r="AA25" s="99">
        <v>9</v>
      </c>
      <c r="AB25" s="102">
        <v>0</v>
      </c>
      <c r="AC25" s="102">
        <v>0</v>
      </c>
      <c r="AD25" s="102">
        <v>0</v>
      </c>
      <c r="AE25" s="102">
        <v>0</v>
      </c>
      <c r="AF25" s="31"/>
      <c r="AG25" s="31"/>
      <c r="AH25" s="31"/>
    </row>
    <row r="26" spans="1:34" outlineLevel="1" x14ac:dyDescent="0.25">
      <c r="A26" s="21" t="s">
        <v>43</v>
      </c>
      <c r="B26" s="22"/>
      <c r="C26" s="22"/>
      <c r="D26" s="31"/>
      <c r="E26" s="99">
        <v>18</v>
      </c>
      <c r="F26" s="99">
        <v>14</v>
      </c>
      <c r="G26" s="99">
        <v>18.309999999999999</v>
      </c>
      <c r="H26" s="99">
        <v>24</v>
      </c>
      <c r="I26" s="99">
        <v>27.74</v>
      </c>
      <c r="J26" s="99">
        <v>32.619999999999997</v>
      </c>
      <c r="K26" s="99">
        <v>32</v>
      </c>
      <c r="L26" s="99">
        <v>27.61</v>
      </c>
      <c r="M26" s="99">
        <v>24</v>
      </c>
      <c r="N26" s="99">
        <v>30</v>
      </c>
      <c r="O26" s="99">
        <v>31.23</v>
      </c>
      <c r="P26" s="99">
        <f>21+5+7</f>
        <v>33</v>
      </c>
      <c r="Q26" s="99">
        <f>30+4.5</f>
        <v>34.5</v>
      </c>
      <c r="R26" s="99">
        <f>20+10</f>
        <v>30</v>
      </c>
      <c r="S26" s="99">
        <f>14+22</f>
        <v>36</v>
      </c>
      <c r="T26" s="99">
        <f>9.02+12+2+1</f>
        <v>24.02</v>
      </c>
      <c r="U26" s="98">
        <v>0</v>
      </c>
      <c r="V26" s="98">
        <v>0</v>
      </c>
      <c r="W26" s="99">
        <f>23+13</f>
        <v>36</v>
      </c>
      <c r="X26" s="99">
        <v>25</v>
      </c>
      <c r="Y26" s="99">
        <f>11+19</f>
        <v>30</v>
      </c>
      <c r="Z26" s="99">
        <f>4+12+4</f>
        <v>20</v>
      </c>
      <c r="AA26" s="99">
        <v>39</v>
      </c>
      <c r="AB26" s="99">
        <v>31</v>
      </c>
      <c r="AC26" s="98">
        <v>0</v>
      </c>
      <c r="AD26" s="98">
        <v>0</v>
      </c>
      <c r="AE26" s="99">
        <v>21</v>
      </c>
      <c r="AF26" s="31"/>
      <c r="AG26" s="31"/>
      <c r="AH26" s="31"/>
    </row>
    <row r="27" spans="1:34" s="32" customFormat="1" outlineLevel="1" x14ac:dyDescent="0.25">
      <c r="A27" s="34" t="s">
        <v>62</v>
      </c>
      <c r="B27" s="19" t="s">
        <v>63</v>
      </c>
      <c r="C27" s="31"/>
      <c r="D27" s="31"/>
      <c r="E27" s="99">
        <v>28.7</v>
      </c>
      <c r="F27" s="99">
        <v>25.3</v>
      </c>
      <c r="G27" s="99">
        <v>21</v>
      </c>
      <c r="H27" s="99">
        <v>33</v>
      </c>
      <c r="I27" s="99">
        <v>33</v>
      </c>
      <c r="J27" s="99">
        <f>6.6+8.5+9</f>
        <v>24.1</v>
      </c>
      <c r="K27" s="99">
        <v>17</v>
      </c>
      <c r="L27" s="99">
        <f>5+5+13</f>
        <v>23</v>
      </c>
      <c r="M27" s="99">
        <v>6</v>
      </c>
      <c r="N27" s="99">
        <v>2</v>
      </c>
      <c r="O27" s="99">
        <v>15.5</v>
      </c>
      <c r="P27" s="99">
        <f>22+10+2.7</f>
        <v>34.700000000000003</v>
      </c>
      <c r="Q27" s="99">
        <f>2.5+4.5+3+5+8</f>
        <v>23</v>
      </c>
      <c r="R27" s="99">
        <f>19+5+1</f>
        <v>25</v>
      </c>
      <c r="S27" s="99">
        <f>12.5+11.26+4</f>
        <v>27.759999999999998</v>
      </c>
      <c r="T27" s="99"/>
      <c r="U27" s="98">
        <v>0</v>
      </c>
      <c r="V27" s="98">
        <v>0</v>
      </c>
      <c r="W27" s="99">
        <v>24</v>
      </c>
      <c r="X27" s="99">
        <v>21</v>
      </c>
      <c r="Y27" s="99">
        <f>25+3.5</f>
        <v>28.5</v>
      </c>
      <c r="Z27" s="99">
        <f>13+17</f>
        <v>30</v>
      </c>
      <c r="AA27" s="99">
        <v>6</v>
      </c>
      <c r="AB27" s="102">
        <v>0</v>
      </c>
      <c r="AC27" s="102">
        <v>0</v>
      </c>
      <c r="AD27" s="102">
        <v>0</v>
      </c>
      <c r="AE27" s="102">
        <v>0</v>
      </c>
      <c r="AF27" s="31"/>
      <c r="AG27" s="31"/>
      <c r="AH27" s="31"/>
    </row>
    <row r="28" spans="1:34" s="32" customFormat="1" outlineLevel="1" x14ac:dyDescent="0.25">
      <c r="A28" s="34" t="s">
        <v>62</v>
      </c>
      <c r="B28" s="19" t="s">
        <v>64</v>
      </c>
      <c r="C28" s="31"/>
      <c r="D28" s="31"/>
      <c r="E28" s="99">
        <v>28.7</v>
      </c>
      <c r="F28" s="99">
        <v>25.3</v>
      </c>
      <c r="G28" s="99">
        <v>20</v>
      </c>
      <c r="H28" s="99">
        <v>7</v>
      </c>
      <c r="I28" s="99">
        <v>33</v>
      </c>
      <c r="J28" s="99">
        <f>4.6+1+5.55</f>
        <v>11.149999999999999</v>
      </c>
      <c r="K28" s="99">
        <v>14</v>
      </c>
      <c r="L28" s="99">
        <f>3.5+6+12.5</f>
        <v>22</v>
      </c>
      <c r="M28" s="99">
        <v>13</v>
      </c>
      <c r="N28" s="99">
        <v>30.47</v>
      </c>
      <c r="O28" s="99">
        <v>29.5</v>
      </c>
      <c r="P28" s="99">
        <f>9+7.5+2.6</f>
        <v>19.100000000000001</v>
      </c>
      <c r="Q28" s="99">
        <f>2.5+3.5+6+5+5</f>
        <v>22</v>
      </c>
      <c r="R28" s="99">
        <f>22+7</f>
        <v>29</v>
      </c>
      <c r="S28" s="99">
        <f>10.25+12+9</f>
        <v>31.25</v>
      </c>
      <c r="T28" s="99"/>
      <c r="U28" s="98">
        <v>0</v>
      </c>
      <c r="V28" s="98">
        <v>0</v>
      </c>
      <c r="W28" s="99">
        <v>25.5</v>
      </c>
      <c r="X28" s="99">
        <v>14</v>
      </c>
      <c r="Y28" s="99">
        <f>11+4</f>
        <v>15</v>
      </c>
      <c r="Z28" s="99">
        <f>14+12.5</f>
        <v>26.5</v>
      </c>
      <c r="AA28" s="99">
        <v>1</v>
      </c>
      <c r="AB28" s="102">
        <v>0</v>
      </c>
      <c r="AC28" s="102">
        <v>0</v>
      </c>
      <c r="AD28" s="102">
        <v>0</v>
      </c>
      <c r="AE28" s="102">
        <v>0</v>
      </c>
      <c r="AF28" s="31"/>
      <c r="AG28" s="31"/>
      <c r="AH28" s="31"/>
    </row>
    <row r="29" spans="1:34" s="24" customFormat="1" ht="12.75" customHeight="1" thickBot="1" x14ac:dyDescent="0.3">
      <c r="A29" s="34" t="s">
        <v>69</v>
      </c>
      <c r="B29" s="85">
        <v>17495</v>
      </c>
      <c r="C29" s="31"/>
      <c r="D29" s="31"/>
      <c r="E29" s="98">
        <v>0</v>
      </c>
      <c r="F29" s="98">
        <v>0</v>
      </c>
      <c r="G29" s="99">
        <v>9</v>
      </c>
      <c r="H29" s="99">
        <v>24.16</v>
      </c>
      <c r="I29" s="99">
        <v>26</v>
      </c>
      <c r="J29" s="99">
        <v>7</v>
      </c>
      <c r="K29" s="98">
        <v>0</v>
      </c>
      <c r="L29" s="99">
        <v>30</v>
      </c>
      <c r="M29" s="99">
        <v>24</v>
      </c>
      <c r="N29" s="99">
        <v>24</v>
      </c>
      <c r="O29" s="99">
        <v>38</v>
      </c>
      <c r="P29" s="99">
        <v>19</v>
      </c>
      <c r="Q29" s="99">
        <v>24.61</v>
      </c>
      <c r="R29" s="99">
        <v>25</v>
      </c>
      <c r="S29" s="99">
        <v>6</v>
      </c>
      <c r="T29" s="98">
        <v>0</v>
      </c>
      <c r="U29" s="98">
        <v>0</v>
      </c>
      <c r="V29" s="98">
        <v>0</v>
      </c>
      <c r="W29" s="98">
        <v>0</v>
      </c>
      <c r="X29" s="99">
        <v>11</v>
      </c>
      <c r="Y29" s="99">
        <v>21</v>
      </c>
      <c r="Z29" s="99">
        <f>17+12</f>
        <v>29</v>
      </c>
      <c r="AA29" s="99">
        <f>6+6+13</f>
        <v>25</v>
      </c>
      <c r="AB29" s="102">
        <v>0</v>
      </c>
      <c r="AC29" s="102">
        <v>0</v>
      </c>
      <c r="AD29" s="102">
        <v>0</v>
      </c>
      <c r="AE29" s="102">
        <v>0</v>
      </c>
      <c r="AF29" s="31"/>
      <c r="AG29" s="31"/>
      <c r="AH29" s="31"/>
    </row>
    <row r="30" spans="1:34" s="32" customFormat="1" ht="12.75" customHeight="1" thickBot="1" x14ac:dyDescent="0.3">
      <c r="A30" s="40" t="s">
        <v>75</v>
      </c>
      <c r="B30" s="101" t="s">
        <v>76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99">
        <v>21</v>
      </c>
      <c r="N30" s="99">
        <v>30</v>
      </c>
      <c r="O30" s="99">
        <v>31</v>
      </c>
      <c r="P30" s="99">
        <v>33.5</v>
      </c>
      <c r="Q30" s="99">
        <f>3.5+9+7+6</f>
        <v>25.5</v>
      </c>
      <c r="R30" s="99">
        <v>18</v>
      </c>
      <c r="S30" s="99">
        <v>21</v>
      </c>
      <c r="T30" s="99"/>
      <c r="U30" s="98">
        <v>0</v>
      </c>
      <c r="V30" s="98">
        <v>0</v>
      </c>
      <c r="W30" s="99">
        <v>24.5</v>
      </c>
      <c r="X30" s="99">
        <v>9</v>
      </c>
      <c r="Y30" s="99">
        <f>27.3+3.5</f>
        <v>30.8</v>
      </c>
      <c r="Z30" s="99">
        <f>15+23</f>
        <v>38</v>
      </c>
      <c r="AA30" s="99">
        <v>4.3</v>
      </c>
      <c r="AB30" s="102">
        <v>0</v>
      </c>
      <c r="AC30" s="102">
        <v>0</v>
      </c>
      <c r="AD30" s="102">
        <v>0</v>
      </c>
      <c r="AE30" s="102">
        <v>0</v>
      </c>
      <c r="AF30" s="31"/>
      <c r="AG30" s="31"/>
      <c r="AH30" s="31"/>
    </row>
    <row r="31" spans="1:34" s="32" customFormat="1" ht="12.75" customHeight="1" thickBot="1" x14ac:dyDescent="0.3">
      <c r="A31" s="40" t="s">
        <v>77</v>
      </c>
      <c r="B31" s="101" t="s">
        <v>78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99">
        <v>18.5</v>
      </c>
      <c r="Q31" s="99">
        <f>4+4+6+3+8</f>
        <v>25</v>
      </c>
      <c r="R31" s="99">
        <v>27</v>
      </c>
      <c r="S31" s="99">
        <f>3.5+8.5+8</f>
        <v>20</v>
      </c>
      <c r="T31" s="99"/>
      <c r="U31" s="98">
        <v>0</v>
      </c>
      <c r="V31" s="98">
        <v>0</v>
      </c>
      <c r="W31" s="99">
        <v>26</v>
      </c>
      <c r="X31" s="99">
        <v>19.5</v>
      </c>
      <c r="Y31" s="99">
        <f>23+3</f>
        <v>26</v>
      </c>
      <c r="Z31" s="99">
        <f>13+17.5</f>
        <v>30.5</v>
      </c>
      <c r="AA31" s="99">
        <v>9.6</v>
      </c>
      <c r="AB31" s="102">
        <v>0</v>
      </c>
      <c r="AC31" s="102">
        <v>0</v>
      </c>
      <c r="AD31" s="102">
        <v>0</v>
      </c>
      <c r="AE31" s="102">
        <v>0</v>
      </c>
      <c r="AF31" s="31"/>
      <c r="AG31" s="31"/>
      <c r="AH31" s="31"/>
    </row>
    <row r="32" spans="1:34" s="32" customFormat="1" ht="12.75" customHeight="1" x14ac:dyDescent="0.25">
      <c r="A32" s="34" t="s">
        <v>62</v>
      </c>
      <c r="B32" s="100" t="s">
        <v>79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99">
        <v>14</v>
      </c>
      <c r="R32" s="99">
        <f>19+5+1.5</f>
        <v>25.5</v>
      </c>
      <c r="S32" s="99">
        <v>31</v>
      </c>
      <c r="T32" s="99">
        <f>8+22</f>
        <v>30</v>
      </c>
      <c r="U32" s="98">
        <v>0</v>
      </c>
      <c r="V32" s="98">
        <v>0</v>
      </c>
      <c r="W32" s="99">
        <v>33</v>
      </c>
      <c r="X32" s="99">
        <v>21</v>
      </c>
      <c r="Y32" s="99">
        <v>33</v>
      </c>
      <c r="Z32" s="99">
        <f>18+14</f>
        <v>32</v>
      </c>
      <c r="AA32" s="99">
        <f>6+4+20</f>
        <v>30</v>
      </c>
      <c r="AB32" s="99">
        <v>23</v>
      </c>
      <c r="AC32" s="98">
        <v>0</v>
      </c>
      <c r="AD32" s="102">
        <v>0</v>
      </c>
      <c r="AE32" s="102">
        <v>0</v>
      </c>
      <c r="AF32" s="31"/>
      <c r="AG32" s="31"/>
      <c r="AH32" s="31"/>
    </row>
    <row r="34" spans="1:4" x14ac:dyDescent="0.25">
      <c r="A34" s="9" t="s">
        <v>9</v>
      </c>
      <c r="B34" s="12"/>
      <c r="D34" t="s">
        <v>10</v>
      </c>
    </row>
    <row r="35" spans="1:4" x14ac:dyDescent="0.25">
      <c r="A35" s="9" t="s">
        <v>11</v>
      </c>
      <c r="B35" s="11">
        <v>0</v>
      </c>
      <c r="D35" t="s">
        <v>12</v>
      </c>
    </row>
    <row r="36" spans="1:4" x14ac:dyDescent="0.25">
      <c r="A36" s="9" t="s">
        <v>13</v>
      </c>
      <c r="B36" s="13">
        <v>1</v>
      </c>
      <c r="D36" t="s">
        <v>14</v>
      </c>
    </row>
  </sheetData>
  <mergeCells count="1">
    <mergeCell ref="A1:P1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4"/>
  <sheetViews>
    <sheetView tabSelected="1" workbookViewId="0">
      <pane ySplit="3" topLeftCell="A4" activePane="bottomLeft" state="frozen"/>
      <selection activeCell="AH12" sqref="AH12"/>
      <selection pane="bottomLeft" activeCell="K25" sqref="K25"/>
    </sheetView>
  </sheetViews>
  <sheetFormatPr defaultRowHeight="15" x14ac:dyDescent="0.25"/>
  <cols>
    <col min="1" max="1" width="14.7109375" style="32" customWidth="1"/>
    <col min="2" max="2" width="23.85546875" style="32" customWidth="1"/>
    <col min="3" max="3" width="11.42578125" style="32" customWidth="1"/>
    <col min="4" max="4" width="25.85546875" style="32" customWidth="1"/>
    <col min="5" max="5" width="22.140625" style="32" customWidth="1"/>
    <col min="6" max="53" width="3.28515625" style="32" customWidth="1"/>
    <col min="54" max="16384" width="9.140625" style="32"/>
  </cols>
  <sheetData>
    <row r="1" spans="1:53" x14ac:dyDescent="0.25">
      <c r="A1" s="32" t="s">
        <v>80</v>
      </c>
      <c r="B1" s="32">
        <v>1.1000000000000001</v>
      </c>
    </row>
    <row r="2" spans="1:53" ht="21.75" thickBot="1" x14ac:dyDescent="0.4">
      <c r="A2" s="111" t="s">
        <v>21</v>
      </c>
      <c r="B2" s="111"/>
      <c r="C2" s="16" t="s">
        <v>73</v>
      </c>
      <c r="F2" s="112" t="s">
        <v>61</v>
      </c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</row>
    <row r="3" spans="1:53" ht="15.75" thickBot="1" x14ac:dyDescent="0.3">
      <c r="A3" s="17" t="s">
        <v>16</v>
      </c>
      <c r="B3" s="93" t="s">
        <v>17</v>
      </c>
      <c r="C3" s="93" t="s">
        <v>18</v>
      </c>
      <c r="D3" s="93" t="s">
        <v>19</v>
      </c>
      <c r="E3" s="93" t="s">
        <v>20</v>
      </c>
      <c r="F3" s="108">
        <v>7</v>
      </c>
      <c r="G3" s="108"/>
      <c r="H3" s="108">
        <v>8</v>
      </c>
      <c r="I3" s="108"/>
      <c r="J3" s="108">
        <v>9</v>
      </c>
      <c r="K3" s="108"/>
      <c r="L3" s="108">
        <v>10</v>
      </c>
      <c r="M3" s="108"/>
      <c r="N3" s="108">
        <v>11</v>
      </c>
      <c r="O3" s="108"/>
      <c r="P3" s="108">
        <v>12</v>
      </c>
      <c r="Q3" s="108"/>
      <c r="R3" s="108">
        <v>13</v>
      </c>
      <c r="S3" s="108"/>
      <c r="T3" s="108">
        <v>14</v>
      </c>
      <c r="U3" s="108"/>
      <c r="V3" s="108">
        <v>15</v>
      </c>
      <c r="W3" s="108"/>
      <c r="X3" s="108">
        <v>16</v>
      </c>
      <c r="Y3" s="108"/>
      <c r="Z3" s="110">
        <v>17</v>
      </c>
      <c r="AA3" s="110"/>
      <c r="AB3" s="110">
        <v>18</v>
      </c>
      <c r="AC3" s="110"/>
      <c r="AD3" s="108">
        <v>19</v>
      </c>
      <c r="AE3" s="108"/>
      <c r="AF3" s="108">
        <v>20</v>
      </c>
      <c r="AG3" s="108"/>
      <c r="AH3" s="108">
        <v>21</v>
      </c>
      <c r="AI3" s="108"/>
      <c r="AJ3" s="108">
        <v>22</v>
      </c>
      <c r="AK3" s="108"/>
      <c r="AL3" s="108">
        <v>23</v>
      </c>
      <c r="AM3" s="108"/>
      <c r="AN3" s="108">
        <v>24</v>
      </c>
      <c r="AO3" s="108"/>
      <c r="AP3" s="108">
        <v>1</v>
      </c>
      <c r="AQ3" s="108"/>
      <c r="AR3" s="108">
        <v>2</v>
      </c>
      <c r="AS3" s="108"/>
      <c r="AT3" s="108">
        <v>3</v>
      </c>
      <c r="AU3" s="108"/>
      <c r="AV3" s="108">
        <v>4</v>
      </c>
      <c r="AW3" s="108"/>
      <c r="AX3" s="108">
        <v>5</v>
      </c>
      <c r="AY3" s="108"/>
      <c r="AZ3" s="108">
        <v>6</v>
      </c>
      <c r="BA3" s="113"/>
    </row>
    <row r="4" spans="1:53" ht="15.75" thickBot="1" x14ac:dyDescent="0.3">
      <c r="A4" s="94" t="s">
        <v>8</v>
      </c>
      <c r="B4" s="95"/>
      <c r="C4" s="95"/>
      <c r="D4" s="95"/>
      <c r="E4" s="95"/>
      <c r="F4" s="96"/>
      <c r="G4" s="96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7"/>
    </row>
    <row r="5" spans="1:53" ht="15" customHeight="1" x14ac:dyDescent="0.25">
      <c r="A5" s="104" t="s">
        <v>72</v>
      </c>
      <c r="B5" s="59" t="s">
        <v>42</v>
      </c>
      <c r="C5" s="69">
        <v>22492</v>
      </c>
      <c r="D5" s="62" t="s">
        <v>38</v>
      </c>
      <c r="E5" s="48"/>
      <c r="F5" s="49"/>
      <c r="G5" s="49"/>
      <c r="H5" s="49"/>
      <c r="I5" s="49"/>
      <c r="J5" s="49"/>
      <c r="K5" s="36"/>
      <c r="L5" s="36"/>
      <c r="M5" s="36"/>
      <c r="N5" s="36"/>
      <c r="O5" s="36"/>
      <c r="P5" s="36"/>
      <c r="Q5" s="36"/>
      <c r="R5" s="36"/>
      <c r="S5" s="36"/>
      <c r="T5" s="35" t="s">
        <v>46</v>
      </c>
      <c r="U5" s="36"/>
      <c r="V5" s="36"/>
      <c r="W5" s="36"/>
      <c r="X5" s="36"/>
      <c r="Y5" s="36"/>
      <c r="Z5" s="36"/>
      <c r="AA5" s="36"/>
      <c r="AB5" s="36"/>
      <c r="AC5" s="35" t="s">
        <v>48</v>
      </c>
      <c r="AD5" s="36"/>
      <c r="AE5" s="36"/>
      <c r="AF5" s="36"/>
      <c r="AG5" s="36"/>
      <c r="AH5" s="36"/>
      <c r="AI5" s="36"/>
      <c r="AJ5" s="36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50"/>
    </row>
    <row r="6" spans="1:53" ht="15" customHeight="1" x14ac:dyDescent="0.25">
      <c r="A6" s="107"/>
      <c r="B6" s="34" t="s">
        <v>62</v>
      </c>
      <c r="C6" s="19" t="s">
        <v>63</v>
      </c>
      <c r="D6" s="20" t="s">
        <v>38</v>
      </c>
      <c r="E6" s="27" t="s">
        <v>65</v>
      </c>
      <c r="F6" s="33"/>
      <c r="G6" s="33"/>
      <c r="H6" s="33"/>
      <c r="I6" s="33"/>
      <c r="J6" s="33"/>
      <c r="K6" s="36"/>
      <c r="L6" s="36"/>
      <c r="M6" s="36"/>
      <c r="N6" s="36"/>
      <c r="O6" s="36"/>
      <c r="P6" s="36"/>
      <c r="Q6" s="36"/>
      <c r="R6" s="36"/>
      <c r="S6" s="36"/>
      <c r="T6" s="35" t="s">
        <v>46</v>
      </c>
      <c r="U6" s="36"/>
      <c r="V6" s="36"/>
      <c r="W6" s="36"/>
      <c r="X6" s="36"/>
      <c r="Y6" s="36"/>
      <c r="Z6" s="36"/>
      <c r="AA6" s="36"/>
      <c r="AB6" s="36"/>
      <c r="AC6" s="35" t="s">
        <v>44</v>
      </c>
      <c r="AD6" s="36"/>
      <c r="AE6" s="36"/>
      <c r="AF6" s="36"/>
      <c r="AG6" s="36"/>
      <c r="AH6" s="36"/>
      <c r="AI6" s="36"/>
      <c r="AJ6" s="36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51"/>
    </row>
    <row r="7" spans="1:53" ht="15" customHeight="1" thickBot="1" x14ac:dyDescent="0.3">
      <c r="A7" s="105"/>
      <c r="B7" s="40" t="s">
        <v>62</v>
      </c>
      <c r="C7" s="72" t="s">
        <v>64</v>
      </c>
      <c r="D7" s="82" t="s">
        <v>38</v>
      </c>
      <c r="E7" s="52" t="s">
        <v>66</v>
      </c>
      <c r="F7" s="56"/>
      <c r="G7" s="56"/>
      <c r="H7" s="56"/>
      <c r="I7" s="56"/>
      <c r="J7" s="56"/>
      <c r="K7" s="54"/>
      <c r="L7" s="54"/>
      <c r="M7" s="54"/>
      <c r="N7" s="54"/>
      <c r="O7" s="54"/>
      <c r="P7" s="54"/>
      <c r="Q7" s="54"/>
      <c r="R7" s="54"/>
      <c r="S7" s="54"/>
      <c r="T7" s="55" t="s">
        <v>46</v>
      </c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7"/>
    </row>
    <row r="8" spans="1:53" ht="15" customHeight="1" x14ac:dyDescent="0.25">
      <c r="A8" s="106" t="s">
        <v>67</v>
      </c>
      <c r="B8" s="38" t="s">
        <v>32</v>
      </c>
      <c r="C8" s="91">
        <v>2012311</v>
      </c>
      <c r="D8" s="45" t="s">
        <v>36</v>
      </c>
      <c r="E8" s="63">
        <v>334</v>
      </c>
      <c r="F8" s="73"/>
      <c r="G8" s="73"/>
      <c r="H8" s="73"/>
      <c r="I8" s="73"/>
      <c r="J8" s="73"/>
      <c r="K8" s="44"/>
      <c r="L8" s="44"/>
      <c r="M8" s="44"/>
      <c r="N8" s="44"/>
      <c r="O8" s="44"/>
      <c r="P8" s="44"/>
      <c r="Q8" s="44"/>
      <c r="R8" s="44"/>
      <c r="S8" s="44"/>
      <c r="T8" s="76" t="s">
        <v>46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4"/>
    </row>
    <row r="9" spans="1:53" ht="15" customHeight="1" thickBot="1" x14ac:dyDescent="0.3">
      <c r="A9" s="109"/>
      <c r="B9" s="87" t="s">
        <v>32</v>
      </c>
      <c r="C9" s="92">
        <v>2011200</v>
      </c>
      <c r="D9" s="67" t="s">
        <v>37</v>
      </c>
      <c r="E9" s="88">
        <v>336</v>
      </c>
      <c r="F9" s="68"/>
      <c r="G9" s="68"/>
      <c r="H9" s="68"/>
      <c r="I9" s="68"/>
      <c r="J9" s="75"/>
      <c r="K9" s="75"/>
      <c r="L9" s="75"/>
      <c r="M9" s="75"/>
      <c r="N9" s="75"/>
      <c r="O9" s="75"/>
      <c r="P9" s="75"/>
      <c r="Q9" s="75"/>
      <c r="R9" s="75"/>
      <c r="S9" s="66"/>
      <c r="T9" s="75"/>
      <c r="U9" s="75"/>
      <c r="V9" s="75"/>
      <c r="W9" s="66"/>
      <c r="X9" s="66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70"/>
    </row>
    <row r="10" spans="1:53" ht="15" customHeight="1" x14ac:dyDescent="0.25">
      <c r="A10" s="104" t="s">
        <v>47</v>
      </c>
      <c r="B10" s="59" t="s">
        <v>25</v>
      </c>
      <c r="C10" s="83">
        <v>16318</v>
      </c>
      <c r="D10" s="62" t="s">
        <v>38</v>
      </c>
      <c r="E10" s="18" t="s">
        <v>55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50"/>
    </row>
    <row r="11" spans="1:53" ht="15" customHeight="1" thickBot="1" x14ac:dyDescent="0.3">
      <c r="A11" s="105"/>
      <c r="B11" s="40" t="s">
        <v>69</v>
      </c>
      <c r="C11" s="40">
        <v>17495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57"/>
    </row>
    <row r="12" spans="1:53" ht="15" customHeight="1" x14ac:dyDescent="0.25">
      <c r="A12" s="106" t="s">
        <v>70</v>
      </c>
      <c r="B12" s="58" t="s">
        <v>23</v>
      </c>
      <c r="C12" s="89" t="s">
        <v>26</v>
      </c>
      <c r="D12" s="84" t="s">
        <v>38</v>
      </c>
      <c r="E12" s="58" t="s">
        <v>49</v>
      </c>
      <c r="F12" s="23"/>
      <c r="G12" s="23"/>
      <c r="H12" s="23"/>
      <c r="I12" s="46"/>
      <c r="J12" s="46"/>
      <c r="K12" s="46"/>
      <c r="L12" s="46"/>
      <c r="M12" s="46"/>
      <c r="N12" s="46"/>
      <c r="O12" s="46"/>
      <c r="P12" s="46"/>
      <c r="Q12" s="46"/>
      <c r="R12" s="47" t="s">
        <v>46</v>
      </c>
      <c r="S12" s="46"/>
      <c r="T12" s="46"/>
      <c r="U12" s="46"/>
      <c r="V12" s="46"/>
      <c r="W12" s="46"/>
      <c r="X12" s="46"/>
      <c r="Y12" s="46"/>
      <c r="Z12" s="46"/>
      <c r="AA12" s="46"/>
      <c r="AB12" s="47" t="s">
        <v>44</v>
      </c>
      <c r="AC12" s="47"/>
      <c r="AD12" s="46"/>
      <c r="AE12" s="46"/>
      <c r="AF12" s="46"/>
      <c r="AG12" s="46"/>
      <c r="AH12" s="46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71"/>
    </row>
    <row r="13" spans="1:53" ht="15" customHeight="1" x14ac:dyDescent="0.25">
      <c r="A13" s="107"/>
      <c r="B13" s="34" t="s">
        <v>24</v>
      </c>
      <c r="C13" s="19" t="s">
        <v>27</v>
      </c>
      <c r="D13" s="20" t="s">
        <v>38</v>
      </c>
      <c r="E13" s="28" t="s">
        <v>50</v>
      </c>
      <c r="F13" s="33"/>
      <c r="G13" s="33"/>
      <c r="H13" s="33"/>
      <c r="I13" s="33"/>
      <c r="J13" s="33"/>
      <c r="K13" s="36"/>
      <c r="L13" s="36"/>
      <c r="M13" s="36"/>
      <c r="N13" s="36"/>
      <c r="O13" s="36"/>
      <c r="P13" s="36"/>
      <c r="Q13" s="36"/>
      <c r="R13" s="36"/>
      <c r="S13" s="35" t="s">
        <v>46</v>
      </c>
      <c r="T13" s="36"/>
      <c r="U13" s="36"/>
      <c r="V13" s="36"/>
      <c r="W13" s="36"/>
      <c r="X13" s="36"/>
      <c r="Y13" s="36"/>
      <c r="Z13" s="36"/>
      <c r="AA13" s="36"/>
      <c r="AB13" s="35" t="s">
        <v>44</v>
      </c>
      <c r="AC13" s="36"/>
      <c r="AD13" s="36"/>
      <c r="AE13" s="36"/>
      <c r="AF13" s="36"/>
      <c r="AG13" s="36"/>
      <c r="AH13" s="36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51"/>
    </row>
    <row r="14" spans="1:53" x14ac:dyDescent="0.25">
      <c r="A14" s="107"/>
      <c r="B14" s="34" t="s">
        <v>24</v>
      </c>
      <c r="C14" s="19" t="s">
        <v>28</v>
      </c>
      <c r="D14" s="20" t="s">
        <v>38</v>
      </c>
      <c r="E14" s="27" t="s">
        <v>51</v>
      </c>
      <c r="F14" s="33"/>
      <c r="G14" s="33"/>
      <c r="H14" s="33"/>
      <c r="I14" s="33"/>
      <c r="J14" s="36"/>
      <c r="K14" s="36"/>
      <c r="L14" s="36"/>
      <c r="M14" s="36"/>
      <c r="N14" s="36"/>
      <c r="O14" s="35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5" t="s">
        <v>44</v>
      </c>
      <c r="AD14" s="36"/>
      <c r="AE14" s="36"/>
      <c r="AF14" s="36"/>
      <c r="AG14" s="36"/>
      <c r="AH14" s="36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51"/>
    </row>
    <row r="15" spans="1:53" x14ac:dyDescent="0.25">
      <c r="A15" s="107"/>
      <c r="B15" s="34" t="s">
        <v>24</v>
      </c>
      <c r="C15" s="19" t="s">
        <v>29</v>
      </c>
      <c r="D15" s="20" t="s">
        <v>38</v>
      </c>
      <c r="E15" s="27" t="s">
        <v>52</v>
      </c>
      <c r="F15" s="33"/>
      <c r="G15" s="33"/>
      <c r="H15" s="33"/>
      <c r="I15" s="36"/>
      <c r="J15" s="36"/>
      <c r="K15" s="36"/>
      <c r="L15" s="36"/>
      <c r="M15" s="36"/>
      <c r="N15" s="36"/>
      <c r="O15" s="35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5"/>
      <c r="AB15" s="36"/>
      <c r="AC15" s="36"/>
      <c r="AD15" s="36"/>
      <c r="AE15" s="36"/>
      <c r="AF15" s="36"/>
      <c r="AG15" s="36"/>
      <c r="AH15" s="36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51"/>
    </row>
    <row r="16" spans="1:53" ht="18" customHeight="1" x14ac:dyDescent="0.25">
      <c r="A16" s="107"/>
      <c r="B16" s="34" t="s">
        <v>45</v>
      </c>
      <c r="C16" s="90"/>
      <c r="D16" s="20" t="s">
        <v>38</v>
      </c>
      <c r="E16" s="27" t="s">
        <v>56</v>
      </c>
      <c r="F16" s="33"/>
      <c r="G16" s="33"/>
      <c r="H16" s="33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5"/>
      <c r="AG16" s="36"/>
      <c r="AH16" s="36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51"/>
    </row>
    <row r="17" spans="1:53" x14ac:dyDescent="0.25">
      <c r="A17" s="107"/>
      <c r="B17" s="34" t="s">
        <v>24</v>
      </c>
      <c r="C17" s="19" t="s">
        <v>30</v>
      </c>
      <c r="D17" s="20" t="s">
        <v>38</v>
      </c>
      <c r="E17" s="27" t="s">
        <v>53</v>
      </c>
      <c r="F17" s="33"/>
      <c r="G17" s="33"/>
      <c r="H17" s="33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5" t="s">
        <v>46</v>
      </c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5"/>
      <c r="AH17" s="36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51"/>
    </row>
    <row r="18" spans="1:53" ht="15.75" thickBot="1" x14ac:dyDescent="0.3">
      <c r="A18" s="105"/>
      <c r="B18" s="40" t="s">
        <v>24</v>
      </c>
      <c r="C18" s="72" t="s">
        <v>31</v>
      </c>
      <c r="D18" s="82" t="s">
        <v>38</v>
      </c>
      <c r="E18" s="52" t="s">
        <v>54</v>
      </c>
      <c r="F18" s="56"/>
      <c r="G18" s="56"/>
      <c r="H18" s="56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5" t="s">
        <v>46</v>
      </c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5"/>
      <c r="AH18" s="54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7"/>
    </row>
    <row r="19" spans="1:53" ht="15.75" customHeight="1" x14ac:dyDescent="0.25">
      <c r="A19" s="106" t="s">
        <v>71</v>
      </c>
      <c r="B19" s="38" t="s">
        <v>32</v>
      </c>
      <c r="C19" s="61" t="s">
        <v>33</v>
      </c>
      <c r="D19" s="45" t="s">
        <v>39</v>
      </c>
      <c r="E19" s="58">
        <v>187</v>
      </c>
      <c r="F19" s="45" t="s">
        <v>68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71"/>
    </row>
    <row r="20" spans="1:53" x14ac:dyDescent="0.25">
      <c r="A20" s="107"/>
      <c r="B20" s="41" t="s">
        <v>32</v>
      </c>
      <c r="C20" s="39">
        <v>2012309</v>
      </c>
      <c r="D20" s="37" t="s">
        <v>40</v>
      </c>
      <c r="E20" s="64">
        <v>335</v>
      </c>
      <c r="F20" s="37"/>
      <c r="G20" s="34"/>
      <c r="H20" s="34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5"/>
      <c r="AE20" s="36"/>
      <c r="AF20" s="36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51"/>
    </row>
    <row r="21" spans="1:53" ht="15.75" thickBot="1" x14ac:dyDescent="0.3">
      <c r="A21" s="105"/>
      <c r="B21" s="60" t="s">
        <v>32</v>
      </c>
      <c r="C21" s="40"/>
      <c r="D21" s="53" t="s">
        <v>57</v>
      </c>
      <c r="E21" s="86">
        <v>170</v>
      </c>
      <c r="F21" s="53"/>
      <c r="G21" s="53"/>
      <c r="H21" s="53"/>
      <c r="I21" s="53"/>
      <c r="J21" s="54"/>
      <c r="K21" s="54"/>
      <c r="L21" s="54"/>
      <c r="M21" s="54"/>
      <c r="N21" s="54"/>
      <c r="O21" s="54"/>
      <c r="P21" s="54"/>
      <c r="Q21" s="54"/>
      <c r="R21" s="54"/>
      <c r="S21" s="55"/>
      <c r="T21" s="54"/>
      <c r="U21" s="54"/>
      <c r="V21" s="54"/>
      <c r="W21" s="55"/>
      <c r="X21" s="55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3"/>
      <c r="AM21" s="53"/>
      <c r="AN21" s="53"/>
      <c r="AO21" s="53"/>
      <c r="AP21" s="53"/>
      <c r="AQ21" s="53"/>
      <c r="AR21" s="53"/>
      <c r="AS21" s="53"/>
      <c r="AT21" s="53"/>
      <c r="AU21" s="56"/>
      <c r="AV21" s="56"/>
      <c r="AW21" s="56"/>
      <c r="AX21" s="56"/>
      <c r="AY21" s="56"/>
      <c r="AZ21" s="56"/>
      <c r="BA21" s="57"/>
    </row>
    <row r="22" spans="1:53" x14ac:dyDescent="0.25">
      <c r="A22" s="77"/>
      <c r="B22" s="78"/>
      <c r="C22" s="79"/>
      <c r="D22" s="80"/>
      <c r="E22" s="81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</row>
    <row r="23" spans="1:53" x14ac:dyDescent="0.25">
      <c r="A23" s="77"/>
      <c r="B23" s="78"/>
      <c r="C23" s="79"/>
      <c r="D23" s="80"/>
      <c r="E23" s="81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</row>
    <row r="24" spans="1:53" x14ac:dyDescent="0.25">
      <c r="A24" s="77"/>
      <c r="B24" s="78"/>
      <c r="C24" s="79"/>
      <c r="D24" s="80"/>
      <c r="E24" s="81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</row>
    <row r="25" spans="1:53" x14ac:dyDescent="0.25">
      <c r="A25" s="77"/>
      <c r="B25" s="78"/>
      <c r="C25" s="79"/>
      <c r="D25" s="80"/>
      <c r="E25" s="81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</row>
    <row r="26" spans="1:53" x14ac:dyDescent="0.25">
      <c r="A26" s="77"/>
      <c r="B26" s="78"/>
      <c r="C26" s="79"/>
      <c r="D26" s="80"/>
      <c r="E26" s="81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</row>
    <row r="27" spans="1:53" x14ac:dyDescent="0.25">
      <c r="A27" s="77"/>
      <c r="B27" s="78"/>
      <c r="C27" s="79"/>
      <c r="D27" s="80"/>
      <c r="E27" s="81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</row>
    <row r="28" spans="1:53" x14ac:dyDescent="0.25">
      <c r="A28" s="77"/>
      <c r="B28" s="78"/>
      <c r="C28" s="79"/>
      <c r="D28" s="80"/>
      <c r="E28" s="81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</row>
    <row r="29" spans="1:53" x14ac:dyDescent="0.25">
      <c r="A29" s="77"/>
      <c r="B29" s="78"/>
      <c r="C29" s="79"/>
      <c r="D29" s="80"/>
      <c r="E29" s="81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</row>
    <row r="31" spans="1:53" x14ac:dyDescent="0.25">
      <c r="I31" s="43"/>
      <c r="J31" s="43"/>
      <c r="K31" s="32" t="s">
        <v>58</v>
      </c>
    </row>
    <row r="33" spans="9:11" x14ac:dyDescent="0.25">
      <c r="I33" s="65"/>
      <c r="J33" s="65"/>
      <c r="K33" s="32" t="s">
        <v>59</v>
      </c>
    </row>
    <row r="34" spans="9:11" x14ac:dyDescent="0.25">
      <c r="I34" s="42"/>
      <c r="J34" s="42"/>
      <c r="K34" s="32" t="s">
        <v>60</v>
      </c>
    </row>
  </sheetData>
  <mergeCells count="31">
    <mergeCell ref="A2:B2"/>
    <mergeCell ref="F2:BA2"/>
    <mergeCell ref="F3:G3"/>
    <mergeCell ref="H3:I3"/>
    <mergeCell ref="J3:K3"/>
    <mergeCell ref="L3:M3"/>
    <mergeCell ref="N3:O3"/>
    <mergeCell ref="P3:Q3"/>
    <mergeCell ref="R3:S3"/>
    <mergeCell ref="T3:U3"/>
    <mergeCell ref="AX3:AY3"/>
    <mergeCell ref="AZ3:BA3"/>
    <mergeCell ref="AN3:AO3"/>
    <mergeCell ref="AP3:AQ3"/>
    <mergeCell ref="AR3:AS3"/>
    <mergeCell ref="A10:A11"/>
    <mergeCell ref="A12:A18"/>
    <mergeCell ref="A19:A21"/>
    <mergeCell ref="AT3:AU3"/>
    <mergeCell ref="AV3:AW3"/>
    <mergeCell ref="A5:A7"/>
    <mergeCell ref="A8:A9"/>
    <mergeCell ref="AH3:AI3"/>
    <mergeCell ref="AJ3:AK3"/>
    <mergeCell ref="AL3:AM3"/>
    <mergeCell ref="V3:W3"/>
    <mergeCell ref="X3:Y3"/>
    <mergeCell ref="Z3:AA3"/>
    <mergeCell ref="AB3:AC3"/>
    <mergeCell ref="AD3:AE3"/>
    <mergeCell ref="AF3:AG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Комбайн</vt:lpstr>
      <vt:lpstr>01.10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a.karkach</dc:creator>
  <cp:lastModifiedBy>Диспетчер ЧИМК Васюк Евгений</cp:lastModifiedBy>
  <cp:lastPrinted>2014-09-11T06:40:44Z</cp:lastPrinted>
  <dcterms:created xsi:type="dcterms:W3CDTF">2014-07-06T07:03:48Z</dcterms:created>
  <dcterms:modified xsi:type="dcterms:W3CDTF">2014-10-31T12:48:56Z</dcterms:modified>
</cp:coreProperties>
</file>