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8100\Desktop\Lyen\"/>
    </mc:Choice>
  </mc:AlternateContent>
  <xr:revisionPtr revIDLastSave="0" documentId="13_ncr:1_{BB1EA739-C277-430F-9F83-567514FD7BFA}" xr6:coauthVersionLast="47" xr6:coauthVersionMax="47" xr10:uidLastSave="{00000000-0000-0000-0000-000000000000}"/>
  <bookViews>
    <workbookView xWindow="28680" yWindow="-945" windowWidth="29040" windowHeight="15720" xr2:uid="{80B748B8-88E2-45E1-8BA2-E085650AA844}"/>
  </bookViews>
  <sheets>
    <sheet name="Expenses only" sheetId="5" r:id="rId1"/>
    <sheet name="Credit Card " sheetId="2" r:id="rId2"/>
    <sheet name="Vacation 205- Exepneses " sheetId="6" r:id="rId3"/>
    <sheet name="Poland and South France 2025" sheetId="15" r:id="rId4"/>
    <sheet name="Japan " sheetId="9" state="hidden" r:id="rId5"/>
    <sheet name="Abue transfe" sheetId="7" r:id="rId6"/>
    <sheet name="Expenses " sheetId="1" state="hidden" r:id="rId7"/>
    <sheet name="Grocery expenses " sheetId="3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Y45" i="5" l="1"/>
  <c r="KY44" i="5"/>
  <c r="KZ39" i="5"/>
  <c r="KY16" i="5"/>
  <c r="KY31" i="5" l="1"/>
  <c r="KY17" i="5" l="1"/>
  <c r="KY40" i="5" s="1"/>
  <c r="KU39" i="5"/>
  <c r="KU40" i="5" s="1"/>
  <c r="KU31" i="5"/>
  <c r="KU12" i="5"/>
  <c r="KU13" i="5" s="1"/>
  <c r="KU15" i="5" s="1"/>
  <c r="KR16" i="5"/>
  <c r="KR37" i="5"/>
  <c r="KR24" i="5"/>
  <c r="KO16" i="5"/>
  <c r="KO32" i="5"/>
  <c r="KO33" i="5" s="1"/>
  <c r="KL41" i="5"/>
  <c r="KL32" i="5"/>
  <c r="KL16" i="5"/>
  <c r="KL17" i="5" s="1"/>
  <c r="KL22" i="5" s="1"/>
  <c r="KL33" i="5" s="1"/>
  <c r="KL35" i="5" s="1"/>
  <c r="KU32" i="5" l="1"/>
  <c r="KZ40" i="5"/>
  <c r="KY41" i="5"/>
  <c r="KY43" i="5" s="1"/>
  <c r="KR25" i="5"/>
  <c r="KR27" i="5" s="1"/>
  <c r="KR38" i="5" s="1"/>
  <c r="JW21" i="5"/>
  <c r="JX12" i="5"/>
  <c r="H29" i="15"/>
  <c r="KB27" i="5"/>
  <c r="KC4" i="5" l="1"/>
  <c r="KB32" i="5"/>
  <c r="KF32" i="5"/>
  <c r="KF19" i="5"/>
  <c r="KF20" i="5" s="1"/>
  <c r="KB18" i="5"/>
  <c r="JW18" i="5"/>
  <c r="JW19" i="5" s="1"/>
  <c r="JW30" i="5"/>
  <c r="JT55" i="5"/>
  <c r="JT56" i="5" s="1"/>
  <c r="JW31" i="5" l="1"/>
  <c r="KB9" i="5" s="1"/>
  <c r="C31" i="15"/>
  <c r="B29" i="15"/>
  <c r="B28" i="15"/>
  <c r="JT26" i="5"/>
  <c r="JT27" i="5" s="1"/>
  <c r="JL28" i="5"/>
  <c r="JL27" i="5"/>
  <c r="JL26" i="5"/>
  <c r="JK29" i="5"/>
  <c r="JJ28" i="5"/>
  <c r="JL7" i="5"/>
  <c r="JO7" i="5" s="1"/>
  <c r="KB19" i="5" l="1"/>
  <c r="JT43" i="5"/>
  <c r="JT44" i="5" s="1"/>
  <c r="JQ27" i="5"/>
  <c r="JJ29" i="5"/>
  <c r="JJ23" i="5"/>
  <c r="JJ24" i="5" s="1"/>
  <c r="JG33" i="5"/>
  <c r="JG32" i="5"/>
  <c r="JF30" i="5"/>
  <c r="JF31" i="5" s="1"/>
  <c r="JG31" i="5" s="1"/>
  <c r="KB33" i="5" l="1"/>
  <c r="JG13" i="5"/>
  <c r="JH13" i="5" s="1"/>
  <c r="JF23" i="5"/>
  <c r="JF24" i="5" s="1"/>
  <c r="JC28" i="5"/>
  <c r="JC23" i="5"/>
  <c r="JC24" i="5" s="1"/>
  <c r="IW37" i="5"/>
  <c r="IW38" i="5" s="1"/>
  <c r="IZ4" i="5"/>
  <c r="IY40" i="5"/>
  <c r="IY23" i="5"/>
  <c r="IY24" i="5" s="1"/>
  <c r="IZ24" i="5" s="1"/>
  <c r="IV27" i="5"/>
  <c r="IW6" i="5"/>
  <c r="IW5" i="5"/>
  <c r="IW4" i="5"/>
  <c r="IV23" i="5"/>
  <c r="IV24" i="5" s="1"/>
  <c r="IR24" i="5"/>
  <c r="IR25" i="5" s="1"/>
  <c r="IM24" i="5"/>
  <c r="IM25" i="5" s="1"/>
  <c r="IJ24" i="5"/>
  <c r="IJ25" i="5" s="1"/>
  <c r="IH28" i="5"/>
  <c r="IG27" i="5"/>
  <c r="IF29" i="5"/>
  <c r="IG29" i="5" s="1"/>
  <c r="IG28" i="5"/>
  <c r="IF24" i="5"/>
  <c r="IF25" i="5" s="1"/>
  <c r="IB24" i="5"/>
  <c r="IB25" i="5"/>
  <c r="HW22" i="5"/>
  <c r="HW23" i="5" s="1"/>
  <c r="HT5" i="5"/>
  <c r="HT30" i="5" s="1"/>
  <c r="HT6" i="5"/>
  <c r="HT4" i="5"/>
  <c r="HS24" i="5"/>
  <c r="HS25" i="5" s="1"/>
  <c r="HO21" i="5"/>
  <c r="HO22" i="5" s="1"/>
  <c r="HO8" i="5"/>
  <c r="HL19" i="5"/>
  <c r="HL20" i="5" s="1"/>
  <c r="HG19" i="5"/>
  <c r="HG20" i="5" s="1"/>
  <c r="HD5" i="5"/>
  <c r="HC20" i="5"/>
  <c r="HC21" i="5" s="1"/>
  <c r="GT37" i="5"/>
  <c r="GT38" i="5" s="1"/>
  <c r="GX8" i="5" s="1"/>
  <c r="GU22" i="5"/>
  <c r="GT8" i="5"/>
  <c r="GX21" i="5"/>
  <c r="GT23" i="5"/>
  <c r="GP8" i="5"/>
  <c r="GM18" i="5"/>
  <c r="GK17" i="5"/>
  <c r="GQ23" i="5"/>
  <c r="GP22" i="5"/>
  <c r="GQ22" i="5" s="1"/>
  <c r="GP18" i="5"/>
  <c r="GN4" i="5"/>
  <c r="GJ28" i="5"/>
  <c r="GJ8" i="5"/>
  <c r="IY27" i="5" l="1"/>
  <c r="IZ6" i="5" s="1"/>
  <c r="IY26" i="5"/>
  <c r="IZ5" i="5" s="1"/>
  <c r="IF30" i="5"/>
  <c r="GT24" i="5"/>
  <c r="GX22" i="5" s="1"/>
  <c r="GP19" i="5"/>
  <c r="GP21" i="5" s="1"/>
  <c r="GQ21" i="5" s="1"/>
  <c r="GJ21" i="5" l="1"/>
  <c r="GJ22" i="5" l="1"/>
  <c r="GJ23" i="5" s="1"/>
  <c r="FY14" i="5" l="1"/>
  <c r="GB17" i="5" l="1"/>
  <c r="FX17" i="5"/>
  <c r="FX18" i="5" s="1"/>
  <c r="GB8" i="5"/>
  <c r="FT20" i="5"/>
  <c r="FT18" i="5"/>
  <c r="FP34" i="5"/>
  <c r="FP35" i="5" s="1"/>
  <c r="FS8" i="5" s="1"/>
  <c r="FS25" i="5"/>
  <c r="FQ19" i="5"/>
  <c r="FQ21" i="5"/>
  <c r="GB18" i="5" l="1"/>
  <c r="AE8" i="2" l="1"/>
  <c r="AP7" i="2"/>
  <c r="FP8" i="5"/>
  <c r="FL38" i="5"/>
  <c r="FK37" i="5"/>
  <c r="FK38" i="5" s="1"/>
  <c r="FM37" i="5"/>
  <c r="FM38" i="5" s="1"/>
  <c r="FJ37" i="5"/>
  <c r="FL34" i="5"/>
  <c r="FK34" i="5"/>
  <c r="FP23" i="5"/>
  <c r="FL14" i="5"/>
  <c r="FP24" i="5" l="1"/>
  <c r="FS26" i="5" s="1"/>
  <c r="FG21" i="5"/>
  <c r="FG20" i="5"/>
  <c r="FF22" i="5"/>
  <c r="FF23" i="5" s="1"/>
  <c r="FK22" i="5"/>
  <c r="FK23" i="5" l="1"/>
  <c r="AO7" i="2"/>
  <c r="FA8" i="5"/>
  <c r="FA17" i="5"/>
  <c r="EX23" i="5"/>
  <c r="EX24" i="5" s="1"/>
  <c r="FA18" i="5" l="1"/>
  <c r="AN7" i="2"/>
  <c r="EU21" i="5"/>
  <c r="EP3" i="5"/>
  <c r="O14" i="9"/>
  <c r="AM7" i="2" l="1"/>
  <c r="EX4" i="5"/>
  <c r="EP7" i="5"/>
  <c r="EU16" i="5"/>
  <c r="EU7" i="5"/>
  <c r="EP17" i="5"/>
  <c r="EL16" i="5"/>
  <c r="EH21" i="5"/>
  <c r="EI17" i="5"/>
  <c r="EI18" i="5"/>
  <c r="EL7" i="5"/>
  <c r="EI26" i="5"/>
  <c r="ED14" i="5"/>
  <c r="ED13" i="5"/>
  <c r="ED12" i="5"/>
  <c r="EE38" i="5"/>
  <c r="EB35" i="5"/>
  <c r="EB37" i="5" s="1"/>
  <c r="EB41" i="5" s="1"/>
  <c r="EC15" i="5"/>
  <c r="EC27" i="5"/>
  <c r="EC7" i="5"/>
  <c r="DY16" i="5"/>
  <c r="DZ16" i="5" s="1"/>
  <c r="DY17" i="5"/>
  <c r="DZ17" i="5" s="1"/>
  <c r="AL7" i="2"/>
  <c r="DX36" i="5"/>
  <c r="DX37" i="5" s="1"/>
  <c r="DU56" i="5"/>
  <c r="DT57" i="5"/>
  <c r="DU57" i="5" s="1"/>
  <c r="DT55" i="5"/>
  <c r="DU55" i="5" s="1"/>
  <c r="DS43" i="5"/>
  <c r="DT50" i="5"/>
  <c r="DT30" i="5"/>
  <c r="DU30" i="5" s="1"/>
  <c r="AK7" i="2"/>
  <c r="DT18" i="5"/>
  <c r="DP37" i="5"/>
  <c r="DP39" i="5" s="1"/>
  <c r="DU18" i="5"/>
  <c r="DT28" i="5"/>
  <c r="DU28" i="5" s="1"/>
  <c r="DS26" i="5"/>
  <c r="DT5" i="5" s="1"/>
  <c r="DS25" i="5"/>
  <c r="DT4" i="5" s="1"/>
  <c r="DS24" i="5"/>
  <c r="DT3" i="5" s="1"/>
  <c r="DX18" i="5"/>
  <c r="DX7" i="5"/>
  <c r="DP27" i="5"/>
  <c r="DP26" i="5"/>
  <c r="DP25" i="5"/>
  <c r="DS21" i="5"/>
  <c r="DS7" i="5"/>
  <c r="DO21" i="5"/>
  <c r="EU17" i="5" l="1"/>
  <c r="EP18" i="5"/>
  <c r="EL17" i="5"/>
  <c r="EH22" i="5"/>
  <c r="EC38" i="5"/>
  <c r="EC40" i="5"/>
  <c r="EC39" i="5"/>
  <c r="EC36" i="5"/>
  <c r="EC16" i="5"/>
  <c r="EC18" i="5" s="1"/>
  <c r="DU19" i="5"/>
  <c r="DS35" i="5" s="1"/>
  <c r="DX19" i="5"/>
  <c r="DY19" i="5" s="1"/>
  <c r="DS22" i="5"/>
  <c r="DU23" i="5" s="1"/>
  <c r="DP38" i="5"/>
  <c r="DP40" i="5"/>
  <c r="DO7" i="5"/>
  <c r="DO22" i="5" s="1"/>
  <c r="AJ7" i="2"/>
  <c r="DH9" i="5"/>
  <c r="DK21" i="5"/>
  <c r="DK7" i="5"/>
  <c r="DH20" i="5"/>
  <c r="DH19" i="5"/>
  <c r="DG18" i="5"/>
  <c r="DC16" i="5"/>
  <c r="AI7" i="2"/>
  <c r="EV19" i="5" l="1"/>
  <c r="EV18" i="5"/>
  <c r="EV20" i="5"/>
  <c r="EH24" i="5"/>
  <c r="EH23" i="5"/>
  <c r="EH25" i="5"/>
  <c r="EC28" i="5"/>
  <c r="EC19" i="5"/>
  <c r="EC29" i="5" s="1"/>
  <c r="DZ21" i="5"/>
  <c r="DZ20" i="5"/>
  <c r="DZ19" i="5"/>
  <c r="DK22" i="5"/>
  <c r="DL22" i="5" s="1"/>
  <c r="DL4" i="5" s="1"/>
  <c r="DB2" i="5"/>
  <c r="DB7" i="5" s="1"/>
  <c r="CW18" i="5"/>
  <c r="CW21" i="5" s="1"/>
  <c r="D38" i="5"/>
  <c r="EV21" i="5" l="1"/>
  <c r="DL3" i="5"/>
  <c r="DL5" i="5"/>
  <c r="AH7" i="2"/>
  <c r="DG21" i="5" l="1"/>
  <c r="DB19" i="5"/>
  <c r="CW7" i="5"/>
  <c r="CS17" i="5"/>
  <c r="CS7" i="5"/>
  <c r="CO20" i="5"/>
  <c r="CP20" i="5" s="1"/>
  <c r="AG7" i="2"/>
  <c r="CN21" i="5"/>
  <c r="CN7" i="5"/>
  <c r="CJ40" i="5"/>
  <c r="CK35" i="5"/>
  <c r="CK32" i="5"/>
  <c r="CJ36" i="5"/>
  <c r="CJ37" i="5" s="1"/>
  <c r="CJ12" i="5"/>
  <c r="CJ19" i="5" s="1"/>
  <c r="CK16" i="5"/>
  <c r="CK18" i="5"/>
  <c r="CK17" i="5"/>
  <c r="AF7" i="2"/>
  <c r="CK5" i="5"/>
  <c r="CK4" i="5"/>
  <c r="CK3" i="5"/>
  <c r="CJ7" i="5"/>
  <c r="DB20" i="5" l="1"/>
  <c r="DB22" i="5" s="1"/>
  <c r="CW22" i="5"/>
  <c r="CX22" i="5" s="1"/>
  <c r="CS18" i="5"/>
  <c r="CL34" i="5"/>
  <c r="CN22" i="5"/>
  <c r="CJ20" i="5"/>
  <c r="CG19" i="5"/>
  <c r="CG17" i="5"/>
  <c r="CG18" i="5"/>
  <c r="CF32" i="5"/>
  <c r="CF29" i="5"/>
  <c r="CF20" i="5"/>
  <c r="CF7" i="5"/>
  <c r="CB42" i="5"/>
  <c r="CB43" i="5" s="1"/>
  <c r="CC20" i="5"/>
  <c r="DC20" i="5" l="1"/>
  <c r="DG22" i="5"/>
  <c r="DG23" i="5" s="1"/>
  <c r="CH17" i="5"/>
  <c r="CF21" i="5"/>
  <c r="CF30" i="5" s="1"/>
  <c r="AE7" i="2"/>
  <c r="CB26" i="5"/>
  <c r="CC3" i="5"/>
  <c r="CC6" i="5" s="1"/>
  <c r="CB7" i="5"/>
  <c r="BX26" i="5"/>
  <c r="BX7" i="5"/>
  <c r="BP2" i="5"/>
  <c r="AD7" i="2"/>
  <c r="BU19" i="5"/>
  <c r="BR2" i="5"/>
  <c r="BR19" i="5"/>
  <c r="BO20" i="5"/>
  <c r="BI3" i="5"/>
  <c r="BL3" i="5" s="1"/>
  <c r="BO3" i="5" s="1"/>
  <c r="BP3" i="5" s="1"/>
  <c r="BR3" i="5" s="1"/>
  <c r="BU3" i="5" s="1"/>
  <c r="BI19" i="5"/>
  <c r="BF16" i="5"/>
  <c r="BF19" i="5" s="1"/>
  <c r="BL20" i="5"/>
  <c r="BL7" i="5"/>
  <c r="AC5" i="2"/>
  <c r="W7" i="2"/>
  <c r="Y7" i="2"/>
  <c r="AA7" i="2"/>
  <c r="AB7" i="2"/>
  <c r="BI7" i="5"/>
  <c r="BI5" i="5"/>
  <c r="BL5" i="5" s="1"/>
  <c r="BO5" i="5" s="1"/>
  <c r="BR5" i="5" s="1"/>
  <c r="BU5" i="5" s="1"/>
  <c r="AC6" i="2"/>
  <c r="AC7" i="2" s="1"/>
  <c r="BC18" i="5"/>
  <c r="BD4" i="5"/>
  <c r="BD5" i="5"/>
  <c r="BD3" i="5"/>
  <c r="BC7" i="5"/>
  <c r="AZ21" i="5"/>
  <c r="AZ22" i="5" s="1"/>
  <c r="AZ24" i="5" s="1"/>
  <c r="AZ26" i="5" s="1"/>
  <c r="AZ28" i="5" s="1"/>
  <c r="AW17" i="5"/>
  <c r="AW18" i="5" s="1"/>
  <c r="AW20" i="5" s="1"/>
  <c r="AW22" i="5" s="1"/>
  <c r="AW24" i="5" s="1"/>
  <c r="Z6" i="2"/>
  <c r="Z7" i="2" s="1"/>
  <c r="J17" i="2"/>
  <c r="AS15" i="5"/>
  <c r="AS19" i="5" s="1"/>
  <c r="AS20" i="5" s="1"/>
  <c r="AS22" i="5" s="1"/>
  <c r="AS24" i="5" s="1"/>
  <c r="AS26" i="5" s="1"/>
  <c r="AT4" i="5"/>
  <c r="C39" i="5"/>
  <c r="D37" i="5"/>
  <c r="D36" i="5"/>
  <c r="D35" i="5"/>
  <c r="D34" i="5"/>
  <c r="D33" i="5"/>
  <c r="D32" i="5"/>
  <c r="D31" i="5"/>
  <c r="D30" i="5"/>
  <c r="D29" i="5"/>
  <c r="AM27" i="5"/>
  <c r="D28" i="5"/>
  <c r="D27" i="5"/>
  <c r="AP23" i="5"/>
  <c r="AG23" i="5"/>
  <c r="AA23" i="5"/>
  <c r="X23" i="5"/>
  <c r="U23" i="5"/>
  <c r="R23" i="5"/>
  <c r="O23" i="5"/>
  <c r="L23" i="5"/>
  <c r="D21" i="5"/>
  <c r="D20" i="5"/>
  <c r="D18" i="5"/>
  <c r="AJ17" i="5"/>
  <c r="AJ23" i="5" s="1"/>
  <c r="AD14" i="5"/>
  <c r="AD23" i="5" s="1"/>
  <c r="I10" i="5"/>
  <c r="I23" i="5" s="1"/>
  <c r="D8" i="5"/>
  <c r="R7" i="5"/>
  <c r="U7" i="5" s="1"/>
  <c r="X7" i="5" s="1"/>
  <c r="L7" i="5"/>
  <c r="O7" i="5" s="1"/>
  <c r="D7" i="5"/>
  <c r="AD6" i="5"/>
  <c r="AG6" i="5" s="1"/>
  <c r="AJ6" i="5" s="1"/>
  <c r="AM6" i="5" s="1"/>
  <c r="AP6" i="5" s="1"/>
  <c r="I6" i="5"/>
  <c r="L6" i="5" s="1"/>
  <c r="D6" i="5"/>
  <c r="D5" i="5"/>
  <c r="AP4" i="5"/>
  <c r="AP5" i="5" s="1"/>
  <c r="I4" i="5"/>
  <c r="D4" i="5"/>
  <c r="D3" i="5"/>
  <c r="D2" i="5"/>
  <c r="DB23" i="5" l="1"/>
  <c r="CG21" i="5"/>
  <c r="CB27" i="5"/>
  <c r="BC19" i="5"/>
  <c r="BC21" i="5" s="1"/>
  <c r="BC23" i="5" s="1"/>
  <c r="BC25" i="5" s="1"/>
  <c r="BF7" i="5" s="1"/>
  <c r="BF20" i="5" s="1"/>
  <c r="BF22" i="5" s="1"/>
  <c r="BF24" i="5" s="1"/>
  <c r="BF26" i="5" s="1"/>
  <c r="BP6" i="5"/>
  <c r="BX27" i="5"/>
  <c r="BX29" i="5" s="1"/>
  <c r="BX31" i="5" s="1"/>
  <c r="BX33" i="5" s="1"/>
  <c r="BU2" i="5"/>
  <c r="BL21" i="5"/>
  <c r="BI20" i="5"/>
  <c r="BI22" i="5" s="1"/>
  <c r="BI24" i="5" s="1"/>
  <c r="BI26" i="5" s="1"/>
  <c r="AP26" i="5"/>
  <c r="AP28" i="5" s="1"/>
  <c r="I25" i="5"/>
  <c r="L4" i="5" s="1"/>
  <c r="L25" i="5" s="1"/>
  <c r="O4" i="5" s="1"/>
  <c r="O5" i="5" s="1"/>
  <c r="O25" i="5" s="1"/>
  <c r="R4" i="5" s="1"/>
  <c r="R5" i="5" s="1"/>
  <c r="R25" i="5" s="1"/>
  <c r="D39" i="5"/>
  <c r="X5" i="2"/>
  <c r="X6" i="2"/>
  <c r="BK24" i="1"/>
  <c r="BN7" i="1"/>
  <c r="BN24" i="1" s="1"/>
  <c r="BK7" i="1"/>
  <c r="BE26" i="1"/>
  <c r="BL23" i="5" l="1"/>
  <c r="BL25" i="5" s="1"/>
  <c r="BL27" i="5" s="1"/>
  <c r="BO21" i="5" s="1"/>
  <c r="R26" i="5"/>
  <c r="BW22" i="1"/>
  <c r="BW7" i="1"/>
  <c r="BT22" i="1"/>
  <c r="BT7" i="1"/>
  <c r="BQ22" i="1"/>
  <c r="BQ7" i="1"/>
  <c r="BN22" i="1"/>
  <c r="BK22" i="1"/>
  <c r="BO23" i="5" l="1"/>
  <c r="BO25" i="5" s="1"/>
  <c r="BO27" i="5" s="1"/>
  <c r="R27" i="5"/>
  <c r="U4" i="5" s="1"/>
  <c r="U5" i="5" s="1"/>
  <c r="U25" i="5" s="1"/>
  <c r="U27" i="5" s="1"/>
  <c r="X4" i="5" s="1"/>
  <c r="X5" i="5" s="1"/>
  <c r="X24" i="5" s="1"/>
  <c r="AA7" i="5" s="1"/>
  <c r="AD7" i="5" s="1"/>
  <c r="AG7" i="5" s="1"/>
  <c r="AJ7" i="5" s="1"/>
  <c r="AM7" i="5" s="1"/>
  <c r="AM29" i="5" s="1"/>
  <c r="AP7" i="5" s="1"/>
  <c r="P32" i="3"/>
  <c r="P19" i="3"/>
  <c r="BH22" i="1"/>
  <c r="AP4" i="1"/>
  <c r="M32" i="3"/>
  <c r="M31" i="3"/>
  <c r="J44" i="3"/>
  <c r="J43" i="3"/>
  <c r="J41" i="3"/>
  <c r="J42" i="3"/>
  <c r="J25" i="3"/>
  <c r="AM26" i="1"/>
  <c r="AJ16" i="1"/>
  <c r="AJ22" i="1" s="1"/>
  <c r="AD13" i="1"/>
  <c r="AD22" i="1" s="1"/>
  <c r="Q3" i="2"/>
  <c r="Q4" i="2"/>
  <c r="R4" i="2" s="1"/>
  <c r="R7" i="2" s="1"/>
  <c r="AD6" i="1"/>
  <c r="H40" i="3"/>
  <c r="H39" i="3"/>
  <c r="H37" i="3"/>
  <c r="H32" i="3"/>
  <c r="AA22" i="1"/>
  <c r="M4" i="2"/>
  <c r="N4" i="2" s="1"/>
  <c r="O4" i="2" s="1"/>
  <c r="P4" i="2" s="1"/>
  <c r="M5" i="2"/>
  <c r="F32" i="3"/>
  <c r="B31" i="3"/>
  <c r="D31" i="3"/>
  <c r="L5" i="2"/>
  <c r="L3" i="2"/>
  <c r="U22" i="1"/>
  <c r="J4" i="2"/>
  <c r="L4" i="2" s="1"/>
  <c r="I4" i="2"/>
  <c r="R22" i="1"/>
  <c r="O22" i="1"/>
  <c r="B35" i="3"/>
  <c r="B34" i="3"/>
  <c r="H3" i="2"/>
  <c r="R7" i="1"/>
  <c r="F6" i="2"/>
  <c r="F7" i="2" s="1"/>
  <c r="E6" i="2"/>
  <c r="E7" i="2" s="1"/>
  <c r="D6" i="2"/>
  <c r="D7" i="2" s="1"/>
  <c r="BB22" i="1"/>
  <c r="AY22" i="1"/>
  <c r="AV22" i="1"/>
  <c r="AP22" i="1"/>
  <c r="AS22" i="1"/>
  <c r="AG22" i="1"/>
  <c r="F6" i="1"/>
  <c r="L22" i="1"/>
  <c r="L7" i="1"/>
  <c r="O7" i="1" s="1"/>
  <c r="C27" i="2"/>
  <c r="C5" i="2"/>
  <c r="D5" i="2" s="1"/>
  <c r="E5" i="2" s="1"/>
  <c r="F5" i="2" s="1"/>
  <c r="H5" i="2" s="1"/>
  <c r="C4" i="2"/>
  <c r="D4" i="2" s="1"/>
  <c r="E4" i="2" s="1"/>
  <c r="F4" i="2" s="1"/>
  <c r="H4" i="2" s="1"/>
  <c r="B6" i="2"/>
  <c r="C6" i="2" s="1"/>
  <c r="D33" i="1"/>
  <c r="D29" i="1"/>
  <c r="D28" i="1"/>
  <c r="D27" i="1"/>
  <c r="D19" i="1"/>
  <c r="D12" i="1"/>
  <c r="B20" i="2"/>
  <c r="B27" i="2" s="1"/>
  <c r="I6" i="1"/>
  <c r="I10" i="1"/>
  <c r="D32" i="1"/>
  <c r="D35" i="1"/>
  <c r="D31" i="1"/>
  <c r="D30" i="1"/>
  <c r="D26" i="1"/>
  <c r="D25" i="1"/>
  <c r="D34" i="1"/>
  <c r="D17" i="1"/>
  <c r="D18" i="1"/>
  <c r="D8" i="1"/>
  <c r="D7" i="1"/>
  <c r="D6" i="1"/>
  <c r="D5" i="1"/>
  <c r="D4" i="1"/>
  <c r="D3" i="1"/>
  <c r="D2" i="1"/>
  <c r="I4" i="1" s="1"/>
  <c r="B16" i="2"/>
  <c r="C37" i="1"/>
  <c r="O6" i="1" l="1"/>
  <c r="R6" i="1" s="1"/>
  <c r="O6" i="5"/>
  <c r="BR7" i="5"/>
  <c r="BR20" i="5" s="1"/>
  <c r="BR22" i="5" s="1"/>
  <c r="BR24" i="5" s="1"/>
  <c r="BR26" i="5" s="1"/>
  <c r="BU7" i="5" s="1"/>
  <c r="BU20" i="5" s="1"/>
  <c r="BU22" i="5" s="1"/>
  <c r="BU24" i="5" s="1"/>
  <c r="BU26" i="5" s="1"/>
  <c r="X25" i="5"/>
  <c r="X27" i="5" s="1"/>
  <c r="AA4" i="5" s="1"/>
  <c r="AA5" i="5" s="1"/>
  <c r="AA25" i="5" s="1"/>
  <c r="AA27" i="5" s="1"/>
  <c r="AD4" i="5" s="1"/>
  <c r="AD5" i="5" s="1"/>
  <c r="AD25" i="5" s="1"/>
  <c r="AD27" i="5" s="1"/>
  <c r="AG4" i="5" s="1"/>
  <c r="AG5" i="5" s="1"/>
  <c r="AG25" i="5" s="1"/>
  <c r="AG27" i="5" s="1"/>
  <c r="AJ4" i="5" s="1"/>
  <c r="AJ5" i="5" s="1"/>
  <c r="AJ25" i="5" s="1"/>
  <c r="AJ27" i="5" s="1"/>
  <c r="AM4" i="5" s="1"/>
  <c r="AM5" i="5" s="1"/>
  <c r="AM30" i="5" s="1"/>
  <c r="AM32" i="5" s="1"/>
  <c r="B39" i="3"/>
  <c r="J6" i="2"/>
  <c r="J7" i="2" s="1"/>
  <c r="G6" i="2"/>
  <c r="I6" i="2"/>
  <c r="I7" i="2" s="1"/>
  <c r="L6" i="1"/>
  <c r="C3" i="2"/>
  <c r="C7" i="2" s="1"/>
  <c r="X22" i="1"/>
  <c r="I22" i="1"/>
  <c r="I24" i="1" s="1"/>
  <c r="L4" i="1" s="1"/>
  <c r="L24" i="1" s="1"/>
  <c r="O4" i="1" s="1"/>
  <c r="O5" i="1" s="1"/>
  <c r="O24" i="1" s="1"/>
  <c r="R4" i="1" s="1"/>
  <c r="D37" i="1"/>
  <c r="R6" i="5" l="1"/>
  <c r="U6" i="5"/>
  <c r="X6" i="5" s="1"/>
  <c r="AA6" i="5" s="1"/>
  <c r="H6" i="2"/>
  <c r="G7" i="2"/>
  <c r="U6" i="2"/>
  <c r="U7" i="2" s="1"/>
  <c r="V6" i="2"/>
  <c r="V7" i="2" s="1"/>
  <c r="T6" i="2"/>
  <c r="T7" i="2" s="1"/>
  <c r="S6" i="2"/>
  <c r="S7" i="2" s="1"/>
  <c r="M6" i="2"/>
  <c r="K6" i="2"/>
  <c r="L6" i="2" l="1"/>
  <c r="K7" i="2"/>
  <c r="N6" i="2"/>
  <c r="N7" i="2" s="1"/>
  <c r="M7" i="2"/>
  <c r="O6" i="2"/>
  <c r="O7" i="2" s="1"/>
  <c r="R5" i="1"/>
  <c r="R24" i="1" s="1"/>
  <c r="P6" i="2" l="1"/>
  <c r="P7" i="2" s="1"/>
  <c r="Q6" i="2"/>
  <c r="Q7" i="2" s="1"/>
  <c r="U7" i="1"/>
  <c r="X7" i="1" s="1"/>
  <c r="R25" i="1"/>
  <c r="U6" i="1" s="1"/>
  <c r="R26" i="1" l="1"/>
  <c r="U4" i="1" s="1"/>
  <c r="U5" i="1" s="1"/>
  <c r="U24" i="1" l="1"/>
  <c r="X6" i="1" s="1"/>
  <c r="U26" i="1" l="1"/>
  <c r="X4" i="1" s="1"/>
  <c r="X5" i="1" s="1"/>
  <c r="X23" i="1" s="1"/>
  <c r="AA7" i="1" l="1"/>
  <c r="X24" i="1" l="1"/>
  <c r="AA6" i="1"/>
  <c r="X26" i="1" l="1"/>
  <c r="AA4" i="1" s="1"/>
  <c r="AA5" i="1" s="1"/>
  <c r="AD7" i="1" l="1"/>
  <c r="AG7" i="1" s="1"/>
  <c r="AJ7" i="1" s="1"/>
  <c r="AM7" i="1" s="1"/>
  <c r="AA24" i="1"/>
  <c r="AA26" i="1" s="1"/>
  <c r="AD4" i="1" s="1"/>
  <c r="AD5" i="1" s="1"/>
  <c r="AD24" i="1" l="1"/>
  <c r="AG6" i="1"/>
  <c r="AJ6" i="1" s="1"/>
  <c r="AD26" i="1" l="1"/>
  <c r="AG4" i="1" s="1"/>
  <c r="AG5" i="1" s="1"/>
  <c r="AG24" i="1" l="1"/>
  <c r="AG26" i="1" l="1"/>
  <c r="AJ4" i="1" s="1"/>
  <c r="AJ5" i="1" s="1"/>
  <c r="AM28" i="1" l="1"/>
  <c r="AP7" i="1" s="1"/>
  <c r="AJ24" i="1"/>
  <c r="AJ26" i="1" s="1"/>
  <c r="AM4" i="1" s="1"/>
  <c r="AM5" i="1" s="1"/>
  <c r="AM29" i="1" s="1"/>
  <c r="AM6" i="1" l="1"/>
  <c r="AP6" i="1" l="1"/>
  <c r="AS6" i="1" s="1"/>
  <c r="AV6" i="1" s="1"/>
  <c r="AY6" i="1" s="1"/>
  <c r="AM31" i="1"/>
  <c r="AP5" i="1" s="1"/>
  <c r="AS7" i="1" l="1"/>
  <c r="AP25" i="1" l="1"/>
  <c r="AP27" i="1" l="1"/>
  <c r="AS4" i="1" s="1"/>
  <c r="AS5" i="1" s="1"/>
  <c r="AS25" i="1" l="1"/>
  <c r="AS28" i="1" s="1"/>
  <c r="AV4" i="1" s="1"/>
  <c r="AV7" i="1"/>
  <c r="AV5" i="1" l="1"/>
  <c r="AV25" i="1" s="1"/>
  <c r="AY7" i="1" l="1"/>
  <c r="AV27" i="1" l="1"/>
  <c r="AY4" i="1" l="1"/>
  <c r="AY5" i="1" s="1"/>
  <c r="AY25" i="1" s="1"/>
  <c r="AY27" i="1" s="1"/>
  <c r="BB4" i="1" s="1"/>
  <c r="BB5" i="1" s="1"/>
  <c r="BB25" i="1" s="1"/>
  <c r="BB27" i="1" s="1"/>
  <c r="BE4" i="1" s="1"/>
  <c r="BE5" i="1" s="1"/>
  <c r="BE31" i="1" s="1"/>
  <c r="BH4" i="1" s="1"/>
  <c r="BH5" i="1" s="1"/>
  <c r="BH25" i="1" s="1"/>
  <c r="BH27" i="1" s="1"/>
  <c r="BB6" i="1"/>
  <c r="BE6" i="1" s="1"/>
  <c r="BH6" i="1" s="1"/>
  <c r="BK6" i="1" s="1"/>
  <c r="BN6" i="1" s="1"/>
  <c r="BQ6" i="1" s="1"/>
  <c r="BT6" i="1" s="1"/>
  <c r="BW6" i="1" s="1"/>
  <c r="BB7" i="1"/>
  <c r="BE7" i="1" s="1"/>
  <c r="BE28" i="1" s="1"/>
  <c r="BH7" i="1" s="1"/>
  <c r="BK4" i="1" l="1"/>
  <c r="BK5" i="1" s="1"/>
  <c r="BK25" i="1" l="1"/>
  <c r="BK27" i="1" s="1"/>
  <c r="BN4" i="1" s="1"/>
  <c r="BN5" i="1" s="1"/>
  <c r="BN25" i="1" s="1"/>
  <c r="BN27" i="1" s="1"/>
  <c r="BQ4" i="1" s="1"/>
  <c r="BQ5" i="1" s="1"/>
  <c r="BQ25" i="1" s="1"/>
  <c r="BQ27" i="1" s="1"/>
  <c r="BT4" i="1" s="1"/>
  <c r="BT5" i="1" s="1"/>
  <c r="BT25" i="1" s="1"/>
  <c r="BT27" i="1" s="1"/>
  <c r="BW4" i="1" s="1"/>
  <c r="BW5" i="1" s="1"/>
  <c r="BW25" i="1" s="1"/>
  <c r="BW27" i="1" s="1"/>
  <c r="DS44" i="5"/>
  <c r="DT45" i="5" s="1"/>
  <c r="DS48" i="5" l="1"/>
  <c r="DU52" i="5" s="1"/>
  <c r="DS47" i="5"/>
  <c r="DU51" i="5" s="1"/>
  <c r="DS46" i="5"/>
  <c r="DU50" i="5" s="1"/>
  <c r="KL42" i="5"/>
  <c r="KO1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Lyenfa Margarita Lusinski</author>
  </authors>
  <commentList>
    <comment ref="X7" authorId="0" shapeId="0" xr:uid="{C8085D06-48D0-4069-863C-9A31095B143E}">
      <text>
        <r>
          <rPr>
            <b/>
            <sz val="9"/>
            <color indexed="81"/>
            <rFont val="Tahoma"/>
            <family val="2"/>
          </rPr>
          <t>Lyenfa Margarita Lusinski:</t>
        </r>
        <r>
          <rPr>
            <sz val="9"/>
            <color indexed="81"/>
            <rFont val="Tahoma"/>
            <family val="2"/>
          </rPr>
          <t xml:space="preserve">
move $100 to travel</t>
        </r>
      </text>
    </comment>
    <comment ref="AM32" authorId="0" shapeId="0" xr:uid="{3390E520-AFC4-4FB3-87C0-0D032CC655A7}">
      <text>
        <r>
          <rPr>
            <b/>
            <sz val="9"/>
            <color indexed="81"/>
            <rFont val="Tahoma"/>
            <family val="2"/>
          </rPr>
          <t>Lyenfa Margarita Lusinski:</t>
        </r>
        <r>
          <rPr>
            <sz val="9"/>
            <color indexed="81"/>
            <rFont val="Tahoma"/>
            <family val="2"/>
          </rPr>
          <t xml:space="preserve">
incorrect, we closed July 9 woth 82.85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Lyenfa Margarita Lusinski</author>
  </authors>
  <commentList>
    <comment ref="A6" authorId="0" shapeId="0" xr:uid="{5E8E0EDE-2C60-4362-B268-8B88CC36EA2A}">
      <text>
        <r>
          <rPr>
            <b/>
            <sz val="9"/>
            <color indexed="81"/>
            <rFont val="Tahoma"/>
            <family val="2"/>
          </rPr>
          <t>Lyenfa Margarita Lusinski:</t>
        </r>
        <r>
          <rPr>
            <sz val="9"/>
            <color indexed="81"/>
            <rFont val="Tahoma"/>
            <family val="2"/>
          </rPr>
          <t xml:space="preserve">
I combired  my pesonal $536 with travel $1,999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Lyenfa Margarita Lusinski</author>
  </authors>
  <commentList>
    <comment ref="X7" authorId="0" shapeId="0" xr:uid="{CC6DECFB-A24F-4A6A-859D-56F3D0698BA6}">
      <text>
        <r>
          <rPr>
            <b/>
            <sz val="9"/>
            <color indexed="81"/>
            <rFont val="Tahoma"/>
            <family val="2"/>
          </rPr>
          <t>Lyenfa Margarita Lusinski:</t>
        </r>
        <r>
          <rPr>
            <sz val="9"/>
            <color indexed="81"/>
            <rFont val="Tahoma"/>
            <family val="2"/>
          </rPr>
          <t xml:space="preserve">
move $100 to travel</t>
        </r>
      </text>
    </comment>
    <comment ref="AM31" authorId="0" shapeId="0" xr:uid="{D9AC8F64-9A8E-40A8-81A1-DEF8E5489F43}">
      <text>
        <r>
          <rPr>
            <b/>
            <sz val="9"/>
            <color indexed="81"/>
            <rFont val="Tahoma"/>
            <family val="2"/>
          </rPr>
          <t>Lyenfa Margarita Lusinski:</t>
        </r>
        <r>
          <rPr>
            <sz val="9"/>
            <color indexed="81"/>
            <rFont val="Tahoma"/>
            <family val="2"/>
          </rPr>
          <t xml:space="preserve">
incorrect, we closed July 9 woth 82.85
</t>
        </r>
      </text>
    </comment>
  </commentList>
</comments>
</file>

<file path=xl/sharedStrings.xml><?xml version="1.0" encoding="utf-8"?>
<sst xmlns="http://schemas.openxmlformats.org/spreadsheetml/2006/main" count="3500" uniqueCount="1022">
  <si>
    <t>Item</t>
  </si>
  <si>
    <t xml:space="preserve"> Expenses </t>
  </si>
  <si>
    <t xml:space="preserve">House -Mortage </t>
  </si>
  <si>
    <t xml:space="preserve">Date </t>
  </si>
  <si>
    <t xml:space="preserve">3rd of the month </t>
  </si>
  <si>
    <t xml:space="preserve">House Utility -Water </t>
  </si>
  <si>
    <t>1st of the month</t>
  </si>
  <si>
    <t>House Utility -Gas</t>
  </si>
  <si>
    <t xml:space="preserve">House Utility -Electric </t>
  </si>
  <si>
    <t xml:space="preserve">Car </t>
  </si>
  <si>
    <t xml:space="preserve">Car insurance </t>
  </si>
  <si>
    <t xml:space="preserve">every quarter </t>
  </si>
  <si>
    <t>Loan:</t>
  </si>
  <si>
    <t>School Loan Discovery</t>
  </si>
  <si>
    <t>4th of the month</t>
  </si>
  <si>
    <t>16th of the month</t>
  </si>
  <si>
    <t>20th of the month</t>
  </si>
  <si>
    <t>Currently owe</t>
  </si>
  <si>
    <t>House Loand Sofi</t>
  </si>
  <si>
    <t>5th of the month</t>
  </si>
  <si>
    <t>Sofi Loan-Peter</t>
  </si>
  <si>
    <t>17 of the month</t>
  </si>
  <si>
    <t>Credit Card</t>
  </si>
  <si>
    <t xml:space="preserve">Other Expenses </t>
  </si>
  <si>
    <t xml:space="preserve">Tmobile </t>
  </si>
  <si>
    <t>24th of the month</t>
  </si>
  <si>
    <t xml:space="preserve">Verizon-internet </t>
  </si>
  <si>
    <t>18th of the month</t>
  </si>
  <si>
    <t xml:space="preserve">Citi Credit Card </t>
  </si>
  <si>
    <t>Home depot# 1</t>
  </si>
  <si>
    <t>11th of the month</t>
  </si>
  <si>
    <t>Transunion</t>
  </si>
  <si>
    <t>Priceline</t>
  </si>
  <si>
    <t>Chase #7017</t>
  </si>
  <si>
    <t>Paypal</t>
  </si>
  <si>
    <t>Home depot# 2</t>
  </si>
  <si>
    <t xml:space="preserve">Lyenfa </t>
  </si>
  <si>
    <t>Chase 7017</t>
  </si>
  <si>
    <t>Chase #6355</t>
  </si>
  <si>
    <t>Joint Checking -7795</t>
  </si>
  <si>
    <t>Saving  1795</t>
  </si>
  <si>
    <t xml:space="preserve">Amex </t>
  </si>
  <si>
    <t>15th of the month</t>
  </si>
  <si>
    <t>Bank of America</t>
  </si>
  <si>
    <t xml:space="preserve">Total Expenses </t>
  </si>
  <si>
    <t>Peter</t>
  </si>
  <si>
    <t xml:space="preserve">Priceline </t>
  </si>
  <si>
    <t xml:space="preserve">Credit line </t>
  </si>
  <si>
    <t xml:space="preserve">Bank Account </t>
  </si>
  <si>
    <t xml:space="preserve">Balance </t>
  </si>
  <si>
    <t xml:space="preserve">Credit Card Expenses </t>
  </si>
  <si>
    <t>Modify Expenses As of 5/22/2023</t>
  </si>
  <si>
    <t xml:space="preserve">Comment </t>
  </si>
  <si>
    <t>Pause for next 6 month</t>
  </si>
  <si>
    <t xml:space="preserve">Food </t>
  </si>
  <si>
    <t xml:space="preserve">Gas </t>
  </si>
  <si>
    <t xml:space="preserve">Dog Food </t>
  </si>
  <si>
    <t>May 26 2023</t>
  </si>
  <si>
    <t xml:space="preserve">Income </t>
  </si>
  <si>
    <t xml:space="preserve">Move to Saving for House </t>
  </si>
  <si>
    <t>Paid Total Gas Owe</t>
  </si>
  <si>
    <t xml:space="preserve">Balance in Checking </t>
  </si>
  <si>
    <t>June 2 2023</t>
  </si>
  <si>
    <t xml:space="preserve">Bank Checking </t>
  </si>
  <si>
    <t xml:space="preserve">Bank Saving </t>
  </si>
  <si>
    <t>reduce fee until Sept</t>
  </si>
  <si>
    <t>sofiBank # 1 Loan</t>
  </si>
  <si>
    <t xml:space="preserve">Credit Card  and Load Expenses </t>
  </si>
  <si>
    <t xml:space="preserve">Min Payment </t>
  </si>
  <si>
    <t xml:space="preserve">Payment Date </t>
  </si>
  <si>
    <t>16 of the month</t>
  </si>
  <si>
    <t xml:space="preserve">Balance Left </t>
  </si>
  <si>
    <t xml:space="preserve">Home depot# 1 credit Card </t>
  </si>
  <si>
    <t>21 of the month</t>
  </si>
  <si>
    <t>Amazon#Syncb</t>
  </si>
  <si>
    <t>SYNCB/AMAZON PLCC</t>
  </si>
  <si>
    <t>JPMCB CARD SERVICES Amazon</t>
  </si>
  <si>
    <t>28 of the month</t>
  </si>
  <si>
    <t>THE HOME DEPOT/CBNA</t>
  </si>
  <si>
    <t>10 of the month</t>
  </si>
  <si>
    <t>PayPal/ SYNCB</t>
  </si>
  <si>
    <t>11 of the month</t>
  </si>
  <si>
    <t>Citi Bank</t>
  </si>
  <si>
    <t xml:space="preserve">Amazon# Chase </t>
  </si>
  <si>
    <t>Sofi Loan-Peter June 17</t>
  </si>
  <si>
    <t>House Loand Sofi June 5</t>
  </si>
  <si>
    <t>Food  June 3</t>
  </si>
  <si>
    <t>Chase #7017 June 5</t>
  </si>
  <si>
    <t xml:space="preserve">Chase College 9709-personal/ House </t>
  </si>
  <si>
    <t xml:space="preserve">Move to Mortage Saving 9709 </t>
  </si>
  <si>
    <t xml:space="preserve">Total Checking </t>
  </si>
  <si>
    <t>House Saving 9709</t>
  </si>
  <si>
    <t xml:space="preserve">Travel -Car Gas </t>
  </si>
  <si>
    <t>12th of the month</t>
  </si>
  <si>
    <t>26th of the month</t>
  </si>
  <si>
    <t>Chase Saving 5571- Travel+ personal</t>
  </si>
  <si>
    <t>Extra- Amex check</t>
  </si>
  <si>
    <t>NOTE</t>
  </si>
  <si>
    <t>Priceline May 26</t>
  </si>
  <si>
    <t>Paid total Gas bill that we owe</t>
  </si>
  <si>
    <t>Moved Priceline to May 26</t>
  </si>
  <si>
    <t>House Utility -Water -June 1</t>
  </si>
  <si>
    <t>Unemployement</t>
  </si>
  <si>
    <t>May 29-June 2</t>
  </si>
  <si>
    <t>Extra</t>
  </si>
  <si>
    <t xml:space="preserve">Saving for House </t>
  </si>
  <si>
    <t>June 5-9</t>
  </si>
  <si>
    <t>House -Mortage -June 3</t>
  </si>
  <si>
    <t>Expenses  May 26</t>
  </si>
  <si>
    <t>Expenses  May 29-June 2</t>
  </si>
  <si>
    <t xml:space="preserve">Expenses  June 2-June 3 Fin de </t>
  </si>
  <si>
    <t>Expenses  June 5-9</t>
  </si>
  <si>
    <t>Expenses June 9-10</t>
  </si>
  <si>
    <t>June 12-16</t>
  </si>
  <si>
    <t>Expenses June 12-16</t>
  </si>
  <si>
    <t>Expenses Friday 16-18</t>
  </si>
  <si>
    <t>House Utility -Electric Total owe</t>
  </si>
  <si>
    <t xml:space="preserve">Note </t>
  </si>
  <si>
    <t>Friday June 16</t>
  </si>
  <si>
    <t>Friday June 9</t>
  </si>
  <si>
    <t>June 19-25</t>
  </si>
  <si>
    <t>Expenses Monday 19 to Sunday 25</t>
  </si>
  <si>
    <t>Friday June 30</t>
  </si>
  <si>
    <t>Expenses Friday June 30 July 2</t>
  </si>
  <si>
    <t xml:space="preserve">Move to Bank Saving </t>
  </si>
  <si>
    <t xml:space="preserve">Balance in Checking -After saving </t>
  </si>
  <si>
    <t xml:space="preserve">House Saving Balance </t>
  </si>
  <si>
    <t>July 3-July 9</t>
  </si>
  <si>
    <t>Expenses July 3-9</t>
  </si>
  <si>
    <t>July 10-14</t>
  </si>
  <si>
    <t>Expenses July 10-14</t>
  </si>
  <si>
    <t>Friday July 14</t>
  </si>
  <si>
    <t>Expenses July 14-16</t>
  </si>
  <si>
    <t>July 17-21</t>
  </si>
  <si>
    <t>Expenses July 17-23</t>
  </si>
  <si>
    <t>July 24-28</t>
  </si>
  <si>
    <t>Expenses July 24-28</t>
  </si>
  <si>
    <t>Friday July 28</t>
  </si>
  <si>
    <t>Expenses July 28-30</t>
  </si>
  <si>
    <t>July 31- August 4</t>
  </si>
  <si>
    <t>Expenses July 31- August 6 (Sunday)</t>
  </si>
  <si>
    <t xml:space="preserve">Food - Hmart </t>
  </si>
  <si>
    <t xml:space="preserve">Mom paid for grosery this week </t>
  </si>
  <si>
    <t xml:space="preserve">No dedudected yet </t>
  </si>
  <si>
    <t>Health expenses (Peter)</t>
  </si>
  <si>
    <t>Travel</t>
  </si>
  <si>
    <t>Experian ( extra)- NEW</t>
  </si>
  <si>
    <t>House Utility -Water-Liberty -May 30</t>
  </si>
  <si>
    <t>*We save 68.29</t>
  </si>
  <si>
    <t>* This month water was $18.23. It was deducted on May 30</t>
  </si>
  <si>
    <t>Citi Credit Card - 6/2/2023</t>
  </si>
  <si>
    <t>*Cancel Fax no more charge for Citi Bank</t>
  </si>
  <si>
    <t>Travel -Car Gas - Paid cash</t>
  </si>
  <si>
    <t>Extra-BJ ( Beer and plant container)</t>
  </si>
  <si>
    <t xml:space="preserve">EXTRA -charges </t>
  </si>
  <si>
    <t xml:space="preserve">6/4/2023- DON’T MATCH TO BANK ACCOUNT </t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</si>
  <si>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 xml:space="preserve">house took from Checkning and Saving. Therefore transfer from checking to saving </t>
    </r>
  </si>
  <si>
    <t>Delta</t>
  </si>
  <si>
    <t xml:space="preserve">Grocery </t>
  </si>
  <si>
    <t xml:space="preserve">ITEM </t>
  </si>
  <si>
    <t xml:space="preserve">PRICE </t>
  </si>
  <si>
    <t xml:space="preserve">Flaxseed </t>
  </si>
  <si>
    <t xml:space="preserve">Rice- Carolina Jasmine </t>
  </si>
  <si>
    <t>Meat:</t>
  </si>
  <si>
    <t xml:space="preserve">Chicken Breast </t>
  </si>
  <si>
    <t>Beef Top Rd Lond Broil</t>
  </si>
  <si>
    <t>Baby back Rib</t>
  </si>
  <si>
    <t>Produce:</t>
  </si>
  <si>
    <t>Celery</t>
  </si>
  <si>
    <t xml:space="preserve">Cucumber </t>
  </si>
  <si>
    <t>Green Bean</t>
  </si>
  <si>
    <t>Carrots 1lb</t>
  </si>
  <si>
    <t>Mushroom</t>
  </si>
  <si>
    <t>Red pepper (2)</t>
  </si>
  <si>
    <t>Potato (3)</t>
  </si>
  <si>
    <t>Corn (3)</t>
  </si>
  <si>
    <t>Plantains (2)</t>
  </si>
  <si>
    <t>Banana (5)</t>
  </si>
  <si>
    <t>Dairy and others:</t>
  </si>
  <si>
    <t>Milk</t>
  </si>
  <si>
    <t>heavy cream</t>
  </si>
  <si>
    <t xml:space="preserve">Eggs </t>
  </si>
  <si>
    <t>Donations</t>
  </si>
  <si>
    <t>Chicken soup</t>
  </si>
  <si>
    <t>Bean and pork</t>
  </si>
  <si>
    <t>TOTAL</t>
  </si>
  <si>
    <t>Other Purchase</t>
  </si>
  <si>
    <t>BJ- Beer (24 pack)</t>
  </si>
  <si>
    <t>BJ-Probiotic</t>
  </si>
  <si>
    <t>BJ- Garden stuff (2)</t>
  </si>
  <si>
    <t>Michael-Frames ( BofA Credit Card )</t>
  </si>
  <si>
    <t xml:space="preserve">Move to Saving bcs of house mortage </t>
  </si>
  <si>
    <t>TV subscription</t>
  </si>
  <si>
    <t>Car- deducted  June 5 2023</t>
  </si>
  <si>
    <t>Note: add $25 to travel</t>
  </si>
  <si>
    <t>Transfer to travel</t>
  </si>
  <si>
    <t>Extra CVS ( getorade)</t>
  </si>
  <si>
    <t>Extra Shop Rite -Ham and Beer</t>
  </si>
  <si>
    <t>Transfer to Saving 1795</t>
  </si>
  <si>
    <t>Transfer to Saving 1795#2</t>
  </si>
  <si>
    <t>Transfer to Saving 9709</t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</si>
  <si>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 xml:space="preserve">
Move $1,5092.21 to House Mortage
Move $100 to travel 
Movw $225 to Saving 1795</t>
    </r>
  </si>
  <si>
    <t>Ham 1/2</t>
  </si>
  <si>
    <t>Ham 1lb</t>
  </si>
  <si>
    <t xml:space="preserve">Beer </t>
  </si>
  <si>
    <t>Beer 12Pack Promo</t>
  </si>
  <si>
    <t xml:space="preserve">THURSDAY 15 MOVE 50% OF CHECKING TO HOUSE SAVING </t>
  </si>
  <si>
    <t xml:space="preserve">Travel -Car Gas - Used credit Card </t>
  </si>
  <si>
    <t xml:space="preserve">Car Gas used 7017 credit card </t>
  </si>
  <si>
    <t xml:space="preserve">Extra- Hmart -Dad gifts </t>
  </si>
  <si>
    <t xml:space="preserve">Extra- Father Day card </t>
  </si>
  <si>
    <t xml:space="preserve">Chicken Breast Store brand </t>
  </si>
  <si>
    <t>Cucumber (qnty 2/ $0.99 per Unit)</t>
  </si>
  <si>
    <t>Celery (1)</t>
  </si>
  <si>
    <t>Eggplant (1)</t>
  </si>
  <si>
    <t>Russer Potato 5lb</t>
  </si>
  <si>
    <t>garlic (3)</t>
  </si>
  <si>
    <t xml:space="preserve">Avocado Hass $0.99 per unit </t>
  </si>
  <si>
    <t>Red onion (1)</t>
  </si>
  <si>
    <t>Strawberry</t>
  </si>
  <si>
    <t>Plantains (1)</t>
  </si>
  <si>
    <t>Lime (5) $0.59</t>
  </si>
  <si>
    <t>Fruit</t>
  </si>
  <si>
    <t>Bread 16/Pc</t>
  </si>
  <si>
    <t xml:space="preserve">Butter </t>
  </si>
  <si>
    <t xml:space="preserve">Extra-Sandels </t>
  </si>
  <si>
    <t>Snyder thin Pretze</t>
  </si>
  <si>
    <t>Dole Pinapple</t>
  </si>
  <si>
    <t>Oatmeal</t>
  </si>
  <si>
    <t>Lysol-store brand</t>
  </si>
  <si>
    <t xml:space="preserve">Flowers </t>
  </si>
  <si>
    <t>Hmart</t>
  </si>
  <si>
    <t xml:space="preserve">Target Father day card </t>
  </si>
  <si>
    <t>Total item</t>
  </si>
  <si>
    <t xml:space="preserve">August 7-August10 </t>
  </si>
  <si>
    <t xml:space="preserve">Expenses August 7-August10 </t>
  </si>
  <si>
    <t xml:space="preserve">Extra- ACE house stuff </t>
  </si>
  <si>
    <t>June 26-30 ( Monday to Friday)</t>
  </si>
  <si>
    <r>
      <t xml:space="preserve">Note: </t>
    </r>
    <r>
      <rPr>
        <sz val="11"/>
        <color theme="1"/>
        <rFont val="Calibri"/>
        <family val="2"/>
        <scheme val="minor"/>
      </rPr>
      <t>Got pay today</t>
    </r>
  </si>
  <si>
    <t xml:space="preserve"> Extra- Doctor -OBY</t>
  </si>
  <si>
    <t xml:space="preserve">Extra- Father Day gifts </t>
  </si>
  <si>
    <t>No Gas this weekend</t>
  </si>
  <si>
    <t>Extra- Dave seeds</t>
  </si>
  <si>
    <t>Extra- Fruit Farm-seed/milk and cheese</t>
  </si>
  <si>
    <t>Extra- IKEA for in law- paypack in cash</t>
  </si>
  <si>
    <t xml:space="preserve">Perdue Wing </t>
  </si>
  <si>
    <t>Corn ($4/ 0.59)</t>
  </si>
  <si>
    <t>Jalapeno</t>
  </si>
  <si>
    <t>Green Pepper (2)</t>
  </si>
  <si>
    <t>Bay Leave</t>
  </si>
  <si>
    <t>Cherry</t>
  </si>
  <si>
    <t>Queso Fresco</t>
  </si>
  <si>
    <t xml:space="preserve">Ice Tea </t>
  </si>
  <si>
    <t>Bronw Sugar</t>
  </si>
  <si>
    <t>Feta Cheese</t>
  </si>
  <si>
    <t>Eggs 12</t>
  </si>
  <si>
    <t>Ham lb</t>
  </si>
  <si>
    <t>Other Purchase- Fruit Farm</t>
  </si>
  <si>
    <t>Arepa</t>
  </si>
  <si>
    <t>Sunflower Seed (8-3.99)</t>
  </si>
  <si>
    <t>chorizo</t>
  </si>
  <si>
    <t>GRAN TOTAL</t>
  </si>
  <si>
    <t>GEICO</t>
  </si>
  <si>
    <t xml:space="preserve">move 400 from Saving to Checking </t>
  </si>
  <si>
    <t xml:space="preserve">Move from Saving to checking </t>
  </si>
  <si>
    <t>Extra- Hot dog Bud</t>
  </si>
  <si>
    <t>Chase Credit Card Paypal</t>
  </si>
  <si>
    <t>Food - cash</t>
  </si>
  <si>
    <t>We paid grocery with Cash $80.00</t>
  </si>
  <si>
    <t xml:space="preserve">experian credit report </t>
  </si>
  <si>
    <t>Extra- Pharmacy</t>
  </si>
  <si>
    <t>Extra- chewy dogs pills</t>
  </si>
  <si>
    <t xml:space="preserve">Trips PA_ Parking </t>
  </si>
  <si>
    <t>Trips PA_ Sonny Fanous Cheesesteak</t>
  </si>
  <si>
    <t>Ez pass</t>
  </si>
  <si>
    <t xml:space="preserve">7/4/2023 has not been charge </t>
  </si>
  <si>
    <t>Lime (qnty 4)</t>
  </si>
  <si>
    <t>Avocado (4)</t>
  </si>
  <si>
    <t>broccoli crown</t>
  </si>
  <si>
    <t>tomato plum</t>
  </si>
  <si>
    <t xml:space="preserve">eggplant </t>
  </si>
  <si>
    <t>corn</t>
  </si>
  <si>
    <t>jalapeno</t>
  </si>
  <si>
    <t>red onion(2)</t>
  </si>
  <si>
    <t>sweet onions (2)</t>
  </si>
  <si>
    <t xml:space="preserve">geen pepeper </t>
  </si>
  <si>
    <t>Lemon (qnty 5)</t>
  </si>
  <si>
    <t xml:space="preserve">platine </t>
  </si>
  <si>
    <t>Ham 1/2 lb</t>
  </si>
  <si>
    <t>hummus</t>
  </si>
  <si>
    <t>premade soup</t>
  </si>
  <si>
    <t xml:space="preserve">flowrs </t>
  </si>
  <si>
    <t xml:space="preserve">beer </t>
  </si>
  <si>
    <t xml:space="preserve">Total Grocery for June </t>
  </si>
  <si>
    <t xml:space="preserve">Budget </t>
  </si>
  <si>
    <t>Total Spent For June</t>
  </si>
  <si>
    <t>top round steak</t>
  </si>
  <si>
    <t>baby back ribs</t>
  </si>
  <si>
    <t>Corn</t>
  </si>
  <si>
    <t>Red onion</t>
  </si>
  <si>
    <t>garlic</t>
  </si>
  <si>
    <t>carrot</t>
  </si>
  <si>
    <t xml:space="preserve">green pepper </t>
  </si>
  <si>
    <t xml:space="preserve">cucumber </t>
  </si>
  <si>
    <t xml:space="preserve">Limes </t>
  </si>
  <si>
    <t>Bananas</t>
  </si>
  <si>
    <t>milk</t>
  </si>
  <si>
    <t xml:space="preserve">butter </t>
  </si>
  <si>
    <t>hot dog</t>
  </si>
  <si>
    <t>Cheese pizza</t>
  </si>
  <si>
    <t>Queso fresco</t>
  </si>
  <si>
    <t xml:space="preserve">vitamin water </t>
  </si>
  <si>
    <t>sprite mini</t>
  </si>
  <si>
    <t>Tikka Masal</t>
  </si>
  <si>
    <t>Chips</t>
  </si>
  <si>
    <t>flower</t>
  </si>
  <si>
    <t>beer</t>
  </si>
  <si>
    <t>Food- next week</t>
  </si>
  <si>
    <t>Extra- Ezzpass</t>
  </si>
  <si>
    <t>old navy</t>
  </si>
  <si>
    <t xml:space="preserve">Extra- beer </t>
  </si>
  <si>
    <t>Extra- Uber to train station</t>
  </si>
  <si>
    <t xml:space="preserve">Extra- Car parking permit </t>
  </si>
  <si>
    <t xml:space="preserve">Extra- non alcoholic beer </t>
  </si>
  <si>
    <t>Extra- fruit farm seeds</t>
  </si>
  <si>
    <t>`</t>
  </si>
  <si>
    <t>shrimp</t>
  </si>
  <si>
    <t>red onion</t>
  </si>
  <si>
    <t>celery</t>
  </si>
  <si>
    <t>sweet onion</t>
  </si>
  <si>
    <t xml:space="preserve">garlic </t>
  </si>
  <si>
    <t>tomatillo</t>
  </si>
  <si>
    <t xml:space="preserve">flower #1 </t>
  </si>
  <si>
    <t>flower #2</t>
  </si>
  <si>
    <t>Heineken</t>
  </si>
  <si>
    <t xml:space="preserve">Kaiser Rolls </t>
  </si>
  <si>
    <t xml:space="preserve">Vitage water </t>
  </si>
  <si>
    <t>Flaxseed Meal</t>
  </si>
  <si>
    <t>Sugar</t>
  </si>
  <si>
    <t>Refried Pinto</t>
  </si>
  <si>
    <t>geico</t>
  </si>
  <si>
    <t xml:space="preserve">Extra- Restaurant </t>
  </si>
  <si>
    <t xml:space="preserve">Extra Babe bday celebration meat grinder </t>
  </si>
  <si>
    <t>Extra Babe bday celebration ivarone</t>
  </si>
  <si>
    <t>Extra Babe bday Rarytas</t>
  </si>
  <si>
    <t>Extra Babe bday beer</t>
  </si>
  <si>
    <t>Note"</t>
  </si>
  <si>
    <t xml:space="preserve">Bank withdrawl $101.13 from saving </t>
  </si>
  <si>
    <t>Move 300 from saving to checking</t>
  </si>
  <si>
    <t xml:space="preserve">Friday August 11 </t>
  </si>
  <si>
    <t>August 14-18</t>
  </si>
  <si>
    <t>August 21-August 24</t>
  </si>
  <si>
    <t>Friday August 25</t>
  </si>
  <si>
    <t>August 28-Sept 1</t>
  </si>
  <si>
    <t>Extra Duane Read Bfkst</t>
  </si>
  <si>
    <t xml:space="preserve">Metrocard </t>
  </si>
  <si>
    <t>Starbucks</t>
  </si>
  <si>
    <t xml:space="preserve">BJ </t>
  </si>
  <si>
    <t>All American</t>
  </si>
  <si>
    <t>Naz</t>
  </si>
  <si>
    <t>Pierogi</t>
  </si>
  <si>
    <t>Augsut 11-13</t>
  </si>
  <si>
    <t>Home depot# 1 ( 8/12/2023)</t>
  </si>
  <si>
    <t xml:space="preserve">Car gas </t>
  </si>
  <si>
    <t>House Utility -Gas- August 16</t>
  </si>
  <si>
    <t>August 14-20</t>
  </si>
  <si>
    <t>House Utility -Electric  August 20</t>
  </si>
  <si>
    <t>hardcode</t>
  </si>
  <si>
    <t>August 21-25</t>
  </si>
  <si>
    <t>August 25-27</t>
  </si>
  <si>
    <t>August 28-Sept 3</t>
  </si>
  <si>
    <t>House Utility -Water -Sept 1</t>
  </si>
  <si>
    <t>Grocery</t>
  </si>
  <si>
    <t xml:space="preserve">Checking </t>
  </si>
  <si>
    <t>9/15/2023-9/22/2023</t>
  </si>
  <si>
    <t xml:space="preserve">Mortage Saving </t>
  </si>
  <si>
    <t xml:space="preserve">Travel Saving </t>
  </si>
  <si>
    <t xml:space="preserve">Saving </t>
  </si>
  <si>
    <t>expenses</t>
  </si>
  <si>
    <t>BOA</t>
  </si>
  <si>
    <t xml:space="preserve">Electric -Sept </t>
  </si>
  <si>
    <t>21month</t>
  </si>
  <si>
    <t>marvin</t>
  </si>
  <si>
    <t xml:space="preserve">After exepenses </t>
  </si>
  <si>
    <t xml:space="preserve">move  to mortange </t>
  </si>
  <si>
    <t xml:space="preserve">After mortage </t>
  </si>
  <si>
    <t xml:space="preserve">move to saving </t>
  </si>
  <si>
    <t xml:space="preserve">move to travel </t>
  </si>
  <si>
    <t>After travel</t>
  </si>
  <si>
    <t>9/22/2023-9/29/2023</t>
  </si>
  <si>
    <t xml:space="preserve">Extra Weekend expenses </t>
  </si>
  <si>
    <t>After  Saving</t>
  </si>
  <si>
    <t>9/29/2023-October 6 2023</t>
  </si>
  <si>
    <t xml:space="preserve">3rd </t>
  </si>
  <si>
    <t>5th</t>
  </si>
  <si>
    <t xml:space="preserve">Grandma gift </t>
  </si>
  <si>
    <t>10/6/2023-10/13/2023</t>
  </si>
  <si>
    <t>Roof</t>
  </si>
  <si>
    <t xml:space="preserve">15th of the month /Pay with Travel </t>
  </si>
  <si>
    <t>Extra pay for 7017</t>
  </si>
  <si>
    <t>10/13/2023-10/20/2023</t>
  </si>
  <si>
    <t>Extra Weekend expenses -dog</t>
  </si>
  <si>
    <t xml:space="preserve">Paid Amex </t>
  </si>
  <si>
    <t>Extra Weekend expenses</t>
  </si>
  <si>
    <t xml:space="preserve">cash </t>
  </si>
  <si>
    <t>19th of the month</t>
  </si>
  <si>
    <t xml:space="preserve">House Utility- Gas / Electric </t>
  </si>
  <si>
    <t>10/27/2023- Friday</t>
  </si>
  <si>
    <t xml:space="preserve">House Utility- Water </t>
  </si>
  <si>
    <t xml:space="preserve">1rd of the month </t>
  </si>
  <si>
    <t>Monday 10/30/2023- Jueves 11/2/2023</t>
  </si>
  <si>
    <t>Friday Nov 3 -Friday Nov 10</t>
  </si>
  <si>
    <t>Checking  -Lyenfa Paycheck</t>
  </si>
  <si>
    <t>Checking -Peter Paycheck</t>
  </si>
  <si>
    <t>Checking - Lyenfa Paycheck</t>
  </si>
  <si>
    <t>Checking  -Peter Paycheck</t>
  </si>
  <si>
    <t>Friday Nov 10 -Friday Nov 17</t>
  </si>
  <si>
    <t>School loan-Peter</t>
  </si>
  <si>
    <t>Extra Expense dog</t>
  </si>
  <si>
    <t>10/20/2023-10/26/2023</t>
  </si>
  <si>
    <t>Amazon</t>
  </si>
  <si>
    <t>Nov30-Nov 14</t>
  </si>
  <si>
    <t xml:space="preserve">House </t>
  </si>
  <si>
    <t>Grocery 12/2/2023</t>
  </si>
  <si>
    <t>Car Gas 12/2/2023</t>
  </si>
  <si>
    <t>Grocery 12/9/2023</t>
  </si>
  <si>
    <t>Car Gas 12/9/2023</t>
  </si>
  <si>
    <t>Nov School load</t>
  </si>
  <si>
    <t>Extra 12/4-12/8/2023</t>
  </si>
  <si>
    <t>DEC15-DEC28</t>
  </si>
  <si>
    <t xml:space="preserve">Checking  </t>
  </si>
  <si>
    <t>paid 12/15/2023</t>
  </si>
  <si>
    <t xml:space="preserve">Student Load </t>
  </si>
  <si>
    <t>School Loan Aid</t>
  </si>
  <si>
    <t>28th of the month</t>
  </si>
  <si>
    <t>Car Gas 12/16/2023</t>
  </si>
  <si>
    <t>Grocery 12/16/2023</t>
  </si>
  <si>
    <t>Grocery 12/23/2023</t>
  </si>
  <si>
    <t>Car Gas 12/23/2023</t>
  </si>
  <si>
    <t xml:space="preserve">Xmass gift </t>
  </si>
  <si>
    <t xml:space="preserve">Extra Expenses </t>
  </si>
  <si>
    <t>Xmass gift (left of the budget)</t>
  </si>
  <si>
    <t>Extra Expenses (left of the budget)</t>
  </si>
  <si>
    <t>DEC29 -Enero 12 2024</t>
  </si>
  <si>
    <t>expenses DEC 29- Enero 5</t>
  </si>
  <si>
    <t>expenses Enero 5 - Enero 12</t>
  </si>
  <si>
    <t>Grocery 12/30/2023</t>
  </si>
  <si>
    <t>Car Gas 12/30/2023</t>
  </si>
  <si>
    <t>School loan</t>
  </si>
  <si>
    <t>Enero 12 2024- Enero 26 2024</t>
  </si>
  <si>
    <t>expenses  Enero 12- Enero 19</t>
  </si>
  <si>
    <t>Grocery 1/12/2024</t>
  </si>
  <si>
    <t>Car Gas 1/12/2024</t>
  </si>
  <si>
    <t xml:space="preserve">expenses Enero 19- Enero 26 </t>
  </si>
  <si>
    <t>Grocery 1/19/2024</t>
  </si>
  <si>
    <t>Car Gas 1/19/2024</t>
  </si>
  <si>
    <t>14th of the month</t>
  </si>
  <si>
    <t>paid 1/19/2024</t>
  </si>
  <si>
    <t>Extra- Ticket</t>
  </si>
  <si>
    <t>paid 1/23/2024</t>
  </si>
  <si>
    <t>Chase Credit auto pay</t>
  </si>
  <si>
    <t>2/2/2024-2/9/2024</t>
  </si>
  <si>
    <t>Citibank</t>
  </si>
  <si>
    <t>2nd of the month</t>
  </si>
  <si>
    <t>2/9/2024-2/16/2024</t>
  </si>
  <si>
    <t>Expenses 2/9/2024-2/16/2024</t>
  </si>
  <si>
    <t xml:space="preserve">Extra Expenses -Smoker </t>
  </si>
  <si>
    <t>Grocery 2/9/2024</t>
  </si>
  <si>
    <t>Car Gas 2/9/2024</t>
  </si>
  <si>
    <t>Expenses 2/16/2024-2/23/2024</t>
  </si>
  <si>
    <t>2/16/2024-2/23/2023</t>
  </si>
  <si>
    <t>Due 2/17/2024</t>
  </si>
  <si>
    <t>Due 2/16/2024</t>
  </si>
  <si>
    <t>Mortage Saving -9709</t>
  </si>
  <si>
    <t>Saving -1795</t>
  </si>
  <si>
    <t>March 1 /2024-March 8 2024</t>
  </si>
  <si>
    <t>Grocery 2/17/2024</t>
  </si>
  <si>
    <t>Car Gas 2/17/2024</t>
  </si>
  <si>
    <t xml:space="preserve">Extra </t>
  </si>
  <si>
    <t>2/23/2023-2/29/2023</t>
  </si>
  <si>
    <t>Expenses 2/23/2024-2/29/2023</t>
  </si>
  <si>
    <t>Grocery 2/24/2024</t>
  </si>
  <si>
    <t>Car Gas 2/24/2024</t>
  </si>
  <si>
    <t>Expenses 1/1/2024-1/8/2024</t>
  </si>
  <si>
    <t>paid 2/16/2024</t>
  </si>
  <si>
    <t xml:space="preserve">2/16/2024- Hold until August </t>
  </si>
  <si>
    <t>s</t>
  </si>
  <si>
    <t xml:space="preserve">Left  after expenses </t>
  </si>
  <si>
    <t>Paypal Mastercard</t>
  </si>
  <si>
    <t xml:space="preserve">Paypal Mastercard </t>
  </si>
  <si>
    <t>20 of the month</t>
  </si>
  <si>
    <t>half stay in checking 80%</t>
  </si>
  <si>
    <t>half goes to saving 20%</t>
  </si>
  <si>
    <t xml:space="preserve">Amount </t>
  </si>
  <si>
    <t>Extra to cover other expenses</t>
  </si>
  <si>
    <t>March  8 2024-March 15 2024</t>
  </si>
  <si>
    <t>Expenses 3/8/2024 - 3/15/2024</t>
  </si>
  <si>
    <t>Grocery 3/8/2024</t>
  </si>
  <si>
    <t xml:space="preserve">Car Gas </t>
  </si>
  <si>
    <t xml:space="preserve">Extra- Mike </t>
  </si>
  <si>
    <t xml:space="preserve">Window expenses </t>
  </si>
  <si>
    <t>March 15 2024- March 22 2024</t>
  </si>
  <si>
    <t>Expenses March 15 2024-March 22 2024</t>
  </si>
  <si>
    <t>paid 3/15/20214</t>
  </si>
  <si>
    <t>Grocery 3/15/ 2024</t>
  </si>
  <si>
    <t>Car Gas 3/15/2024</t>
  </si>
  <si>
    <t xml:space="preserve">Expenses March 22 2024- March 29 </t>
  </si>
  <si>
    <t xml:space="preserve">Friday 29 </t>
  </si>
  <si>
    <t>Car Gas 3/22/2024</t>
  </si>
  <si>
    <t>Grocery 3/22/ 2024</t>
  </si>
  <si>
    <t xml:space="preserve">Estimated Expenses </t>
  </si>
  <si>
    <t xml:space="preserve">Actual Exepenses </t>
  </si>
  <si>
    <t xml:space="preserve">After Tax </t>
  </si>
  <si>
    <t xml:space="preserve">Expenses March 29 </t>
  </si>
  <si>
    <t>March 22 2024- April 5 2024</t>
  </si>
  <si>
    <t>April 5 2024 - April 12 2024</t>
  </si>
  <si>
    <t>March 29 2024- April 4 2024</t>
  </si>
  <si>
    <t>Grocery 3/30/ 2024</t>
  </si>
  <si>
    <t xml:space="preserve">Mortage </t>
  </si>
  <si>
    <t xml:space="preserve">saving </t>
  </si>
  <si>
    <t xml:space="preserve">into saving </t>
  </si>
  <si>
    <t xml:space="preserve">Babe Sevrence </t>
  </si>
  <si>
    <t xml:space="preserve">House expenses </t>
  </si>
  <si>
    <t xml:space="preserve">Checking left </t>
  </si>
  <si>
    <t xml:space="preserve">House mortage </t>
  </si>
  <si>
    <t>Gas 3/30/ 2024</t>
  </si>
  <si>
    <t xml:space="preserve">Unemployement </t>
  </si>
  <si>
    <t>After add money</t>
  </si>
  <si>
    <t>April 8 2024 - April 15 2024</t>
  </si>
  <si>
    <t>Car Gas 4/06/2024</t>
  </si>
  <si>
    <t>Grocery 4/06/ 2024</t>
  </si>
  <si>
    <t>Expenses April 5 April 8 2024</t>
  </si>
  <si>
    <t xml:space="preserve">unemployement </t>
  </si>
  <si>
    <t>Expenses April 8 2024 - April 14 2024</t>
  </si>
  <si>
    <t>Car Gas 4/13/2024</t>
  </si>
  <si>
    <t>Grocery 4/13/ 2024</t>
  </si>
  <si>
    <t>April 12 2024 - April 18 2024</t>
  </si>
  <si>
    <t>Expenses April 12 2024 - April 15 2024</t>
  </si>
  <si>
    <t>Expenses April 15-18 2024</t>
  </si>
  <si>
    <t xml:space="preserve">unemployemnt + checking </t>
  </si>
  <si>
    <t xml:space="preserve">Peter Credit card </t>
  </si>
  <si>
    <t>paid 4/17/2024</t>
  </si>
  <si>
    <t>April  19-April 26</t>
  </si>
  <si>
    <t>Expenses April 19 2024 - April 26 2024</t>
  </si>
  <si>
    <t>??</t>
  </si>
  <si>
    <t>Extra Expenses -  Peter Dad Bday</t>
  </si>
  <si>
    <t>Car Gas 4/19/2024</t>
  </si>
  <si>
    <t>Grocery 4/19/ 2024</t>
  </si>
  <si>
    <t xml:space="preserve">Pete Credit Card - extra </t>
  </si>
  <si>
    <t>April 26- May 3</t>
  </si>
  <si>
    <t>Paid  home depot $988.35 4/23/2024</t>
  </si>
  <si>
    <t>Expenses April 26- May 3</t>
  </si>
  <si>
    <t>May 3- May 10</t>
  </si>
  <si>
    <t>Expenses May 3- May 10</t>
  </si>
  <si>
    <t>Car Gas 05/3/2024</t>
  </si>
  <si>
    <t>Grocery 05/3/ 2024</t>
  </si>
  <si>
    <t xml:space="preserve">Transfer $500 from Mortage saving to checking </t>
  </si>
  <si>
    <t xml:space="preserve">August 31 - Saturday </t>
  </si>
  <si>
    <t>September 1 - Sunday</t>
  </si>
  <si>
    <t>September 2- Monday</t>
  </si>
  <si>
    <t>September 3-Tuesday</t>
  </si>
  <si>
    <t>September 4- Wednesday</t>
  </si>
  <si>
    <t>September 5 Thursday</t>
  </si>
  <si>
    <t>September 6 Friday</t>
  </si>
  <si>
    <t>September 7- Saturday</t>
  </si>
  <si>
    <t>September 8- Sunday</t>
  </si>
  <si>
    <t>September 9- Monday</t>
  </si>
  <si>
    <t>September 10- Tuesday</t>
  </si>
  <si>
    <t>September 11- Wednesday</t>
  </si>
  <si>
    <t>September 12- Thursday</t>
  </si>
  <si>
    <t>September 13- Friday</t>
  </si>
  <si>
    <t xml:space="preserve">Flying Home </t>
  </si>
  <si>
    <t xml:space="preserve">Night flight </t>
  </si>
  <si>
    <t>Flying to Tokio</t>
  </si>
  <si>
    <t>JFK 10am</t>
  </si>
  <si>
    <t>Arrivingt to Tokio</t>
  </si>
  <si>
    <t>8:30pm</t>
  </si>
  <si>
    <t>TOKIO</t>
  </si>
  <si>
    <r>
      <t xml:space="preserve">TOKIO- </t>
    </r>
    <r>
      <rPr>
        <b/>
        <sz val="11"/>
        <color rgb="FF7030A0"/>
        <rFont val="Calibri"/>
        <family val="2"/>
        <scheme val="minor"/>
      </rPr>
      <t>KYOTO</t>
    </r>
  </si>
  <si>
    <t>KYOTO- NARA DAY TRIP</t>
  </si>
  <si>
    <r>
      <t xml:space="preserve">KYOTO - </t>
    </r>
    <r>
      <rPr>
        <b/>
        <sz val="11"/>
        <color rgb="FF0070C0"/>
        <rFont val="Calibri"/>
        <family val="2"/>
        <scheme val="minor"/>
      </rPr>
      <t>OSAKA</t>
    </r>
  </si>
  <si>
    <t>OSAKA</t>
  </si>
  <si>
    <r>
      <t>OSAKA-</t>
    </r>
    <r>
      <rPr>
        <b/>
        <sz val="11"/>
        <color rgb="FFB30D29"/>
        <rFont val="Calibri"/>
        <family val="2"/>
        <scheme val="minor"/>
      </rPr>
      <t>FUKOAKA</t>
    </r>
  </si>
  <si>
    <t>NAGASAKI DAY TRIP</t>
  </si>
  <si>
    <r>
      <t xml:space="preserve">FUKOAKA- </t>
    </r>
    <r>
      <rPr>
        <b/>
        <sz val="11"/>
        <color rgb="FF00B050"/>
        <rFont val="Calibri"/>
        <family val="2"/>
        <scheme val="minor"/>
      </rPr>
      <t>TOKIO (NIGHT)</t>
    </r>
  </si>
  <si>
    <t>kuromon market - osaka kitchen</t>
  </si>
  <si>
    <t xml:space="preserve">Osaka amazing pass - check - unlimited transportation </t>
  </si>
  <si>
    <t>6am- 5pm</t>
  </si>
  <si>
    <t xml:space="preserve">Pokemon Center </t>
  </si>
  <si>
    <t>probably</t>
  </si>
  <si>
    <t xml:space="preserve">umeda sky building </t>
  </si>
  <si>
    <t>free</t>
  </si>
  <si>
    <t>Namba Yasaka Jinjya Shrine</t>
  </si>
  <si>
    <t xml:space="preserve">taiyaki - cake with redbean </t>
  </si>
  <si>
    <t xml:space="preserve">ajinjoya - restaurant - try to go </t>
  </si>
  <si>
    <t xml:space="preserve">Hozenji Yokocho- smalls bars and restaurant </t>
  </si>
  <si>
    <t xml:space="preserve">Hozenji temple </t>
  </si>
  <si>
    <t xml:space="preserve">check at night while we are in hozen ji </t>
  </si>
  <si>
    <t>restaurant- izakaya toyo -seafood / sushi</t>
  </si>
  <si>
    <t xml:space="preserve">Osaka Castle </t>
  </si>
  <si>
    <t>9am - 5pm</t>
  </si>
  <si>
    <t xml:space="preserve">$3.92 castle entry + $1.31 for garden - oneline </t>
  </si>
  <si>
    <t>Food/ Drink</t>
  </si>
  <si>
    <t>attaction</t>
  </si>
  <si>
    <t>9:30 an to 5pm</t>
  </si>
  <si>
    <t xml:space="preserve">Osaka Museum of History- next to the castle </t>
  </si>
  <si>
    <t>Osaka Tenmang Shrine</t>
  </si>
  <si>
    <t>9am - 5:30pm</t>
  </si>
  <si>
    <t>Shinsekai</t>
  </si>
  <si>
    <t>8am - 6pm</t>
  </si>
  <si>
    <t xml:space="preserve">Edo Period- street food </t>
  </si>
  <si>
    <t>Osaka Aquarium Kaiyukan</t>
  </si>
  <si>
    <t>8am- 9pm</t>
  </si>
  <si>
    <t>walking distance from Dotonbori</t>
  </si>
  <si>
    <t>restaurant- yakinuku M</t>
  </si>
  <si>
    <t>Namba Yasaka Jinjya Shrine 6am to 5pm free</t>
  </si>
  <si>
    <t>Osaka Museum of History- next to the castle  9:30am -5pm $3.92</t>
  </si>
  <si>
    <t>Osaka Tenmang Shrine  9am to 5:30pm</t>
  </si>
  <si>
    <t xml:space="preserve">Airbn around  $151 for 2 night </t>
  </si>
  <si>
    <t xml:space="preserve">KYOTO </t>
  </si>
  <si>
    <t xml:space="preserve">Where to stay </t>
  </si>
  <si>
    <t>near Dotonbori</t>
  </si>
  <si>
    <t xml:space="preserve">Transport </t>
  </si>
  <si>
    <t xml:space="preserve">Check Icco Card or Suica for metro/buses </t>
  </si>
  <si>
    <t xml:space="preserve">Osaka amazing pass </t>
  </si>
  <si>
    <t>1 day is $15.70 or 2 day $19.62</t>
  </si>
  <si>
    <t>probably not- too many attraction that no</t>
  </si>
  <si>
    <t>Atraction</t>
  </si>
  <si>
    <t xml:space="preserve">24hrs </t>
  </si>
  <si>
    <t>Free</t>
  </si>
  <si>
    <t xml:space="preserve">spend around 3hrs or more </t>
  </si>
  <si>
    <t xml:space="preserve">Next ot the castle </t>
  </si>
  <si>
    <t xml:space="preserve">Katsuo- ji temple - north of Osaka </t>
  </si>
  <si>
    <t>- 1h 30 trip</t>
  </si>
  <si>
    <t xml:space="preserve">Osaka Castle - 9am to 5pm $3.92 castle + 1.31 garden- Must </t>
  </si>
  <si>
    <t xml:space="preserve">Osaka Aquarium Kaiyukan- 8am to 9pm- Must </t>
  </si>
  <si>
    <t>Que Comer in Osaka:</t>
  </si>
  <si>
    <t>Kyoto -Osaka from 14min to 30min</t>
  </si>
  <si>
    <r>
      <rPr>
        <b/>
        <sz val="11"/>
        <color theme="1"/>
        <rFont val="Calibri"/>
        <family val="2"/>
        <scheme val="minor"/>
      </rPr>
      <t>Shinkansen Bullter Train option ( kyoto -Shin Osaka)</t>
    </r>
    <r>
      <rPr>
        <sz val="11"/>
        <color theme="1"/>
        <rFont val="Calibri"/>
        <family val="2"/>
        <scheme val="minor"/>
      </rPr>
      <t xml:space="preserve"> - 14min w/o JRPASS  1way </t>
    </r>
    <r>
      <rPr>
        <b/>
        <i/>
        <sz val="11"/>
        <color theme="1"/>
        <rFont val="Calibri"/>
        <family val="2"/>
        <scheme val="minor"/>
      </rPr>
      <t xml:space="preserve">$18.98(2ppl) </t>
    </r>
    <r>
      <rPr>
        <sz val="11"/>
        <color theme="1"/>
        <rFont val="Calibri"/>
        <family val="2"/>
        <scheme val="minor"/>
      </rPr>
      <t>+ 1hr Midosuji subway to downtown Osaka</t>
    </r>
  </si>
  <si>
    <r>
      <rPr>
        <b/>
        <sz val="11"/>
        <color theme="1"/>
        <rFont val="Calibri"/>
        <family val="2"/>
        <scheme val="minor"/>
      </rPr>
      <t>kyoto Downtown to Osaska Downtow Option- Hankyu Line</t>
    </r>
    <r>
      <rPr>
        <sz val="11"/>
        <color theme="1"/>
        <rFont val="Calibri"/>
        <family val="2"/>
        <scheme val="minor"/>
      </rPr>
      <t xml:space="preserve"> - 44min take </t>
    </r>
    <r>
      <rPr>
        <b/>
        <sz val="11"/>
        <color theme="1"/>
        <rFont val="Calibri"/>
        <family val="2"/>
        <scheme val="minor"/>
      </rPr>
      <t>limited Express $</t>
    </r>
    <r>
      <rPr>
        <sz val="11"/>
        <color theme="1"/>
        <rFont val="Calibri"/>
        <family val="2"/>
        <scheme val="minor"/>
      </rPr>
      <t>5.24</t>
    </r>
  </si>
  <si>
    <t xml:space="preserve"> Dotonbori river walk</t>
  </si>
  <si>
    <t>Takoyaki- octopus and rice ball ( snack)</t>
  </si>
  <si>
    <t>Kistsune Udon- tofu frito con Udon</t>
  </si>
  <si>
    <t>Okonomiyaki- pancake</t>
  </si>
  <si>
    <t>Butaman- chinese bun near Namba</t>
  </si>
  <si>
    <t>Tsukane- pincho de albodiga de pollo con queso</t>
  </si>
  <si>
    <t>Kushiage -pincho fritos - Shinsekai</t>
  </si>
  <si>
    <t>Osaka Metro Pass</t>
  </si>
  <si>
    <t xml:space="preserve">1 day pass unlimited transport </t>
  </si>
  <si>
    <t>$5.36 per person</t>
  </si>
  <si>
    <t xml:space="preserve">Mitarashi Dango -pincho de sticky rice </t>
  </si>
  <si>
    <t xml:space="preserve">Hozenji temple -24hr and Free  -Must </t>
  </si>
  <si>
    <t>Kiyomizu-dera</t>
  </si>
  <si>
    <t xml:space="preserve"> seguir caminando por el sendero Pagoda Koyasunoto</t>
  </si>
  <si>
    <t>6 AM–6 PM- spend 2hr min</t>
  </si>
  <si>
    <t>Higashiyama District-Preserved historic district around Kiyomizudera</t>
  </si>
  <si>
    <t>Chawan-Zaka / Sannenzaka y Ninenzaka street 
restaurant open 9am-6pm</t>
  </si>
  <si>
    <t xml:space="preserve">Shin-sekai- food </t>
  </si>
  <si>
    <t xml:space="preserve">Abeno  Hakura </t>
  </si>
  <si>
    <t>Cerca de Shin sekai</t>
  </si>
  <si>
    <t>NARA</t>
  </si>
  <si>
    <t>shinsaibashisuji</t>
  </si>
  <si>
    <r>
      <rPr>
        <b/>
        <i/>
        <sz val="11"/>
        <color theme="1"/>
        <rFont val="Calibri"/>
        <family val="2"/>
        <scheme val="minor"/>
      </rPr>
      <t xml:space="preserve">Miyakoji Rapid service- </t>
    </r>
    <r>
      <rPr>
        <sz val="11"/>
        <color theme="1"/>
        <rFont val="Calibri"/>
        <family val="2"/>
        <scheme val="minor"/>
      </rPr>
      <t>30min -JR Pass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free/ individual </t>
    </r>
    <r>
      <rPr>
        <b/>
        <sz val="11"/>
        <color theme="1"/>
        <rFont val="Calibri"/>
        <family val="2"/>
        <scheme val="minor"/>
      </rPr>
      <t>round trip $18.84( 2ppl)</t>
    </r>
  </si>
  <si>
    <t>JR Pass</t>
  </si>
  <si>
    <t xml:space="preserve">Kyoto Nara </t>
  </si>
  <si>
    <t xml:space="preserve">Kyoto Osaka </t>
  </si>
  <si>
    <r>
      <rPr>
        <b/>
        <i/>
        <sz val="11"/>
        <color theme="1"/>
        <rFont val="Calibri"/>
        <family val="2"/>
        <scheme val="minor"/>
      </rPr>
      <t>Kintetsu Kyoto Line</t>
    </r>
    <r>
      <rPr>
        <sz val="11"/>
        <color theme="1"/>
        <rFont val="Calibri"/>
        <family val="2"/>
        <scheme val="minor"/>
      </rPr>
      <t xml:space="preserve"> -44-50min- round trip </t>
    </r>
    <r>
      <rPr>
        <b/>
        <i/>
        <sz val="11"/>
        <color theme="1"/>
        <rFont val="Calibri"/>
        <family val="2"/>
        <scheme val="minor"/>
      </rPr>
      <t>$16.24(2ppl)</t>
    </r>
  </si>
  <si>
    <t>Buses in Kyoto</t>
  </si>
  <si>
    <t xml:space="preserve">IC Card </t>
  </si>
  <si>
    <t>Fushimi Inari Taisha</t>
  </si>
  <si>
    <t>24hrs open</t>
  </si>
  <si>
    <t xml:space="preserve">Arashiyama- Bamboo Forest </t>
  </si>
  <si>
    <r>
      <t xml:space="preserve">Pasadillo naranja/ </t>
    </r>
    <r>
      <rPr>
        <b/>
        <i/>
        <sz val="11"/>
        <color theme="1"/>
        <rFont val="Calibri"/>
        <family val="2"/>
        <scheme val="minor"/>
      </rPr>
      <t>southern Kyoto</t>
    </r>
    <r>
      <rPr>
        <sz val="11"/>
        <color theme="1"/>
        <rFont val="Calibri"/>
        <family val="2"/>
        <scheme val="minor"/>
      </rPr>
      <t xml:space="preserve">/ recommend Early moring or night / spend 2hr to 3hrs </t>
    </r>
  </si>
  <si>
    <r>
      <rPr>
        <b/>
        <i/>
        <sz val="11"/>
        <color theme="1"/>
        <rFont val="Calibri"/>
        <family val="2"/>
        <scheme val="minor"/>
      </rPr>
      <t xml:space="preserve">Western Kyoto/ </t>
    </r>
    <r>
      <rPr>
        <sz val="11"/>
        <color theme="1"/>
        <rFont val="Calibri"/>
        <family val="2"/>
        <scheme val="minor"/>
      </rPr>
      <t>1hr to 3hrs / Early Morning or weekday</t>
    </r>
  </si>
  <si>
    <t xml:space="preserve">Yasaka Shrine </t>
  </si>
  <si>
    <t>x-stop1</t>
  </si>
  <si>
    <t>x- stop 2</t>
  </si>
  <si>
    <t xml:space="preserve">x stop 3 </t>
  </si>
  <si>
    <t xml:space="preserve">Close to Higashiyam and Fushini/15-30min  - good at night </t>
  </si>
  <si>
    <t xml:space="preserve">x stop 5 </t>
  </si>
  <si>
    <t xml:space="preserve">Gion Street </t>
  </si>
  <si>
    <t xml:space="preserve">Geisha/ Te house </t>
  </si>
  <si>
    <t>x stop 4</t>
  </si>
  <si>
    <t xml:space="preserve">Maruyama Park </t>
  </si>
  <si>
    <t xml:space="preserve">possible </t>
  </si>
  <si>
    <t xml:space="preserve">Same place as Yasaka Shire </t>
  </si>
  <si>
    <t xml:space="preserve">Imperial Palace </t>
  </si>
  <si>
    <t xml:space="preserve">free </t>
  </si>
  <si>
    <t>Nijo Castle</t>
  </si>
  <si>
    <t>Heian-jingū Shrine</t>
  </si>
  <si>
    <t xml:space="preserve">Close to Yasaka Shrine </t>
  </si>
  <si>
    <t>x stop 6</t>
  </si>
  <si>
    <t>6am- 6pm ( possible)</t>
  </si>
  <si>
    <t>Only East Garden is Open/ quick look</t>
  </si>
  <si>
    <t>8:45am -5pm</t>
  </si>
  <si>
    <t>$5.25+ 3.27 (Ninomaru Palace)</t>
  </si>
  <si>
    <t>Close to Imperial Castle/ spend 1hr</t>
  </si>
  <si>
    <t>Mercado Nishiki</t>
  </si>
  <si>
    <t>Food and Drink</t>
  </si>
  <si>
    <t xml:space="preserve">Kamo River walks </t>
  </si>
  <si>
    <t>Pontocho</t>
  </si>
  <si>
    <t xml:space="preserve">Better at night </t>
  </si>
  <si>
    <t xml:space="preserve">Shirikawa Lane </t>
  </si>
  <si>
    <t>in front of Pontocho</t>
  </si>
  <si>
    <t>9am -5pm</t>
  </si>
  <si>
    <t>Kinkaku-ji - golden temple</t>
  </si>
  <si>
    <r>
      <t xml:space="preserve">North Kyoto/ </t>
    </r>
    <r>
      <rPr>
        <sz val="11"/>
        <color theme="1"/>
        <rFont val="Calibri"/>
        <family val="2"/>
        <scheme val="minor"/>
      </rPr>
      <t xml:space="preserve">Close to Imperial Palace </t>
    </r>
  </si>
  <si>
    <t>Tokio-Kyoto from 2hr -2hr48m</t>
  </si>
  <si>
    <r>
      <rPr>
        <b/>
        <i/>
        <sz val="11"/>
        <color theme="1"/>
        <rFont val="Calibri"/>
        <family val="2"/>
        <scheme val="minor"/>
      </rPr>
      <t xml:space="preserve">Bullet Train </t>
    </r>
    <r>
      <rPr>
        <i/>
        <sz val="11"/>
        <color theme="1"/>
        <rFont val="Calibri"/>
        <family val="2"/>
        <scheme val="minor"/>
      </rPr>
      <t>Hikari $278( 2ppl) or  Nozomi $286/ JR Pass free</t>
    </r>
  </si>
  <si>
    <t>Tokio to Kyoto</t>
  </si>
  <si>
    <t>KYOTO- All day</t>
  </si>
  <si>
    <t>OSAKA- All Day</t>
  </si>
  <si>
    <t>KYOTO- UJI (Green Tea) 1/2 DAY TRIP</t>
  </si>
  <si>
    <t>Kyoto -Nara from 30-50 min</t>
  </si>
  <si>
    <t>Kyoto -Uji from 20-30 min</t>
  </si>
  <si>
    <t>Kyoto Uji</t>
  </si>
  <si>
    <r>
      <t xml:space="preserve">JR Nara Line- </t>
    </r>
    <r>
      <rPr>
        <sz val="11"/>
        <color theme="1"/>
        <rFont val="Calibri"/>
        <family val="2"/>
        <scheme val="minor"/>
      </rPr>
      <t>JR Pass free</t>
    </r>
    <r>
      <rPr>
        <b/>
        <sz val="11"/>
        <color theme="1"/>
        <rFont val="Calibri"/>
        <family val="2"/>
        <scheme val="minor"/>
      </rPr>
      <t>/$6.28</t>
    </r>
    <r>
      <rPr>
        <sz val="11"/>
        <color theme="1"/>
        <rFont val="Calibri"/>
        <family val="2"/>
        <scheme val="minor"/>
      </rPr>
      <t xml:space="preserve"> round trip ( 2ppl)</t>
    </r>
  </si>
  <si>
    <t>Uji</t>
  </si>
  <si>
    <t xml:space="preserve">Uji bridge </t>
  </si>
  <si>
    <t>Byodoin Omotesando</t>
  </si>
  <si>
    <t xml:space="preserve">street with snack/restaurant/ souvenir </t>
  </si>
  <si>
    <t>Que Comer in Uji</t>
  </si>
  <si>
    <t xml:space="preserve"> Matcha Takoyaki</t>
  </si>
  <si>
    <t>Food/drink</t>
  </si>
  <si>
    <t>at the end is the Byodo in Temple</t>
  </si>
  <si>
    <t>8:30 am to 5:30pm</t>
  </si>
  <si>
    <t>$4.57 entrees + $2 inside the Hall</t>
  </si>
  <si>
    <t xml:space="preserve"> Temple found in the japanese 10 yen  coin / audio guide $2.50</t>
  </si>
  <si>
    <t>Byodo-in Temple</t>
  </si>
  <si>
    <t xml:space="preserve">Ujigami shrine </t>
  </si>
  <si>
    <t>Rabit Shrine</t>
  </si>
  <si>
    <t>9am to 4pm</t>
  </si>
  <si>
    <t>EVA air exchange fee is $50.</t>
  </si>
  <si>
    <t xml:space="preserve">cancellation fee </t>
  </si>
  <si>
    <t>change fee</t>
  </si>
  <si>
    <t xml:space="preserve">seat </t>
  </si>
  <si>
    <t>$</t>
  </si>
  <si>
    <t xml:space="preserve">included </t>
  </si>
  <si>
    <t>no charge</t>
  </si>
  <si>
    <t>Transfer $600 from Mortage to checking to cover Peter credit card</t>
  </si>
  <si>
    <t xml:space="preserve">TOKIO </t>
  </si>
  <si>
    <t>Museo Edo Tokio</t>
  </si>
  <si>
    <t xml:space="preserve">Ginza Street </t>
  </si>
  <si>
    <t xml:space="preserve">Hachiko statue </t>
  </si>
  <si>
    <t xml:space="preserve">Meiji shrine </t>
  </si>
  <si>
    <t xml:space="preserve">KAMAKURA - </t>
  </si>
  <si>
    <t>1hr in Train</t>
  </si>
  <si>
    <t>All Japanese and a lot of Temples</t>
  </si>
  <si>
    <t>Engaku-ji</t>
  </si>
  <si>
    <t xml:space="preserve">Tokei-ji : nun </t>
  </si>
  <si>
    <t>daibutsu trail</t>
  </si>
  <si>
    <t>Kotoku-in - buddha</t>
  </si>
  <si>
    <t>Kencho -ji - el mejor templo en Kamakura</t>
  </si>
  <si>
    <t>Expenses May 10 May 15</t>
  </si>
  <si>
    <t>Yokohama</t>
  </si>
  <si>
    <t>Barrio Chino</t>
  </si>
  <si>
    <t>Museo del Ramen</t>
  </si>
  <si>
    <t>Friday May 10- Wed May 15</t>
  </si>
  <si>
    <t>Wed May 15- Wed May 22</t>
  </si>
  <si>
    <t>Babe paychek</t>
  </si>
  <si>
    <t>Mine paycheck</t>
  </si>
  <si>
    <t>Car Gas 05/18/2024</t>
  </si>
  <si>
    <t>Grocery 05/18/ 2024</t>
  </si>
  <si>
    <t xml:space="preserve">Car Insurance </t>
  </si>
  <si>
    <t>20th ?</t>
  </si>
  <si>
    <t>Expenses May 17( Friday)- May 22 (Wed)</t>
  </si>
  <si>
    <t>Wed May 22  Wed May29</t>
  </si>
  <si>
    <t>Expenses May 22 ( Wed)- May 29 (Wed)</t>
  </si>
  <si>
    <t xml:space="preserve">extra para la chapas, van a devolver la plata / se saco de la otra cuenta </t>
  </si>
  <si>
    <t>Monday 6/3/2024- Monday 6/10/2024</t>
  </si>
  <si>
    <t>Grocery 6/08/2024</t>
  </si>
  <si>
    <t>Gas 6/08/2024</t>
  </si>
  <si>
    <t>Monday 6/10/2024- Friday 6/14/2024</t>
  </si>
  <si>
    <t>Grocery 6/14/2024</t>
  </si>
  <si>
    <t>Gas 6/14/2024</t>
  </si>
  <si>
    <t xml:space="preserve"> Expenses   Friday 6/21/2024- Friday 28 2024</t>
  </si>
  <si>
    <t>Father Day Expenses</t>
  </si>
  <si>
    <r>
      <t xml:space="preserve">Note: </t>
    </r>
    <r>
      <rPr>
        <sz val="11"/>
        <color theme="1"/>
        <rFont val="Calibri"/>
        <family val="2"/>
        <scheme val="minor"/>
      </rPr>
      <t xml:space="preserve">move 280 from House to Checking </t>
    </r>
  </si>
  <si>
    <t>* Move 280 from House to Checking</t>
  </si>
  <si>
    <t xml:space="preserve">* Paid Amex card ( $1,612.74) </t>
  </si>
  <si>
    <t xml:space="preserve"> Friday 6/14/2024- 6/19/2024 (Wed)</t>
  </si>
  <si>
    <t xml:space="preserve"> Expenses   Friday 6/14/2024- 6/19/2024 (Wed)</t>
  </si>
  <si>
    <t xml:space="preserve">House Mortage </t>
  </si>
  <si>
    <t>Check:</t>
  </si>
  <si>
    <t>3 month worth</t>
  </si>
  <si>
    <t xml:space="preserve">Current Saving </t>
  </si>
  <si>
    <t xml:space="preserve"> Delt a </t>
  </si>
  <si>
    <t>Check</t>
  </si>
  <si>
    <t>Mine paycheck (Wed)</t>
  </si>
  <si>
    <t>2pp</t>
  </si>
  <si>
    <t>As of 6/18/2024</t>
  </si>
  <si>
    <t xml:space="preserve">Extra Expenses - Doctor </t>
  </si>
  <si>
    <t xml:space="preserve">l Expenses </t>
  </si>
  <si>
    <t>Cushon Money</t>
  </si>
  <si>
    <t>Home depot# 3</t>
  </si>
  <si>
    <t>6/19/2024 (Wed) -6/26/2024 ( Wednesday</t>
  </si>
  <si>
    <t xml:space="preserve">Extra Peter Credit Card Expenses </t>
  </si>
  <si>
    <t>amazon chaset# 2</t>
  </si>
  <si>
    <t>Home depot# citi</t>
  </si>
  <si>
    <t>6/26/2024 (Wed) 7/3/2024 ( Wednesday)</t>
  </si>
  <si>
    <t>Babe paychek (Wed)</t>
  </si>
  <si>
    <t>7/3/2024 (Wed) 7/10/2024 ( Wednesday)</t>
  </si>
  <si>
    <t xml:space="preserve"> Expenses   6/26/2024 (Wed) 7/3/2024 ( Wednesday)</t>
  </si>
  <si>
    <t xml:space="preserve"> Expenses   7/3/2024 (Wed) 7/10/2024 ( Wednesday)</t>
  </si>
  <si>
    <t>7/12/2024 Friday- 719/2024- Friday</t>
  </si>
  <si>
    <t xml:space="preserve"> Expenses   7/12/2024 Friday- 719/2024- Friday</t>
  </si>
  <si>
    <t>7/19/2024 Friday- 7/26/2024- Friday</t>
  </si>
  <si>
    <t xml:space="preserve"> Expenses   7/19/2024 Friday- 7/26/2024- Friday</t>
  </si>
  <si>
    <t>Grocery 7/13/2024</t>
  </si>
  <si>
    <t>Gas 7/13/2024</t>
  </si>
  <si>
    <t>Extra-Olivia Bday</t>
  </si>
  <si>
    <t xml:space="preserve">House Utility -National Grid </t>
  </si>
  <si>
    <t>Gas 8/3/2024</t>
  </si>
  <si>
    <t>Extra -</t>
  </si>
  <si>
    <t>Grocery 8/3/2024 ( Baby extra)</t>
  </si>
  <si>
    <t>Note:</t>
  </si>
  <si>
    <t>Use saving to pay taxes ($700)</t>
  </si>
  <si>
    <t>19 of the month</t>
  </si>
  <si>
    <t>Grocery 7/19/2024</t>
  </si>
  <si>
    <t>Gas 7/19/2024</t>
  </si>
  <si>
    <t>4month</t>
  </si>
  <si>
    <t>7/26/2024 Friday- 8/2/2024-Friday</t>
  </si>
  <si>
    <t>8/2/2024-Friday-8/9/2024</t>
  </si>
  <si>
    <t xml:space="preserve"> Expenses   7/26/2024 Friday- 8/2/2024-Friday</t>
  </si>
  <si>
    <t xml:space="preserve"> Expenses   8/2/2024-Friday-8/9/2024</t>
  </si>
  <si>
    <t>Using House Money</t>
  </si>
  <si>
    <t>House mortage</t>
  </si>
  <si>
    <t xml:space="preserve"> Expenses   8/9/2024-8/14/2024</t>
  </si>
  <si>
    <t>8/9/2024-8/16/2024</t>
  </si>
  <si>
    <t>8/19/2024-8/23/2024</t>
  </si>
  <si>
    <t xml:space="preserve"> Expenses   8/19/2024-8/23/2024</t>
  </si>
  <si>
    <t>from my mom</t>
  </si>
  <si>
    <t>from travel</t>
  </si>
  <si>
    <t>Gas</t>
  </si>
  <si>
    <t>paid 8/9/2024</t>
  </si>
  <si>
    <t>8/16/2024-8/18/2024</t>
  </si>
  <si>
    <t>8/23/2024-8/30/2024</t>
  </si>
  <si>
    <t>8/30/2024-Sept 6 2024</t>
  </si>
  <si>
    <t>Babe paycheck</t>
  </si>
  <si>
    <t xml:space="preserve"> Expenses   8/23/2024-8/30/2024</t>
  </si>
  <si>
    <t xml:space="preserve"> Expenses   8/30/2024-Sept 6 2024</t>
  </si>
  <si>
    <t>Tuesday 27</t>
  </si>
  <si>
    <t>Sept 6 2024- Sept 13 2024</t>
  </si>
  <si>
    <t>Sept 13 2024-Sept20</t>
  </si>
  <si>
    <t>Babe get paid 9/13/2024</t>
  </si>
  <si>
    <t>Sept20 2024-Sept27 2024</t>
  </si>
  <si>
    <t>Amex total expenses</t>
  </si>
  <si>
    <t xml:space="preserve">total Expenses </t>
  </si>
  <si>
    <t>Sept27- Oct4  2024</t>
  </si>
  <si>
    <t xml:space="preserve"> Expenses   Sept27- Oct4  2024</t>
  </si>
  <si>
    <t>10/11/2024-10/18/2024</t>
  </si>
  <si>
    <t xml:space="preserve">Extra- Dog </t>
  </si>
  <si>
    <t>10/18/2024-10/25/2024</t>
  </si>
  <si>
    <t>Babe Paycheck</t>
  </si>
  <si>
    <t xml:space="preserve"> Expenses  10/18/2024-10/25/2024</t>
  </si>
  <si>
    <t xml:space="preserve">Savinf </t>
  </si>
  <si>
    <t>10/25/2024- 11/01/2024</t>
  </si>
  <si>
    <t xml:space="preserve"> Expenses  10/25/2024- 11/01/2024</t>
  </si>
  <si>
    <t>11/01/2024-11/08/2024</t>
  </si>
  <si>
    <t>11/08/2024-11/15/2024</t>
  </si>
  <si>
    <t>11/15/2024-11/22/2024</t>
  </si>
  <si>
    <t xml:space="preserve"> Expenses  11/15/2024-11/22/2024</t>
  </si>
  <si>
    <t>11/22/2024-11/29/2024</t>
  </si>
  <si>
    <t xml:space="preserve"> Expenses  11/22/2024-11/29/2024</t>
  </si>
  <si>
    <t xml:space="preserve"> Expense 11/29/2024- December 6</t>
  </si>
  <si>
    <t>Ojo Geico  every 19 of the month  $274.02</t>
  </si>
  <si>
    <t>optimum</t>
  </si>
  <si>
    <t xml:space="preserve">Optimum-internet </t>
  </si>
  <si>
    <t>Amazon Card was pay two time 301.00</t>
  </si>
  <si>
    <t>* 100 in cash</t>
  </si>
  <si>
    <t xml:space="preserve">travel </t>
  </si>
  <si>
    <t>12/06/2024-12/13/2024</t>
  </si>
  <si>
    <t xml:space="preserve"> Expenses  12/06/2024-12/13/2024</t>
  </si>
  <si>
    <t xml:space="preserve">after the remidning expenses </t>
  </si>
  <si>
    <t>12/13/2024-12/20/2024</t>
  </si>
  <si>
    <t xml:space="preserve"> Expenses  12/13/2024-12/20/2024</t>
  </si>
  <si>
    <t>15 of the month</t>
  </si>
  <si>
    <t>Geico</t>
  </si>
  <si>
    <t>paypall</t>
  </si>
  <si>
    <t>18 of the month</t>
  </si>
  <si>
    <t xml:space="preserve">left in checking </t>
  </si>
  <si>
    <t xml:space="preserve">left to use </t>
  </si>
  <si>
    <t xml:space="preserve">mortage </t>
  </si>
  <si>
    <t>travel</t>
  </si>
  <si>
    <t xml:space="preserve">save </t>
  </si>
  <si>
    <t xml:space="preserve">6071- xmass gifts </t>
  </si>
  <si>
    <t>old navy $91.00</t>
  </si>
  <si>
    <t>12/20/2024-12/27/2024</t>
  </si>
  <si>
    <t xml:space="preserve"> Expenses  12/20/2024-12/27/2024</t>
  </si>
  <si>
    <t>Old Navy</t>
  </si>
  <si>
    <t>Walmart</t>
  </si>
  <si>
    <t xml:space="preserve">TJMAX </t>
  </si>
  <si>
    <t xml:space="preserve">Mortage saving </t>
  </si>
  <si>
    <t>12/27/2024-01/03/2024</t>
  </si>
  <si>
    <t xml:space="preserve"> Expenses  12/27/2024-01/03/2024</t>
  </si>
  <si>
    <t>01/03/2024-01/10/2024</t>
  </si>
  <si>
    <t xml:space="preserve"> Expenses 01/03/2024-01/10/2024</t>
  </si>
  <si>
    <t xml:space="preserve"> Expenses 01/10/2024-01/17/2024</t>
  </si>
  <si>
    <t xml:space="preserve">ftrom xmass gift bucket </t>
  </si>
  <si>
    <t xml:space="preserve">Extra- Mom in law </t>
  </si>
  <si>
    <t>15th of the month- from gift  bucket ( $92.00)</t>
  </si>
  <si>
    <t xml:space="preserve">Amazon_storecard </t>
  </si>
  <si>
    <t>7th of the month</t>
  </si>
  <si>
    <t xml:space="preserve">House Utility -PSEG </t>
  </si>
  <si>
    <t xml:space="preserve">due 12 of the month- paid </t>
  </si>
  <si>
    <t xml:space="preserve">due 18 of the month- paid </t>
  </si>
  <si>
    <t xml:space="preserve">Poland and South of France </t>
  </si>
  <si>
    <t xml:space="preserve">Wednesday </t>
  </si>
  <si>
    <t>Thursday</t>
  </si>
  <si>
    <t>Friday</t>
  </si>
  <si>
    <t>Saturday</t>
  </si>
  <si>
    <t>Sunday</t>
  </si>
  <si>
    <t>Monday</t>
  </si>
  <si>
    <t>Tuesday</t>
  </si>
  <si>
    <t>Wednesday</t>
  </si>
  <si>
    <t xml:space="preserve">Option#1 </t>
  </si>
  <si>
    <t>Option#2</t>
  </si>
  <si>
    <t xml:space="preserve">JFK to Paris </t>
  </si>
  <si>
    <t xml:space="preserve">Paris to Warsaw </t>
  </si>
  <si>
    <t>Delta non stop</t>
  </si>
  <si>
    <t>April 23 /2025</t>
  </si>
  <si>
    <t>April 24 2025</t>
  </si>
  <si>
    <t xml:space="preserve">JFK toParis </t>
  </si>
  <si>
    <t xml:space="preserve">Warsaw to Lourdes </t>
  </si>
  <si>
    <t xml:space="preserve">Lourdes to Paris </t>
  </si>
  <si>
    <t>Paris to JFK</t>
  </si>
  <si>
    <t>2:40pm</t>
  </si>
  <si>
    <t>5pm</t>
  </si>
  <si>
    <t xml:space="preserve"> 9:05 am</t>
  </si>
  <si>
    <t>May 3 2025</t>
  </si>
  <si>
    <t>7:15pm</t>
  </si>
  <si>
    <t>Delta JFK- Paris 2pp</t>
  </si>
  <si>
    <t>LOT no stop</t>
  </si>
  <si>
    <t xml:space="preserve">10:45am </t>
  </si>
  <si>
    <t>1:05pm</t>
  </si>
  <si>
    <t>Paris to Warsaw 2pp</t>
  </si>
  <si>
    <t>MultiCity Option</t>
  </si>
  <si>
    <t xml:space="preserve">Poland </t>
  </si>
  <si>
    <t xml:space="preserve">Paris- Home </t>
  </si>
  <si>
    <t xml:space="preserve">Poland / Lourdes </t>
  </si>
  <si>
    <t xml:space="preserve"> Expenses 01/15-01/17/2025</t>
  </si>
  <si>
    <t>15h of the month</t>
  </si>
  <si>
    <t>1/17/2025-1/31/2025</t>
  </si>
  <si>
    <t xml:space="preserve"> Expenses 1/17/2025-1/21/2025</t>
  </si>
  <si>
    <t xml:space="preserve"> Expenses  Tuesday 1/21/2025- Tuesday 1/28/2025</t>
  </si>
  <si>
    <t xml:space="preserve"> Expenses Tuesday 1/28/2025- Friday 1/31/2025</t>
  </si>
  <si>
    <t xml:space="preserve"> Expenses Friday 1/31/2025- Tuesday 2/4/2025</t>
  </si>
  <si>
    <t xml:space="preserve"> Tuesday 1/28/2025- Friday 1/31/2025</t>
  </si>
  <si>
    <t>FirstMark Student Loan</t>
  </si>
  <si>
    <t xml:space="preserve"> Expenses Tuesday 2/4/2025- Tuesday 2/7/2025</t>
  </si>
  <si>
    <t>3rd of the moth</t>
  </si>
  <si>
    <t>Tuesday 2/4/2025- Tuesday 2/11/2025</t>
  </si>
  <si>
    <t>add 504</t>
  </si>
  <si>
    <t>FRIDAY 1/31/2024- CANON PAYCHECK</t>
  </si>
  <si>
    <t>ADD 504</t>
  </si>
  <si>
    <t>Tuesday 2/11/2025- FRIDAY 2/14/2025</t>
  </si>
  <si>
    <t xml:space="preserve">due 12 of the month- ESTIMATED </t>
  </si>
  <si>
    <t>due 18 of the month- ESTIMATED</t>
  </si>
  <si>
    <t>Option#3</t>
  </si>
  <si>
    <t>May 20 /2025</t>
  </si>
  <si>
    <t>May  21 2025</t>
  </si>
  <si>
    <t>8:15pm</t>
  </si>
  <si>
    <t>10:00am</t>
  </si>
  <si>
    <t>9:30am</t>
  </si>
  <si>
    <t>11:45am</t>
  </si>
  <si>
    <t>May 31 2025</t>
  </si>
  <si>
    <t>1:45pm</t>
  </si>
  <si>
    <t>4:05pm</t>
  </si>
  <si>
    <t>Air France nonstop</t>
  </si>
  <si>
    <t>5/26/2024- Memorial Day</t>
  </si>
  <si>
    <t xml:space="preserve">Warsaw to Paris </t>
  </si>
  <si>
    <t>Paris to Warsaw Round trip 2pp</t>
  </si>
  <si>
    <t>Lot non stop</t>
  </si>
  <si>
    <t>4:25pm</t>
  </si>
  <si>
    <t>6:50pm</t>
  </si>
  <si>
    <t>Poland / Paris</t>
  </si>
  <si>
    <t>Paris full day</t>
  </si>
  <si>
    <t>Paris to Lourdes</t>
  </si>
  <si>
    <t xml:space="preserve">Half day Lourdes / </t>
  </si>
  <si>
    <t>29th of the month</t>
  </si>
  <si>
    <t>Best Buy- phone</t>
  </si>
  <si>
    <t>need to move $1000</t>
  </si>
  <si>
    <t xml:space="preserve">last one </t>
  </si>
  <si>
    <t xml:space="preserve"> FRIDAY 2/14/2025-Tuesday 2/18/2025</t>
  </si>
  <si>
    <t>due 19 of the month</t>
  </si>
  <si>
    <t xml:space="preserve"> Expenses FRIDAY 2/14/2025-Tuesday 2/18/2025</t>
  </si>
  <si>
    <t xml:space="preserve"> Expenses Tuesday 2/18/2025- Tuesday 2/25/2025</t>
  </si>
  <si>
    <t>Tuesday 2/18/2025- Tuesday 2/25/2025</t>
  </si>
  <si>
    <t>weekend 21-22</t>
  </si>
  <si>
    <t xml:space="preserve"> Expenses Tuesday 2/25/2025- Friday 28 2025</t>
  </si>
  <si>
    <t xml:space="preserve"> Expenses  Friday 28 2025- Tuesday March 4 2025</t>
  </si>
  <si>
    <t>Friday 28 2025- Tuesday March 4 2025</t>
  </si>
  <si>
    <t xml:space="preserve">House Loand Sofi/ Add to Saving </t>
  </si>
  <si>
    <t>hold until April</t>
  </si>
  <si>
    <t xml:space="preserve"> Expenses Tuesday March 4 2025- Tuesday March 11 2025</t>
  </si>
  <si>
    <t xml:space="preserve"> Expenses Tuesday Tuesday March 11 2025- March 14 2025</t>
  </si>
  <si>
    <t>200 for house</t>
  </si>
  <si>
    <t xml:space="preserve">200 for house </t>
  </si>
  <si>
    <t xml:space="preserve"> Expenses Friday March 21- March 25 ( Tuesday)</t>
  </si>
  <si>
    <t>unemployment</t>
  </si>
  <si>
    <t xml:space="preserve"> Expenses March 25 -March 28</t>
  </si>
  <si>
    <t>Expenses March 28 Friday -April 1 2025 ( Tuesday)</t>
  </si>
  <si>
    <t>24 of the month</t>
  </si>
  <si>
    <t xml:space="preserve">Chase Credit </t>
  </si>
  <si>
    <t>first Mark</t>
  </si>
  <si>
    <t xml:space="preserve"> Expenses Friday March 28- Tuesday April 1 2025</t>
  </si>
  <si>
    <t>Uemployment $504.00</t>
  </si>
  <si>
    <t xml:space="preserve"> Expenses  Tuesday April 1 2025- Tuesday April 8 2025</t>
  </si>
  <si>
    <t>Weekend  April 5- April 6</t>
  </si>
  <si>
    <t>Extra Mike Bday</t>
  </si>
  <si>
    <t xml:space="preserve"> Expenses Tuesday April 8 2025- April 11 ( Friday)</t>
  </si>
  <si>
    <t xml:space="preserve"> Expenses  April 11 ( Friday)- April 15 (Tuesday)</t>
  </si>
  <si>
    <t xml:space="preserve"> Expenses  April 15 (Tuesday)- April 22 (Tuesday)</t>
  </si>
  <si>
    <t>Weekend  April 19- April 20</t>
  </si>
  <si>
    <t xml:space="preserve"> Expenses Tuesday April 22 (Tuesday)- April 25 Friday</t>
  </si>
  <si>
    <t>First Mark loan</t>
  </si>
  <si>
    <t>Birth day gift ( $50 M and $50 INL)</t>
  </si>
  <si>
    <t>( sent for payment )</t>
  </si>
  <si>
    <t xml:space="preserve">Uemployemnt </t>
  </si>
  <si>
    <t>Optimum</t>
  </si>
  <si>
    <t>Homedepot citi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</si>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</sst>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B30D29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EBAF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8">
    <xf numFmtId="0" fontId="0" fillId="0" borderId="0" xfId="0"/>
    <xf numFmtId="0" fontId="0" fillId="2" borderId="0" xfId="0" applyFill="1"/>
    <xf numFmtId="0" fontId="2" fillId="2" borderId="0" xfId="0" applyFont="1" applyFill="1"/>
    <xf numFmtId="44" fontId="2" fillId="2" borderId="0" xfId="1" applyFont="1" applyFill="1"/>
    <xf numFmtId="44" fontId="0" fillId="2" borderId="0" xfId="1" applyFont="1" applyFill="1"/>
    <xf numFmtId="44" fontId="0" fillId="2" borderId="0" xfId="0" applyNumberForma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44" fontId="2" fillId="2" borderId="0" xfId="1" applyFont="1" applyFill="1" applyAlignment="1"/>
    <xf numFmtId="44" fontId="0" fillId="2" borderId="0" xfId="1" applyFont="1" applyFill="1" applyAlignment="1"/>
    <xf numFmtId="8" fontId="0" fillId="2" borderId="0" xfId="1" applyNumberFormat="1" applyFont="1" applyFill="1" applyAlignment="1"/>
    <xf numFmtId="14" fontId="2" fillId="2" borderId="0" xfId="1" applyNumberFormat="1" applyFont="1" applyFill="1"/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/>
    <xf numFmtId="44" fontId="2" fillId="2" borderId="2" xfId="1" applyFont="1" applyFill="1" applyBorder="1" applyAlignment="1"/>
    <xf numFmtId="44" fontId="2" fillId="2" borderId="3" xfId="1" applyFont="1" applyFill="1" applyBorder="1" applyAlignment="1"/>
    <xf numFmtId="0" fontId="0" fillId="3" borderId="0" xfId="0" applyFill="1"/>
    <xf numFmtId="44" fontId="2" fillId="2" borderId="0" xfId="0" applyNumberFormat="1" applyFont="1" applyFill="1"/>
    <xf numFmtId="44" fontId="5" fillId="2" borderId="0" xfId="0" applyNumberFormat="1" applyFont="1" applyFill="1"/>
    <xf numFmtId="44" fontId="5" fillId="2" borderId="0" xfId="1" applyFont="1" applyFill="1"/>
    <xf numFmtId="0" fontId="5" fillId="2" borderId="0" xfId="0" applyFont="1" applyFill="1" applyAlignment="1">
      <alignment horizontal="right"/>
    </xf>
    <xf numFmtId="0" fontId="2" fillId="4" borderId="0" xfId="0" applyFont="1" applyFill="1"/>
    <xf numFmtId="44" fontId="2" fillId="2" borderId="0" xfId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44" fontId="0" fillId="6" borderId="0" xfId="1" applyFont="1" applyFill="1" applyAlignment="1"/>
    <xf numFmtId="44" fontId="2" fillId="7" borderId="0" xfId="1" applyFont="1" applyFill="1"/>
    <xf numFmtId="0" fontId="2" fillId="7" borderId="0" xfId="0" applyFont="1" applyFill="1"/>
    <xf numFmtId="44" fontId="2" fillId="7" borderId="0" xfId="0" applyNumberFormat="1" applyFont="1" applyFill="1"/>
    <xf numFmtId="0" fontId="2" fillId="8" borderId="0" xfId="0" applyFont="1" applyFill="1"/>
    <xf numFmtId="44" fontId="2" fillId="8" borderId="0" xfId="0" applyNumberFormat="1" applyFont="1" applyFill="1"/>
    <xf numFmtId="44" fontId="2" fillId="8" borderId="0" xfId="1" applyFont="1" applyFill="1"/>
    <xf numFmtId="14" fontId="0" fillId="2" borderId="0" xfId="0" applyNumberFormat="1" applyFill="1" applyAlignment="1">
      <alignment horizontal="left"/>
    </xf>
    <xf numFmtId="16" fontId="2" fillId="2" borderId="0" xfId="1" applyNumberFormat="1" applyFont="1" applyFill="1"/>
    <xf numFmtId="16" fontId="2" fillId="2" borderId="0" xfId="0" applyNumberFormat="1" applyFont="1" applyFill="1"/>
    <xf numFmtId="44" fontId="0" fillId="9" borderId="0" xfId="0" applyNumberFormat="1" applyFill="1"/>
    <xf numFmtId="0" fontId="2" fillId="9" borderId="0" xfId="0" applyFont="1" applyFill="1"/>
    <xf numFmtId="0" fontId="0" fillId="10" borderId="0" xfId="0" applyFill="1"/>
    <xf numFmtId="44" fontId="0" fillId="10" borderId="0" xfId="1" applyFont="1" applyFill="1"/>
    <xf numFmtId="44" fontId="0" fillId="9" borderId="0" xfId="1" applyFont="1" applyFill="1"/>
    <xf numFmtId="0" fontId="8" fillId="11" borderId="0" xfId="0" applyFont="1" applyFill="1"/>
    <xf numFmtId="0" fontId="2" fillId="12" borderId="0" xfId="0" applyFont="1" applyFill="1"/>
    <xf numFmtId="44" fontId="2" fillId="12" borderId="0" xfId="0" applyNumberFormat="1" applyFont="1" applyFill="1"/>
    <xf numFmtId="0" fontId="0" fillId="13" borderId="0" xfId="0" applyFill="1"/>
    <xf numFmtId="44" fontId="0" fillId="13" borderId="0" xfId="1" applyFont="1" applyFill="1"/>
    <xf numFmtId="44" fontId="0" fillId="2" borderId="0" xfId="1" applyFont="1" applyFill="1" applyAlignment="1">
      <alignment horizontal="left" wrapText="1"/>
    </xf>
    <xf numFmtId="14" fontId="3" fillId="2" borderId="0" xfId="1" applyNumberFormat="1" applyFont="1" applyFill="1" applyAlignment="1">
      <alignment horizontal="center"/>
    </xf>
    <xf numFmtId="44" fontId="9" fillId="2" borderId="0" xfId="1" applyFont="1" applyFill="1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44" fontId="0" fillId="0" borderId="0" xfId="1" applyFont="1"/>
    <xf numFmtId="0" fontId="2" fillId="0" borderId="0" xfId="0" applyFont="1" applyAlignment="1">
      <alignment horizontal="right"/>
    </xf>
    <xf numFmtId="44" fontId="2" fillId="0" borderId="0" xfId="1" applyFont="1"/>
    <xf numFmtId="0" fontId="2" fillId="14" borderId="0" xfId="0" applyFont="1" applyFill="1"/>
    <xf numFmtId="0" fontId="2" fillId="3" borderId="0" xfId="0" applyFont="1" applyFill="1"/>
    <xf numFmtId="44" fontId="0" fillId="0" borderId="0" xfId="0" applyNumberFormat="1"/>
    <xf numFmtId="44" fontId="1" fillId="2" borderId="0" xfId="1" applyFont="1" applyFill="1" applyAlignment="1">
      <alignment horizontal="left" vertical="center" wrapText="1"/>
    </xf>
    <xf numFmtId="0" fontId="10" fillId="2" borderId="0" xfId="0" applyFont="1" applyFill="1"/>
    <xf numFmtId="44" fontId="10" fillId="2" borderId="0" xfId="1" applyFont="1" applyFill="1"/>
    <xf numFmtId="44" fontId="0" fillId="2" borderId="0" xfId="1" applyFont="1" applyFill="1" applyAlignment="1">
      <alignment horizontal="left" vertical="center" wrapText="1"/>
    </xf>
    <xf numFmtId="8" fontId="0" fillId="2" borderId="0" xfId="0" applyNumberFormat="1" applyFill="1"/>
    <xf numFmtId="44" fontId="2" fillId="0" borderId="0" xfId="1" applyFont="1" applyAlignment="1">
      <alignment horizontal="center"/>
    </xf>
    <xf numFmtId="43" fontId="2" fillId="0" borderId="0" xfId="2" applyFont="1" applyAlignment="1">
      <alignment horizontal="right"/>
    </xf>
    <xf numFmtId="164" fontId="0" fillId="0" borderId="0" xfId="2" applyNumberFormat="1" applyFont="1"/>
    <xf numFmtId="0" fontId="3" fillId="5" borderId="0" xfId="0" applyFont="1" applyFill="1"/>
    <xf numFmtId="44" fontId="9" fillId="5" borderId="0" xfId="1" applyFont="1" applyFill="1"/>
    <xf numFmtId="0" fontId="9" fillId="5" borderId="0" xfId="0" applyFont="1" applyFill="1"/>
    <xf numFmtId="14" fontId="2" fillId="0" borderId="0" xfId="0" applyNumberFormat="1" applyFont="1"/>
    <xf numFmtId="14" fontId="2" fillId="2" borderId="0" xfId="1" applyNumberFormat="1" applyFont="1" applyFill="1" applyAlignment="1">
      <alignment horizontal="center"/>
    </xf>
    <xf numFmtId="44" fontId="0" fillId="5" borderId="0" xfId="1" applyFont="1" applyFill="1"/>
    <xf numFmtId="44" fontId="2" fillId="2" borderId="0" xfId="1" applyFont="1" applyFill="1" applyAlignment="1">
      <alignment vertical="top"/>
    </xf>
    <xf numFmtId="1" fontId="0" fillId="0" borderId="0" xfId="1" applyNumberFormat="1" applyFont="1"/>
    <xf numFmtId="44" fontId="0" fillId="0" borderId="0" xfId="1" applyFont="1" applyAlignment="1">
      <alignment horizontal="right"/>
    </xf>
    <xf numFmtId="0" fontId="0" fillId="5" borderId="0" xfId="0" applyFill="1"/>
    <xf numFmtId="44" fontId="3" fillId="2" borderId="0" xfId="1" applyFont="1" applyFill="1"/>
    <xf numFmtId="0" fontId="0" fillId="15" borderId="0" xfId="0" applyFill="1"/>
    <xf numFmtId="44" fontId="0" fillId="15" borderId="0" xfId="0" applyNumberFormat="1" applyFill="1"/>
    <xf numFmtId="0" fontId="0" fillId="11" borderId="0" xfId="0" applyFill="1"/>
    <xf numFmtId="44" fontId="0" fillId="11" borderId="0" xfId="1" applyFont="1" applyFill="1"/>
    <xf numFmtId="44" fontId="2" fillId="5" borderId="0" xfId="1" applyFont="1" applyFill="1"/>
    <xf numFmtId="2" fontId="0" fillId="0" borderId="0" xfId="1" applyNumberFormat="1" applyFont="1" applyAlignment="1">
      <alignment horizontal="left" indent="2"/>
    </xf>
    <xf numFmtId="44" fontId="0" fillId="16" borderId="0" xfId="0" applyNumberFormat="1" applyFill="1"/>
    <xf numFmtId="8" fontId="0" fillId="2" borderId="0" xfId="1" applyNumberFormat="1" applyFont="1" applyFill="1"/>
    <xf numFmtId="44" fontId="0" fillId="5" borderId="0" xfId="0" applyNumberFormat="1" applyFill="1"/>
    <xf numFmtId="4" fontId="0" fillId="2" borderId="0" xfId="0" applyNumberFormat="1" applyFill="1"/>
    <xf numFmtId="44" fontId="11" fillId="2" borderId="0" xfId="1" applyFont="1" applyFill="1"/>
    <xf numFmtId="44" fontId="2" fillId="17" borderId="0" xfId="1" applyFont="1" applyFill="1"/>
    <xf numFmtId="44" fontId="5" fillId="8" borderId="0" xfId="1" applyFont="1" applyFill="1"/>
    <xf numFmtId="16" fontId="0" fillId="2" borderId="0" xfId="0" applyNumberFormat="1" applyFill="1"/>
    <xf numFmtId="0" fontId="0" fillId="2" borderId="0" xfId="0" applyFill="1" applyAlignment="1">
      <alignment horizontal="right"/>
    </xf>
    <xf numFmtId="0" fontId="2" fillId="11" borderId="0" xfId="0" applyFont="1" applyFill="1" applyAlignment="1">
      <alignment horizontal="right"/>
    </xf>
    <xf numFmtId="0" fontId="2" fillId="11" borderId="0" xfId="0" applyFont="1" applyFill="1"/>
    <xf numFmtId="44" fontId="2" fillId="11" borderId="0" xfId="1" applyFont="1" applyFill="1"/>
    <xf numFmtId="0" fontId="3" fillId="18" borderId="0" xfId="0" applyFont="1" applyFill="1" applyAlignment="1">
      <alignment horizontal="right"/>
    </xf>
    <xf numFmtId="44" fontId="3" fillId="18" borderId="0" xfId="0" applyNumberFormat="1" applyFont="1" applyFill="1"/>
    <xf numFmtId="0" fontId="9" fillId="2" borderId="0" xfId="0" applyFont="1" applyFill="1" applyAlignment="1">
      <alignment horizontal="right"/>
    </xf>
    <xf numFmtId="44" fontId="9" fillId="2" borderId="0" xfId="0" applyNumberFormat="1" applyFont="1" applyFill="1"/>
    <xf numFmtId="0" fontId="0" fillId="2" borderId="0" xfId="0" applyFill="1" applyAlignment="1">
      <alignment horizontal="left"/>
    </xf>
    <xf numFmtId="14" fontId="2" fillId="11" borderId="0" xfId="0" applyNumberFormat="1" applyFont="1" applyFill="1"/>
    <xf numFmtId="44" fontId="0" fillId="19" borderId="0" xfId="1" applyFont="1" applyFill="1"/>
    <xf numFmtId="0" fontId="0" fillId="5" borderId="0" xfId="0" applyFill="1" applyAlignment="1">
      <alignment horizontal="left"/>
    </xf>
    <xf numFmtId="44" fontId="0" fillId="6" borderId="0" xfId="1" applyFont="1" applyFill="1"/>
    <xf numFmtId="0" fontId="9" fillId="2" borderId="0" xfId="0" applyFont="1" applyFill="1"/>
    <xf numFmtId="0" fontId="0" fillId="18" borderId="0" xfId="0" applyFill="1"/>
    <xf numFmtId="44" fontId="0" fillId="18" borderId="0" xfId="1" applyFont="1" applyFill="1"/>
    <xf numFmtId="44" fontId="0" fillId="18" borderId="0" xfId="1" applyFont="1" applyFill="1" applyAlignment="1"/>
    <xf numFmtId="14" fontId="0" fillId="2" borderId="0" xfId="0" applyNumberFormat="1" applyFill="1"/>
    <xf numFmtId="44" fontId="0" fillId="7" borderId="0" xfId="1" applyFont="1" applyFill="1"/>
    <xf numFmtId="0" fontId="3" fillId="2" borderId="0" xfId="0" applyFont="1" applyFill="1" applyAlignment="1">
      <alignment horizontal="right"/>
    </xf>
    <xf numFmtId="0" fontId="3" fillId="0" borderId="0" xfId="0" applyFont="1"/>
    <xf numFmtId="44" fontId="0" fillId="11" borderId="0" xfId="1" applyFont="1" applyFill="1" applyAlignment="1"/>
    <xf numFmtId="0" fontId="3" fillId="11" borderId="0" xfId="0" applyFont="1" applyFill="1"/>
    <xf numFmtId="44" fontId="0" fillId="20" borderId="0" xfId="1" applyFont="1" applyFill="1"/>
    <xf numFmtId="0" fontId="2" fillId="2" borderId="0" xfId="0" applyFont="1" applyFill="1" applyAlignment="1">
      <alignment horizontal="left"/>
    </xf>
    <xf numFmtId="6" fontId="0" fillId="2" borderId="0" xfId="0" applyNumberFormat="1" applyFill="1"/>
    <xf numFmtId="9" fontId="0" fillId="2" borderId="0" xfId="0" applyNumberFormat="1" applyFill="1"/>
    <xf numFmtId="44" fontId="3" fillId="2" borderId="0" xfId="0" applyNumberFormat="1" applyFont="1" applyFill="1"/>
    <xf numFmtId="9" fontId="0" fillId="2" borderId="0" xfId="3" applyFont="1" applyFill="1"/>
    <xf numFmtId="44" fontId="3" fillId="18" borderId="0" xfId="0" applyNumberFormat="1" applyFont="1" applyFill="1" applyAlignment="1">
      <alignment horizontal="right"/>
    </xf>
    <xf numFmtId="8" fontId="3" fillId="18" borderId="0" xfId="0" applyNumberFormat="1" applyFont="1" applyFill="1"/>
    <xf numFmtId="8" fontId="2" fillId="2" borderId="0" xfId="0" applyNumberFormat="1" applyFont="1" applyFill="1"/>
    <xf numFmtId="8" fontId="2" fillId="4" borderId="0" xfId="0" applyNumberFormat="1" applyFont="1" applyFill="1"/>
    <xf numFmtId="8" fontId="2" fillId="21" borderId="0" xfId="0" applyNumberFormat="1" applyFont="1" applyFill="1"/>
    <xf numFmtId="8" fontId="0" fillId="0" borderId="0" xfId="0" applyNumberFormat="1"/>
    <xf numFmtId="8" fontId="3" fillId="2" borderId="0" xfId="0" applyNumberFormat="1" applyFont="1" applyFill="1"/>
    <xf numFmtId="14" fontId="2" fillId="0" borderId="0" xfId="0" applyNumberFormat="1" applyFont="1" applyAlignment="1">
      <alignment horizontal="center"/>
    </xf>
    <xf numFmtId="0" fontId="0" fillId="7" borderId="0" xfId="0" applyFill="1"/>
    <xf numFmtId="0" fontId="9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Alignment="1">
      <alignment horizontal="center"/>
    </xf>
    <xf numFmtId="0" fontId="2" fillId="22" borderId="0" xfId="0" applyFont="1" applyFill="1" applyAlignment="1">
      <alignment horizontal="center"/>
    </xf>
    <xf numFmtId="0" fontId="2" fillId="22" borderId="0" xfId="0" applyFont="1" applyFill="1"/>
    <xf numFmtId="0" fontId="0" fillId="0" borderId="0" xfId="0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/>
    <xf numFmtId="0" fontId="0" fillId="19" borderId="0" xfId="0" applyFill="1"/>
    <xf numFmtId="0" fontId="12" fillId="12" borderId="0" xfId="0" applyFont="1" applyFill="1" applyAlignment="1">
      <alignment horizontal="center"/>
    </xf>
    <xf numFmtId="0" fontId="2" fillId="21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8" fontId="0" fillId="0" borderId="0" xfId="0" applyNumberFormat="1" applyAlignment="1">
      <alignment horizontal="left"/>
    </xf>
    <xf numFmtId="0" fontId="2" fillId="19" borderId="0" xfId="0" applyFont="1" applyFill="1"/>
    <xf numFmtId="0" fontId="18" fillId="0" borderId="0" xfId="0" applyFont="1"/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vertical="center" wrapText="1"/>
    </xf>
    <xf numFmtId="8" fontId="3" fillId="5" borderId="0" xfId="0" applyNumberFormat="1" applyFont="1" applyFill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0" fillId="19" borderId="0" xfId="0" applyFill="1" applyAlignment="1">
      <alignment vertical="center"/>
    </xf>
    <xf numFmtId="0" fontId="15" fillId="25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24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8" fontId="0" fillId="0" borderId="0" xfId="0" applyNumberFormat="1" applyAlignment="1">
      <alignment horizontal="left" vertical="center"/>
    </xf>
    <xf numFmtId="0" fontId="9" fillId="0" borderId="0" xfId="0" applyFont="1" applyAlignment="1">
      <alignment vertical="center"/>
    </xf>
    <xf numFmtId="0" fontId="2" fillId="5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15" fillId="26" borderId="0" xfId="0" applyFont="1" applyFill="1" applyAlignment="1">
      <alignment horizontal="center" vertical="center"/>
    </xf>
    <xf numFmtId="0" fontId="3" fillId="26" borderId="0" xfId="0" applyFont="1" applyFill="1" applyAlignment="1">
      <alignment vertical="center"/>
    </xf>
    <xf numFmtId="6" fontId="0" fillId="0" borderId="0" xfId="0" applyNumberFormat="1"/>
    <xf numFmtId="0" fontId="1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20" fillId="0" borderId="0" xfId="0" applyFont="1"/>
    <xf numFmtId="0" fontId="15" fillId="0" borderId="0" xfId="0" applyFont="1" applyAlignment="1">
      <alignment horizontal="left"/>
    </xf>
    <xf numFmtId="0" fontId="19" fillId="14" borderId="0" xfId="0" applyFont="1" applyFill="1" applyAlignment="1">
      <alignment horizontal="left"/>
    </xf>
    <xf numFmtId="44" fontId="3" fillId="0" borderId="0" xfId="0" applyNumberFormat="1" applyFont="1"/>
    <xf numFmtId="0" fontId="3" fillId="0" borderId="0" xfId="0" applyFont="1" applyAlignment="1">
      <alignment horizontal="right"/>
    </xf>
    <xf numFmtId="0" fontId="0" fillId="14" borderId="0" xfId="0" applyFill="1"/>
    <xf numFmtId="44" fontId="0" fillId="14" borderId="0" xfId="1" applyFont="1" applyFill="1" applyAlignment="1"/>
    <xf numFmtId="44" fontId="0" fillId="14" borderId="0" xfId="1" applyFont="1" applyFill="1"/>
    <xf numFmtId="0" fontId="3" fillId="22" borderId="0" xfId="0" applyFont="1" applyFill="1"/>
    <xf numFmtId="44" fontId="0" fillId="22" borderId="0" xfId="0" applyNumberFormat="1" applyFill="1"/>
    <xf numFmtId="44" fontId="2" fillId="22" borderId="0" xfId="0" applyNumberFormat="1" applyFont="1" applyFill="1"/>
    <xf numFmtId="22" fontId="2" fillId="0" borderId="0" xfId="0" applyNumberFormat="1" applyFont="1"/>
    <xf numFmtId="44" fontId="3" fillId="5" borderId="0" xfId="0" applyNumberFormat="1" applyFont="1" applyFill="1"/>
    <xf numFmtId="44" fontId="2" fillId="5" borderId="0" xfId="0" applyNumberFormat="1" applyFont="1" applyFill="1"/>
    <xf numFmtId="8" fontId="0" fillId="7" borderId="0" xfId="0" applyNumberFormat="1" applyFill="1"/>
    <xf numFmtId="0" fontId="3" fillId="19" borderId="0" xfId="0" applyFont="1" applyFill="1"/>
    <xf numFmtId="44" fontId="3" fillId="5" borderId="0" xfId="1" applyFont="1" applyFill="1"/>
    <xf numFmtId="44" fontId="0" fillId="2" borderId="0" xfId="1" applyFont="1" applyFill="1" applyBorder="1"/>
    <xf numFmtId="44" fontId="0" fillId="18" borderId="0" xfId="1" applyFont="1" applyFill="1" applyBorder="1"/>
    <xf numFmtId="0" fontId="3" fillId="28" borderId="0" xfId="0" applyFont="1" applyFill="1" applyAlignment="1">
      <alignment horizontal="right"/>
    </xf>
    <xf numFmtId="44" fontId="2" fillId="28" borderId="0" xfId="0" applyNumberFormat="1" applyFont="1" applyFill="1"/>
    <xf numFmtId="44" fontId="0" fillId="14" borderId="0" xfId="1" applyFont="1" applyFill="1" applyBorder="1"/>
    <xf numFmtId="44" fontId="0" fillId="7" borderId="0" xfId="1" applyFont="1" applyFill="1" applyBorder="1"/>
    <xf numFmtId="43" fontId="0" fillId="2" borderId="0" xfId="2" applyFont="1" applyFill="1"/>
    <xf numFmtId="0" fontId="21" fillId="2" borderId="0" xfId="0" applyFont="1" applyFill="1"/>
    <xf numFmtId="44" fontId="21" fillId="2" borderId="0" xfId="1" applyFont="1" applyFill="1"/>
    <xf numFmtId="44" fontId="0" fillId="11" borderId="0" xfId="0" applyNumberFormat="1" applyFill="1"/>
    <xf numFmtId="14" fontId="3" fillId="2" borderId="0" xfId="0" applyNumberFormat="1" applyFont="1" applyFill="1"/>
    <xf numFmtId="14" fontId="0" fillId="7" borderId="0" xfId="0" applyNumberFormat="1" applyFill="1" applyAlignment="1">
      <alignment horizontal="left"/>
    </xf>
    <xf numFmtId="14" fontId="0" fillId="2" borderId="0" xfId="2" applyNumberFormat="1" applyFont="1" applyFill="1"/>
    <xf numFmtId="0" fontId="2" fillId="2" borderId="4" xfId="0" applyFont="1" applyFill="1" applyBorder="1"/>
    <xf numFmtId="44" fontId="0" fillId="2" borderId="5" xfId="1" applyFont="1" applyFill="1" applyBorder="1"/>
    <xf numFmtId="0" fontId="0" fillId="2" borderId="6" xfId="0" applyFill="1" applyBorder="1"/>
    <xf numFmtId="44" fontId="0" fillId="2" borderId="7" xfId="1" applyFont="1" applyFill="1" applyBorder="1"/>
    <xf numFmtId="0" fontId="2" fillId="18" borderId="0" xfId="0" applyFont="1" applyFill="1"/>
    <xf numFmtId="8" fontId="0" fillId="18" borderId="0" xfId="0" applyNumberFormat="1" applyFill="1"/>
    <xf numFmtId="0" fontId="0" fillId="2" borderId="0" xfId="0" applyFill="1" applyAlignment="1">
      <alignment horizontal="center"/>
    </xf>
    <xf numFmtId="0" fontId="3" fillId="16" borderId="0" xfId="0" applyFont="1" applyFill="1" applyAlignment="1">
      <alignment horizontal="right"/>
    </xf>
    <xf numFmtId="44" fontId="3" fillId="16" borderId="0" xfId="0" applyNumberFormat="1" applyFont="1" applyFill="1"/>
    <xf numFmtId="0" fontId="22" fillId="0" borderId="0" xfId="0" applyFont="1"/>
    <xf numFmtId="16" fontId="0" fillId="0" borderId="0" xfId="0" applyNumberFormat="1"/>
    <xf numFmtId="16" fontId="3" fillId="0" borderId="0" xfId="0" applyNumberFormat="1" applyFont="1" applyAlignment="1">
      <alignment horizontal="center"/>
    </xf>
    <xf numFmtId="44" fontId="2" fillId="0" borderId="0" xfId="0" applyNumberFormat="1" applyFont="1"/>
    <xf numFmtId="0" fontId="21" fillId="18" borderId="0" xfId="0" applyFont="1" applyFill="1"/>
    <xf numFmtId="44" fontId="21" fillId="18" borderId="0" xfId="1" applyFont="1" applyFill="1"/>
    <xf numFmtId="0" fontId="21" fillId="18" borderId="0" xfId="0" applyFont="1" applyFill="1" applyAlignment="1">
      <alignment vertical="center"/>
    </xf>
    <xf numFmtId="44" fontId="21" fillId="18" borderId="0" xfId="1" applyFont="1" applyFill="1" applyAlignment="1">
      <alignment vertical="center"/>
    </xf>
    <xf numFmtId="0" fontId="21" fillId="2" borderId="0" xfId="0" applyFont="1" applyFill="1" applyAlignment="1">
      <alignment vertical="center" wrapText="1"/>
    </xf>
    <xf numFmtId="0" fontId="2" fillId="13" borderId="0" xfId="0" applyFont="1" applyFill="1"/>
    <xf numFmtId="16" fontId="3" fillId="0" borderId="0" xfId="0" applyNumberFormat="1" applyFont="1"/>
    <xf numFmtId="16" fontId="2" fillId="0" borderId="0" xfId="0" applyNumberFormat="1" applyFont="1"/>
    <xf numFmtId="14" fontId="0" fillId="5" borderId="0" xfId="0" applyNumberFormat="1" applyFill="1"/>
    <xf numFmtId="14" fontId="2" fillId="2" borderId="0" xfId="0" applyNumberFormat="1" applyFont="1" applyFill="1"/>
    <xf numFmtId="0" fontId="0" fillId="20" borderId="0" xfId="0" applyFill="1"/>
    <xf numFmtId="0" fontId="2" fillId="27" borderId="0" xfId="0" applyFont="1" applyFill="1"/>
    <xf numFmtId="0" fontId="0" fillId="25" borderId="0" xfId="0" applyFill="1"/>
    <xf numFmtId="44" fontId="0" fillId="25" borderId="0" xfId="1" applyFont="1" applyFill="1"/>
    <xf numFmtId="44" fontId="0" fillId="2" borderId="0" xfId="1" applyFont="1" applyFill="1" applyAlignment="1">
      <alignment horizontal="left"/>
    </xf>
    <xf numFmtId="0" fontId="11" fillId="11" borderId="0" xfId="0" applyFont="1" applyFill="1"/>
    <xf numFmtId="0" fontId="5" fillId="19" borderId="0" xfId="0" applyFont="1" applyFill="1"/>
    <xf numFmtId="44" fontId="5" fillId="19" borderId="0" xfId="1" applyFont="1" applyFill="1"/>
    <xf numFmtId="14" fontId="2" fillId="26" borderId="0" xfId="0" applyNumberFormat="1" applyFont="1" applyFill="1" applyAlignment="1">
      <alignment vertical="center"/>
    </xf>
    <xf numFmtId="14" fontId="2" fillId="11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left"/>
    </xf>
    <xf numFmtId="14" fontId="2" fillId="11" borderId="0" xfId="0" applyNumberFormat="1" applyFont="1" applyFill="1" applyAlignment="1">
      <alignment horizontal="left"/>
    </xf>
    <xf numFmtId="44" fontId="0" fillId="2" borderId="0" xfId="1" applyFont="1" applyFill="1" applyAlignment="1">
      <alignment horizontal="left" wrapText="1"/>
    </xf>
    <xf numFmtId="0" fontId="0" fillId="22" borderId="0" xfId="0" applyFill="1" applyAlignment="1">
      <alignment horizontal="center"/>
    </xf>
    <xf numFmtId="16" fontId="3" fillId="0" borderId="0" xfId="0" applyNumberFormat="1" applyFont="1" applyAlignment="1">
      <alignment horizontal="center"/>
    </xf>
    <xf numFmtId="0" fontId="17" fillId="12" borderId="0" xfId="0" applyFont="1" applyFill="1" applyAlignment="1">
      <alignment horizontal="center"/>
    </xf>
    <xf numFmtId="0" fontId="17" fillId="23" borderId="0" xfId="0" applyFont="1" applyFill="1" applyAlignment="1">
      <alignment horizontal="center"/>
    </xf>
    <xf numFmtId="0" fontId="15" fillId="25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2" fillId="27" borderId="0" xfId="0" applyFont="1" applyFill="1" applyAlignment="1">
      <alignment horizontal="center"/>
    </xf>
    <xf numFmtId="0" fontId="9" fillId="18" borderId="0" xfId="0" applyFont="1" applyFill="1"/>
    <xf numFmtId="0" fontId="0" fillId="29" borderId="0" xfId="0" applyFill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EBAF6"/>
      <color rgb="FFCCCCFF"/>
      <color rgb="FFCC99FF"/>
      <color rgb="FFB30D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392905</xdr:colOff>
      <xdr:row>85</xdr:row>
      <xdr:rowOff>11906</xdr:rowOff>
    </xdr:from>
    <xdr:to>
      <xdr:col>28</xdr:col>
      <xdr:colOff>368627</xdr:colOff>
      <xdr:row>119</xdr:row>
      <xdr:rowOff>117600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7F4700-7228-C25B-E1B8-A478D63BD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2999" y="16394906"/>
          <a:ext cx="13727441" cy="6582694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</xdr:colOff>
      <xdr:row>120</xdr:row>
      <xdr:rowOff>119062</xdr:rowOff>
    </xdr:from>
    <xdr:to>
      <xdr:col>27</xdr:col>
      <xdr:colOff>192195</xdr:colOff>
      <xdr:row>152</xdr:row>
      <xdr:rowOff>186597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916441-374F-EF19-BFEF-4530443C7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1125" y="23169562"/>
          <a:ext cx="12146070" cy="61635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104775</xdr:rowOff>
    </xdr:from>
    <xdr:to>
      <xdr:col>9</xdr:col>
      <xdr:colOff>20413</xdr:colOff>
      <xdr:row>54</xdr:row>
      <xdr:rowOff>153018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E996CF-44DA-4D73-DC34-812C90AAB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115050"/>
          <a:ext cx="9764488" cy="4429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5646F-EB34-4593-837B-2DD2427F1B1D}">
  <dimension ref="A1:LB1048576"/>
  <sheetViews>
    <sheetView tabSelected="1" zoomScale="70" zoomScaleNormal="70" workbookViewId="0">
      <pane xSplit="6" topLeftCell="KR1" activePane="topRight" state="frozen"/>
      <selection pane="topRight" activeCell="KX9" sqref="KX9"/>
    </sheetView>
  </sheetViews>
  <sheetFormatPr defaultColWidth="9.140625" defaultRowHeight="15" x14ac:dyDescent="0.25"/>
  <cols>
    <col min="1" max="1" width="20.7109375" style="1" bestFit="1" customWidth="1"/>
    <col min="2" max="2" width="21.42578125" style="1" customWidth="1"/>
    <col min="3" max="3" width="15.85546875" style="9" bestFit="1" customWidth="1"/>
    <col min="4" max="4" width="32.28515625" style="9" bestFit="1" customWidth="1"/>
    <col min="5" max="5" width="21.85546875" style="1" bestFit="1" customWidth="1"/>
    <col min="6" max="6" width="12.85546875" style="1" customWidth="1"/>
    <col min="7" max="7" width="3.42578125" style="16" customWidth="1"/>
    <col min="8" max="8" width="27.7109375" style="1" hidden="1" customWidth="1"/>
    <col min="9" max="9" width="13.140625" style="1" hidden="1" customWidth="1"/>
    <col min="10" max="10" width="1.42578125" style="1" hidden="1" customWidth="1"/>
    <col min="11" max="11" width="33.28515625" style="1" hidden="1" customWidth="1"/>
    <col min="12" max="12" width="20.42578125" style="1" hidden="1" customWidth="1"/>
    <col min="13" max="13" width="2" style="1" hidden="1" customWidth="1"/>
    <col min="14" max="14" width="35" style="1" hidden="1" customWidth="1"/>
    <col min="15" max="15" width="12.85546875" style="4" hidden="1" customWidth="1"/>
    <col min="16" max="16" width="1.85546875" style="1" hidden="1" customWidth="1"/>
    <col min="17" max="17" width="31.28515625" style="1" hidden="1" customWidth="1"/>
    <col min="18" max="18" width="16.7109375" style="1" hidden="1" customWidth="1"/>
    <col min="19" max="19" width="1.42578125" style="1" hidden="1" customWidth="1"/>
    <col min="20" max="20" width="35.5703125" style="1" hidden="1" customWidth="1"/>
    <col min="21" max="21" width="17.42578125" style="1" hidden="1" customWidth="1"/>
    <col min="22" max="22" width="1.28515625" style="1" hidden="1" customWidth="1"/>
    <col min="23" max="23" width="35.5703125" style="1" hidden="1" customWidth="1"/>
    <col min="24" max="24" width="14.42578125" style="1" hidden="1" customWidth="1"/>
    <col min="25" max="25" width="1.28515625" style="1" hidden="1" customWidth="1"/>
    <col min="26" max="26" width="36.5703125" style="1" hidden="1" customWidth="1"/>
    <col min="27" max="27" width="12" style="1" hidden="1" customWidth="1"/>
    <col min="28" max="28" width="1.28515625" style="1" hidden="1" customWidth="1"/>
    <col min="29" max="29" width="31.140625" style="1" hidden="1" customWidth="1"/>
    <col min="30" max="30" width="12.140625" style="1" hidden="1" customWidth="1"/>
    <col min="31" max="31" width="1.28515625" style="1" hidden="1" customWidth="1"/>
    <col min="32" max="32" width="31.7109375" style="1" hidden="1" customWidth="1"/>
    <col min="33" max="33" width="16.28515625" style="1" hidden="1" customWidth="1"/>
    <col min="34" max="34" width="1.140625" style="1" hidden="1" customWidth="1"/>
    <col min="35" max="35" width="38.7109375" style="1" hidden="1" customWidth="1"/>
    <col min="36" max="36" width="15.28515625" style="1" hidden="1" customWidth="1"/>
    <col min="37" max="37" width="1.28515625" style="1" hidden="1" customWidth="1"/>
    <col min="38" max="38" width="31.7109375" style="1" hidden="1" customWidth="1"/>
    <col min="39" max="39" width="16.28515625" style="1" hidden="1" customWidth="1"/>
    <col min="40" max="40" width="3" style="1" hidden="1" customWidth="1"/>
    <col min="41" max="41" width="31.28515625" style="1" hidden="1" customWidth="1"/>
    <col min="42" max="42" width="22.5703125" style="1" hidden="1" customWidth="1"/>
    <col min="43" max="43" width="9.140625" style="1" hidden="1" customWidth="1"/>
    <col min="44" max="44" width="21.42578125" style="1" hidden="1" customWidth="1"/>
    <col min="45" max="45" width="12.5703125" style="1" hidden="1" customWidth="1"/>
    <col min="46" max="47" width="11.42578125" style="1" hidden="1" customWidth="1"/>
    <col min="48" max="48" width="22.140625" style="1" hidden="1" customWidth="1"/>
    <col min="49" max="49" width="12.5703125" style="1" hidden="1" customWidth="1"/>
    <col min="50" max="50" width="21.5703125" style="1" hidden="1" customWidth="1"/>
    <col min="51" max="51" width="26.42578125" style="1" hidden="1" customWidth="1"/>
    <col min="52" max="52" width="12.5703125" style="1" hidden="1" customWidth="1"/>
    <col min="53" max="53" width="9.85546875" style="1" hidden="1" customWidth="1"/>
    <col min="54" max="54" width="26.42578125" style="1" hidden="1" customWidth="1"/>
    <col min="55" max="55" width="12.5703125" style="1" hidden="1" customWidth="1"/>
    <col min="56" max="56" width="33.28515625" style="1" hidden="1" customWidth="1"/>
    <col min="57" max="57" width="24.5703125" style="1" hidden="1" customWidth="1"/>
    <col min="58" max="58" width="12.85546875" style="1" hidden="1" customWidth="1"/>
    <col min="59" max="59" width="17.28515625" style="1" hidden="1" customWidth="1"/>
    <col min="60" max="60" width="24.5703125" style="1" hidden="1" customWidth="1"/>
    <col min="61" max="61" width="12.5703125" style="1" hidden="1" customWidth="1"/>
    <col min="62" max="62" width="17.28515625" style="1" hidden="1" customWidth="1"/>
    <col min="63" max="63" width="24.5703125" style="1" hidden="1" customWidth="1"/>
    <col min="64" max="64" width="12.5703125" style="1" hidden="1" customWidth="1"/>
    <col min="65" max="65" width="4.85546875" style="1" hidden="1" customWidth="1"/>
    <col min="66" max="66" width="38.42578125" style="1" hidden="1" customWidth="1"/>
    <col min="67" max="67" width="12.5703125" style="1" hidden="1" customWidth="1"/>
    <col min="68" max="68" width="16.7109375" style="1" hidden="1" customWidth="1"/>
    <col min="69" max="69" width="38.42578125" style="1" hidden="1" customWidth="1"/>
    <col min="70" max="70" width="12.5703125" style="1" hidden="1" customWidth="1"/>
    <col min="71" max="71" width="16.7109375" style="1" hidden="1" customWidth="1"/>
    <col min="72" max="72" width="38.42578125" style="1" hidden="1" customWidth="1"/>
    <col min="73" max="73" width="12.5703125" style="1" hidden="1" customWidth="1"/>
    <col min="74" max="74" width="4.28515625" style="1" hidden="1" customWidth="1"/>
    <col min="75" max="75" width="38.42578125" style="1" hidden="1" customWidth="1"/>
    <col min="76" max="76" width="12.5703125" style="1" hidden="1" customWidth="1"/>
    <col min="77" max="77" width="11.42578125" style="1" hidden="1" customWidth="1"/>
    <col min="78" max="78" width="9.140625" style="1" hidden="1" customWidth="1"/>
    <col min="79" max="79" width="32.28515625" style="1" hidden="1" customWidth="1"/>
    <col min="80" max="80" width="11.42578125" style="1" hidden="1" customWidth="1"/>
    <col min="81" max="81" width="17.28515625" style="1" hidden="1" customWidth="1"/>
    <col min="82" max="82" width="9.140625" style="1" hidden="1" customWidth="1"/>
    <col min="83" max="83" width="27.140625" style="1" hidden="1" customWidth="1"/>
    <col min="84" max="84" width="12.5703125" style="1" hidden="1" customWidth="1"/>
    <col min="85" max="85" width="17.28515625" style="1" hidden="1" customWidth="1"/>
    <col min="86" max="86" width="12.42578125" style="1" hidden="1" customWidth="1"/>
    <col min="87" max="87" width="24" style="1" hidden="1" customWidth="1"/>
    <col min="88" max="88" width="12.5703125" style="1" hidden="1" customWidth="1"/>
    <col min="89" max="89" width="17.28515625" style="1" hidden="1" customWidth="1"/>
    <col min="90" max="90" width="12.5703125" style="1" hidden="1" customWidth="1"/>
    <col min="91" max="91" width="27.140625" style="1" hidden="1" customWidth="1"/>
    <col min="92" max="92" width="12.5703125" style="1" hidden="1" customWidth="1"/>
    <col min="93" max="93" width="16.7109375" style="1" hidden="1" customWidth="1"/>
    <col min="94" max="95" width="9.140625" style="1" hidden="1" customWidth="1"/>
    <col min="96" max="96" width="28.85546875" style="1" hidden="1" customWidth="1"/>
    <col min="97" max="97" width="12.28515625" style="1" hidden="1" customWidth="1"/>
    <col min="98" max="98" width="18.7109375" style="1" hidden="1" customWidth="1"/>
    <col min="99" max="99" width="9.140625" style="1" hidden="1" customWidth="1"/>
    <col min="100" max="100" width="28.85546875" style="1" hidden="1" customWidth="1"/>
    <col min="101" max="101" width="12.28515625" style="1" hidden="1" customWidth="1"/>
    <col min="102" max="102" width="15.85546875" style="1" hidden="1" customWidth="1"/>
    <col min="103" max="103" width="9.5703125" style="1" hidden="1" customWidth="1"/>
    <col min="104" max="104" width="9.140625" style="1" hidden="1" customWidth="1"/>
    <col min="105" max="105" width="32.85546875" style="1" hidden="1" customWidth="1"/>
    <col min="106" max="106" width="12.28515625" style="1" hidden="1" customWidth="1"/>
    <col min="107" max="107" width="15.42578125" style="1" hidden="1" customWidth="1"/>
    <col min="108" max="109" width="9.140625" style="1" hidden="1" customWidth="1"/>
    <col min="110" max="110" width="27.28515625" style="1" hidden="1" customWidth="1"/>
    <col min="111" max="111" width="12.7109375" style="1" hidden="1" customWidth="1"/>
    <col min="112" max="112" width="15.28515625" style="1" hidden="1" customWidth="1"/>
    <col min="113" max="113" width="9.140625" style="1" hidden="1" customWidth="1"/>
    <col min="114" max="114" width="27.7109375" style="1" hidden="1" customWidth="1"/>
    <col min="115" max="115" width="12.85546875" style="1" hidden="1" customWidth="1"/>
    <col min="116" max="116" width="18.7109375" style="1" hidden="1" customWidth="1"/>
    <col min="117" max="117" width="12.28515625" style="1" hidden="1" customWidth="1"/>
    <col min="118" max="118" width="31.5703125" style="1" hidden="1" customWidth="1"/>
    <col min="119" max="119" width="22.140625" style="1" hidden="1" customWidth="1"/>
    <col min="120" max="120" width="19.85546875" style="1" hidden="1" customWidth="1"/>
    <col min="121" max="121" width="8.140625" style="1" hidden="1" customWidth="1"/>
    <col min="122" max="122" width="29.28515625" style="1" hidden="1" customWidth="1"/>
    <col min="123" max="123" width="18.5703125" style="1" hidden="1" customWidth="1"/>
    <col min="124" max="124" width="12.28515625" style="1" hidden="1" customWidth="1"/>
    <col min="125" max="125" width="11.5703125" style="1" hidden="1" customWidth="1"/>
    <col min="126" max="126" width="9.140625" style="1" hidden="1" customWidth="1"/>
    <col min="127" max="127" width="25.7109375" style="1" hidden="1" customWidth="1"/>
    <col min="128" max="128" width="11.5703125" style="1" hidden="1" customWidth="1"/>
    <col min="129" max="129" width="9.140625" style="1" hidden="1" customWidth="1"/>
    <col min="130" max="130" width="20.140625" style="1" hidden="1" customWidth="1"/>
    <col min="131" max="131" width="9.140625" style="1" hidden="1" customWidth="1"/>
    <col min="132" max="132" width="20.140625" style="1" hidden="1" customWidth="1"/>
    <col min="133" max="133" width="14.140625" style="1" hidden="1" customWidth="1"/>
    <col min="134" max="134" width="9.85546875" style="1" hidden="1" customWidth="1"/>
    <col min="135" max="135" width="11.5703125" style="1" hidden="1" customWidth="1"/>
    <col min="136" max="136" width="10.5703125" style="1" hidden="1" customWidth="1"/>
    <col min="137" max="137" width="31.42578125" style="1" hidden="1" customWidth="1"/>
    <col min="138" max="138" width="18.140625" style="1" hidden="1" customWidth="1"/>
    <col min="139" max="139" width="15.5703125" style="1" hidden="1" customWidth="1"/>
    <col min="140" max="140" width="9.140625" style="1" hidden="1" customWidth="1"/>
    <col min="141" max="141" width="20.85546875" style="1" hidden="1" customWidth="1"/>
    <col min="142" max="142" width="23.28515625" style="1" hidden="1" customWidth="1"/>
    <col min="143" max="143" width="9.140625" style="1" hidden="1" customWidth="1"/>
    <col min="144" max="144" width="15.5703125" style="1" hidden="1" customWidth="1"/>
    <col min="145" max="145" width="20.140625" style="1" hidden="1" customWidth="1"/>
    <col min="146" max="146" width="19" style="1" hidden="1" customWidth="1"/>
    <col min="147" max="147" width="10.5703125" style="1" hidden="1" customWidth="1"/>
    <col min="148" max="149" width="9.140625" style="1" hidden="1" customWidth="1"/>
    <col min="150" max="150" width="21.85546875" style="1" hidden="1" customWidth="1"/>
    <col min="151" max="152" width="19.42578125" style="1" hidden="1" customWidth="1"/>
    <col min="153" max="153" width="21.85546875" style="1" hidden="1" customWidth="1"/>
    <col min="154" max="154" width="16.7109375" style="1" hidden="1" customWidth="1"/>
    <col min="155" max="155" width="17.5703125" style="1" hidden="1" customWidth="1"/>
    <col min="156" max="156" width="21.28515625" style="1" hidden="1" customWidth="1"/>
    <col min="157" max="157" width="14.7109375" style="1" hidden="1" customWidth="1"/>
    <col min="158" max="159" width="9.140625" style="1" hidden="1" customWidth="1"/>
    <col min="160" max="160" width="0" style="1" hidden="1" customWidth="1"/>
    <col min="161" max="161" width="20.140625" style="1" hidden="1" customWidth="1"/>
    <col min="162" max="162" width="21.140625" style="1" hidden="1" customWidth="1"/>
    <col min="163" max="165" width="0" style="1" hidden="1" customWidth="1"/>
    <col min="166" max="166" width="20.140625" style="1" hidden="1" customWidth="1"/>
    <col min="167" max="167" width="21.7109375" style="1" hidden="1" customWidth="1"/>
    <col min="168" max="168" width="15.42578125" style="1" hidden="1" customWidth="1"/>
    <col min="169" max="170" width="11.5703125" style="1" hidden="1" customWidth="1"/>
    <col min="171" max="171" width="31.5703125" style="1" hidden="1" customWidth="1"/>
    <col min="172" max="172" width="20" style="1" hidden="1" customWidth="1"/>
    <col min="173" max="173" width="17.5703125" style="1" hidden="1" customWidth="1"/>
    <col min="174" max="174" width="23.7109375" style="1" hidden="1" customWidth="1"/>
    <col min="175" max="175" width="18.42578125" style="1" hidden="1" customWidth="1"/>
    <col min="176" max="178" width="0" style="1" hidden="1" customWidth="1"/>
    <col min="179" max="179" width="20.7109375" style="1" hidden="1" customWidth="1"/>
    <col min="180" max="180" width="26.85546875" style="1" hidden="1" customWidth="1"/>
    <col min="181" max="182" width="0" style="1" hidden="1" customWidth="1"/>
    <col min="183" max="183" width="20.140625" style="1" hidden="1" customWidth="1"/>
    <col min="184" max="184" width="29.85546875" style="1" hidden="1" customWidth="1"/>
    <col min="185" max="186" width="0" style="1" hidden="1" customWidth="1"/>
    <col min="187" max="187" width="2.42578125" style="1" hidden="1" customWidth="1"/>
    <col min="188" max="188" width="27.85546875" style="1" hidden="1" customWidth="1"/>
    <col min="189" max="190" width="24.140625" style="1" hidden="1" customWidth="1"/>
    <col min="191" max="191" width="26.140625" style="1" hidden="1" customWidth="1"/>
    <col min="192" max="192" width="15.7109375" style="1" hidden="1" customWidth="1"/>
    <col min="193" max="193" width="19.7109375" style="1" hidden="1" customWidth="1"/>
    <col min="194" max="194" width="31.85546875" style="1" hidden="1" customWidth="1"/>
    <col min="195" max="195" width="15.7109375" style="1" hidden="1" customWidth="1"/>
    <col min="196" max="196" width="20.85546875" style="1" hidden="1" customWidth="1"/>
    <col min="197" max="197" width="30.28515625" style="1" hidden="1" customWidth="1"/>
    <col min="198" max="198" width="26.7109375" style="1" hidden="1" customWidth="1"/>
    <col min="199" max="199" width="12.28515625" style="1" hidden="1" customWidth="1"/>
    <col min="200" max="200" width="0" style="1" hidden="1" customWidth="1"/>
    <col min="201" max="201" width="25.7109375" style="1" customWidth="1"/>
    <col min="202" max="202" width="42.140625" style="1" customWidth="1"/>
    <col min="203" max="204" width="23.42578125" style="1" customWidth="1"/>
    <col min="205" max="205" width="21" style="1" bestFit="1" customWidth="1"/>
    <col min="206" max="206" width="27.85546875" style="1" customWidth="1"/>
    <col min="207" max="209" width="9.140625" style="1"/>
    <col min="210" max="210" width="22.7109375" style="1" bestFit="1" customWidth="1"/>
    <col min="211" max="211" width="18.42578125" style="1" customWidth="1"/>
    <col min="212" max="212" width="11.28515625" style="1" bestFit="1" customWidth="1"/>
    <col min="213" max="213" width="11.42578125" style="1" customWidth="1"/>
    <col min="214" max="214" width="17" style="1" customWidth="1"/>
    <col min="215" max="215" width="16.140625" style="1" customWidth="1"/>
    <col min="216" max="218" width="9.140625" style="1"/>
    <col min="219" max="219" width="29.5703125" style="1" bestFit="1" customWidth="1"/>
    <col min="220" max="220" width="20.5703125" style="1" customWidth="1"/>
    <col min="221" max="221" width="18.7109375" style="1" bestFit="1" customWidth="1"/>
    <col min="222" max="222" width="29.5703125" style="1" bestFit="1" customWidth="1"/>
    <col min="223" max="223" width="20.5703125" style="1" customWidth="1"/>
    <col min="224" max="224" width="16.5703125" style="1" bestFit="1" customWidth="1"/>
    <col min="225" max="225" width="9.140625" style="1"/>
    <col min="226" max="226" width="29.5703125" style="1" bestFit="1" customWidth="1"/>
    <col min="227" max="227" width="12.7109375" style="1" bestFit="1" customWidth="1"/>
    <col min="228" max="228" width="16.5703125" style="1" bestFit="1" customWidth="1"/>
    <col min="229" max="229" width="11.28515625" style="1" bestFit="1" customWidth="1"/>
    <col min="230" max="230" width="26.7109375" style="1" customWidth="1"/>
    <col min="231" max="231" width="20.85546875" style="1" customWidth="1"/>
    <col min="232" max="234" width="9.140625" style="1"/>
    <col min="235" max="235" width="25.7109375" style="1" customWidth="1"/>
    <col min="236" max="236" width="42.140625" style="1" customWidth="1"/>
    <col min="237" max="237" width="23.42578125" style="1" customWidth="1"/>
    <col min="238" max="238" width="5.5703125" style="1" customWidth="1"/>
    <col min="239" max="239" width="29.5703125" style="1" bestFit="1" customWidth="1"/>
    <col min="240" max="240" width="12.28515625" style="1" bestFit="1" customWidth="1"/>
    <col min="241" max="241" width="18.7109375" style="1" bestFit="1" customWidth="1"/>
    <col min="242" max="242" width="9.140625" style="1"/>
    <col min="243" max="243" width="29.5703125" style="1" bestFit="1" customWidth="1"/>
    <col min="244" max="244" width="20.85546875" style="1" customWidth="1"/>
    <col min="245" max="245" width="18.7109375" style="1" bestFit="1" customWidth="1"/>
    <col min="246" max="246" width="22" style="1" bestFit="1" customWidth="1"/>
    <col min="247" max="247" width="19.140625" style="1" customWidth="1"/>
    <col min="248" max="250" width="9.140625" style="1"/>
    <col min="251" max="251" width="21" style="1" bestFit="1" customWidth="1"/>
    <col min="252" max="252" width="12.7109375" style="1" bestFit="1" customWidth="1"/>
    <col min="253" max="253" width="18.7109375" style="1" bestFit="1" customWidth="1"/>
    <col min="254" max="254" width="9.140625" style="1"/>
    <col min="255" max="255" width="25.7109375" style="1" customWidth="1"/>
    <col min="256" max="256" width="15" style="1" customWidth="1"/>
    <col min="257" max="257" width="27" style="1" customWidth="1"/>
    <col min="258" max="258" width="23.140625" style="1" bestFit="1" customWidth="1"/>
    <col min="259" max="259" width="19.85546875" style="1" customWidth="1"/>
    <col min="260" max="260" width="18.7109375" style="1" bestFit="1" customWidth="1"/>
    <col min="261" max="261" width="9.140625" style="1"/>
    <col min="262" max="262" width="29.5703125" style="1" customWidth="1"/>
    <col min="263" max="263" width="22.85546875" style="1" customWidth="1"/>
    <col min="264" max="264" width="12.28515625" style="1" bestFit="1" customWidth="1"/>
    <col min="265" max="265" width="22.42578125" style="1" customWidth="1"/>
    <col min="266" max="266" width="17.85546875" style="1" customWidth="1"/>
    <col min="267" max="267" width="16.5703125" style="1" bestFit="1" customWidth="1"/>
    <col min="268" max="268" width="9.140625" style="1"/>
    <col min="269" max="269" width="21" style="1" bestFit="1" customWidth="1"/>
    <col min="270" max="270" width="22.85546875" style="1" customWidth="1"/>
    <col min="271" max="271" width="18.7109375" style="1" bestFit="1" customWidth="1"/>
    <col min="272" max="272" width="12.28515625" style="1" bestFit="1" customWidth="1"/>
    <col min="273" max="275" width="9.140625" style="1"/>
    <col min="276" max="276" width="21" style="1" bestFit="1" customWidth="1"/>
    <col min="277" max="277" width="12.28515625" style="1" bestFit="1" customWidth="1"/>
    <col min="278" max="278" width="18.7109375" style="1" bestFit="1" customWidth="1"/>
    <col min="279" max="279" width="29.5703125" style="1" bestFit="1" customWidth="1"/>
    <col min="280" max="280" width="12.28515625" style="1" bestFit="1" customWidth="1"/>
    <col min="281" max="281" width="24.140625" style="1" customWidth="1"/>
    <col min="282" max="282" width="21" style="1" bestFit="1" customWidth="1"/>
    <col min="283" max="283" width="26.85546875" style="1" customWidth="1"/>
    <col min="284" max="284" width="12.28515625" style="1" bestFit="1" customWidth="1"/>
    <col min="285" max="286" width="9.140625" style="1"/>
    <col min="287" max="287" width="28.7109375" style="1" customWidth="1"/>
    <col min="288" max="288" width="43.140625" style="1" bestFit="1" customWidth="1"/>
    <col min="289" max="289" width="19.140625" style="1" bestFit="1" customWidth="1"/>
    <col min="290" max="290" width="9.140625" style="1"/>
    <col min="291" max="291" width="29.5703125" style="1" bestFit="1" customWidth="1"/>
    <col min="292" max="292" width="22" style="1" customWidth="1"/>
    <col min="293" max="295" width="9.140625" style="1"/>
    <col min="296" max="296" width="10.5703125" style="1" bestFit="1" customWidth="1"/>
    <col min="297" max="297" width="27.42578125" style="1" bestFit="1" customWidth="1"/>
    <col min="298" max="298" width="32.5703125" style="1" customWidth="1"/>
    <col min="299" max="299" width="21.7109375" style="1" bestFit="1" customWidth="1"/>
    <col min="300" max="300" width="40.5703125" style="1" bestFit="1" customWidth="1"/>
    <col min="301" max="301" width="34.140625" style="1" customWidth="1"/>
    <col min="302" max="302" width="17.42578125" style="1" bestFit="1" customWidth="1"/>
    <col min="303" max="303" width="41" style="1" customWidth="1"/>
    <col min="304" max="304" width="32.5703125" style="1" customWidth="1"/>
    <col min="305" max="305" width="20.140625" style="1" bestFit="1" customWidth="1"/>
    <col min="306" max="306" width="33.85546875" style="1" customWidth="1"/>
    <col min="307" max="307" width="31.140625" style="1" customWidth="1"/>
    <col min="308" max="308" width="21.7109375" style="1" customWidth="1"/>
    <col min="309" max="309" width="9.140625" style="1"/>
    <col min="310" max="310" width="29.5703125" style="1" bestFit="1" customWidth="1"/>
    <col min="311" max="311" width="42.28515625" style="1" customWidth="1"/>
    <col min="312" max="312" width="11.5703125" style="1" bestFit="1" customWidth="1"/>
    <col min="313" max="16384" width="9.140625" style="1"/>
  </cols>
  <sheetData>
    <row r="1" spans="1:314" x14ac:dyDescent="0.25">
      <c r="A1" s="2" t="s">
        <v>0</v>
      </c>
      <c r="B1" s="2" t="s">
        <v>3</v>
      </c>
      <c r="C1" s="8" t="s">
        <v>1</v>
      </c>
      <c r="D1" s="8" t="s">
        <v>51</v>
      </c>
      <c r="E1" s="2" t="s">
        <v>52</v>
      </c>
      <c r="H1" s="3" t="s">
        <v>57</v>
      </c>
      <c r="I1" s="3"/>
      <c r="J1" s="3"/>
      <c r="K1" s="35" t="s">
        <v>103</v>
      </c>
      <c r="L1" s="35"/>
      <c r="M1" s="3"/>
      <c r="N1" s="3" t="s">
        <v>62</v>
      </c>
      <c r="O1" s="3"/>
      <c r="P1" s="3"/>
      <c r="Q1" s="3" t="s">
        <v>106</v>
      </c>
      <c r="R1" s="3"/>
      <c r="S1" s="3"/>
      <c r="T1" s="2" t="s">
        <v>119</v>
      </c>
      <c r="W1" s="2" t="s">
        <v>113</v>
      </c>
      <c r="Z1" s="36" t="s">
        <v>118</v>
      </c>
      <c r="AC1" s="2" t="s">
        <v>120</v>
      </c>
      <c r="AF1" s="2" t="s">
        <v>237</v>
      </c>
      <c r="AI1" s="36" t="s">
        <v>122</v>
      </c>
      <c r="AL1" s="2" t="s">
        <v>127</v>
      </c>
      <c r="AO1" s="2" t="s">
        <v>129</v>
      </c>
      <c r="AR1" s="94" t="s">
        <v>374</v>
      </c>
      <c r="AV1" s="94" t="s">
        <v>389</v>
      </c>
      <c r="AY1" s="94" t="s">
        <v>392</v>
      </c>
      <c r="BB1" s="94" t="s">
        <v>396</v>
      </c>
      <c r="BE1" s="94" t="s">
        <v>400</v>
      </c>
      <c r="BH1" s="94" t="s">
        <v>419</v>
      </c>
      <c r="BK1" s="101" t="s">
        <v>407</v>
      </c>
      <c r="BN1" s="101" t="s">
        <v>410</v>
      </c>
      <c r="BO1" s="80"/>
      <c r="BQ1" s="101" t="s">
        <v>411</v>
      </c>
      <c r="BR1" s="80"/>
      <c r="BT1" s="101" t="s">
        <v>416</v>
      </c>
      <c r="BU1" s="80"/>
      <c r="BW1" s="101" t="s">
        <v>421</v>
      </c>
      <c r="BX1" s="80"/>
      <c r="CA1" s="101" t="s">
        <v>429</v>
      </c>
      <c r="CE1" s="101" t="s">
        <v>443</v>
      </c>
      <c r="CI1" s="101" t="s">
        <v>449</v>
      </c>
      <c r="CJ1" s="80"/>
      <c r="CM1" s="101" t="s">
        <v>461</v>
      </c>
      <c r="CR1" s="101" t="s">
        <v>464</v>
      </c>
      <c r="CV1" s="101" t="s">
        <v>470</v>
      </c>
      <c r="DA1" s="101" t="s">
        <v>479</v>
      </c>
      <c r="DF1" s="101" t="s">
        <v>475</v>
      </c>
      <c r="DJ1" s="101" t="s">
        <v>495</v>
      </c>
      <c r="DN1" s="101" t="s">
        <v>501</v>
      </c>
      <c r="DO1" s="80"/>
      <c r="DP1" s="80"/>
      <c r="DR1" s="101" t="s">
        <v>514</v>
      </c>
      <c r="DS1" s="80"/>
      <c r="DT1" s="80"/>
      <c r="DW1" s="234" t="s">
        <v>515</v>
      </c>
      <c r="DX1" s="234"/>
      <c r="EB1" s="234" t="s">
        <v>536</v>
      </c>
      <c r="EC1" s="234"/>
      <c r="EG1" s="234" t="s">
        <v>542</v>
      </c>
      <c r="EH1" s="234"/>
      <c r="EK1" s="234" t="s">
        <v>549</v>
      </c>
      <c r="EL1" s="234"/>
      <c r="EO1" s="234" t="s">
        <v>552</v>
      </c>
      <c r="EP1" s="234"/>
      <c r="ET1" s="234" t="s">
        <v>757</v>
      </c>
      <c r="EU1" s="234"/>
      <c r="EW1" s="234" t="s">
        <v>758</v>
      </c>
      <c r="EX1" s="234"/>
      <c r="EZ1" s="234" t="s">
        <v>766</v>
      </c>
      <c r="FA1" s="234"/>
      <c r="FE1" s="234" t="s">
        <v>769</v>
      </c>
      <c r="FF1" s="234"/>
      <c r="FJ1" s="234" t="s">
        <v>772</v>
      </c>
      <c r="FK1" s="234"/>
      <c r="FO1" s="234" t="s">
        <v>780</v>
      </c>
      <c r="FP1" s="234"/>
      <c r="FR1" s="234" t="s">
        <v>795</v>
      </c>
      <c r="FS1" s="234"/>
      <c r="FW1" s="234" t="s">
        <v>799</v>
      </c>
      <c r="FX1" s="234"/>
      <c r="GA1" s="234" t="s">
        <v>801</v>
      </c>
      <c r="GB1" s="234"/>
      <c r="GF1" s="234" t="s">
        <v>804</v>
      </c>
      <c r="GG1" s="234"/>
      <c r="GI1" s="234" t="s">
        <v>806</v>
      </c>
      <c r="GJ1" s="234"/>
      <c r="GL1" s="234" t="s">
        <v>821</v>
      </c>
      <c r="GM1" s="234"/>
      <c r="GO1" s="234" t="s">
        <v>822</v>
      </c>
      <c r="GP1" s="234"/>
      <c r="GS1" s="234" t="s">
        <v>828</v>
      </c>
      <c r="GT1" s="234"/>
      <c r="GW1" s="234" t="s">
        <v>829</v>
      </c>
      <c r="GX1" s="234"/>
      <c r="HB1" s="234" t="s">
        <v>836</v>
      </c>
      <c r="HC1" s="234"/>
      <c r="HF1" s="234" t="s">
        <v>837</v>
      </c>
      <c r="HG1" s="234"/>
      <c r="HK1" s="234" t="s">
        <v>842</v>
      </c>
      <c r="HL1" s="234"/>
      <c r="HN1" s="234" t="s">
        <v>843</v>
      </c>
      <c r="HO1" s="234"/>
      <c r="HR1" s="234" t="s">
        <v>845</v>
      </c>
      <c r="HS1" s="234"/>
      <c r="HV1" s="234" t="s">
        <v>848</v>
      </c>
      <c r="HW1" s="234"/>
      <c r="IA1" s="234" t="s">
        <v>850</v>
      </c>
      <c r="IB1" s="234"/>
      <c r="IE1" s="234" t="s">
        <v>852</v>
      </c>
      <c r="IF1" s="234"/>
      <c r="II1" s="234" t="s">
        <v>856</v>
      </c>
      <c r="IJ1" s="234"/>
      <c r="IL1" s="234" t="s">
        <v>858</v>
      </c>
      <c r="IM1" s="234"/>
      <c r="IQ1" s="234" t="s">
        <v>859</v>
      </c>
      <c r="IR1" s="234"/>
      <c r="IU1" s="234" t="s">
        <v>860</v>
      </c>
      <c r="IV1" s="234"/>
      <c r="IX1" s="234" t="s">
        <v>862</v>
      </c>
      <c r="IY1" s="234"/>
      <c r="JB1" s="234" t="s">
        <v>871</v>
      </c>
      <c r="JC1" s="234"/>
      <c r="JE1" s="234" t="s">
        <v>874</v>
      </c>
      <c r="JF1" s="234"/>
      <c r="JI1" s="234" t="s">
        <v>887</v>
      </c>
      <c r="JJ1" s="234"/>
      <c r="JP1" s="234" t="s">
        <v>893</v>
      </c>
      <c r="JQ1" s="234"/>
      <c r="JS1" s="234" t="s">
        <v>895</v>
      </c>
      <c r="JT1" s="234"/>
      <c r="JV1" s="234" t="s">
        <v>942</v>
      </c>
      <c r="JW1" s="234"/>
      <c r="KA1" s="234" t="s">
        <v>947</v>
      </c>
      <c r="KB1" s="234"/>
      <c r="KE1" s="234" t="s">
        <v>951</v>
      </c>
      <c r="KF1" s="234"/>
      <c r="KK1" s="234" t="s">
        <v>983</v>
      </c>
      <c r="KL1" s="234"/>
      <c r="KN1" s="234" t="s">
        <v>991</v>
      </c>
      <c r="KO1" s="234"/>
      <c r="KQ1" s="234" t="s">
        <v>998</v>
      </c>
      <c r="KR1" s="234"/>
      <c r="KT1" s="234" t="s">
        <v>1005</v>
      </c>
      <c r="KU1" s="234"/>
      <c r="KX1" s="234" t="s">
        <v>1011</v>
      </c>
      <c r="KY1" s="234"/>
    </row>
    <row r="2" spans="1:314" x14ac:dyDescent="0.25">
      <c r="A2" s="1" t="s">
        <v>2</v>
      </c>
      <c r="B2" s="1" t="s">
        <v>4</v>
      </c>
      <c r="C2" s="4">
        <v>2741.43</v>
      </c>
      <c r="D2" s="9">
        <f>C2</f>
        <v>2741.43</v>
      </c>
      <c r="H2" s="20" t="s">
        <v>58</v>
      </c>
      <c r="I2" s="18">
        <v>3309.22</v>
      </c>
      <c r="J2" s="18"/>
      <c r="K2" s="20" t="s">
        <v>58</v>
      </c>
      <c r="L2" s="18">
        <v>0</v>
      </c>
      <c r="M2" s="18"/>
      <c r="N2" s="20" t="s">
        <v>58</v>
      </c>
      <c r="O2" s="19">
        <v>2306.16</v>
      </c>
      <c r="P2" s="18"/>
      <c r="Q2" s="20" t="s">
        <v>58</v>
      </c>
      <c r="R2" s="19">
        <v>0</v>
      </c>
      <c r="S2" s="18"/>
      <c r="T2" s="20" t="s">
        <v>58</v>
      </c>
      <c r="U2" s="3">
        <v>1792.21</v>
      </c>
      <c r="W2" s="20" t="s">
        <v>58</v>
      </c>
      <c r="X2" s="19">
        <v>0</v>
      </c>
      <c r="Z2" s="20" t="s">
        <v>58</v>
      </c>
      <c r="AA2" s="19">
        <v>2306.15</v>
      </c>
      <c r="AC2" s="20" t="s">
        <v>264</v>
      </c>
      <c r="AD2" s="19">
        <v>400</v>
      </c>
      <c r="AF2" s="20" t="s">
        <v>58</v>
      </c>
      <c r="AG2" s="19">
        <v>0</v>
      </c>
      <c r="AI2" s="20" t="s">
        <v>58</v>
      </c>
      <c r="AJ2" s="19">
        <v>2338.59</v>
      </c>
      <c r="AL2" s="20" t="s">
        <v>58</v>
      </c>
      <c r="AM2" s="19">
        <v>0</v>
      </c>
      <c r="AO2" s="20" t="s">
        <v>58</v>
      </c>
      <c r="AP2" s="19">
        <v>0</v>
      </c>
      <c r="AR2" s="2" t="s">
        <v>373</v>
      </c>
      <c r="AS2" s="4">
        <v>5475.85</v>
      </c>
      <c r="AV2" s="2" t="s">
        <v>373</v>
      </c>
      <c r="AW2" s="4">
        <v>1997.08</v>
      </c>
      <c r="AY2" s="2" t="s">
        <v>373</v>
      </c>
      <c r="AZ2" s="4">
        <v>3438.63</v>
      </c>
      <c r="BB2" s="2" t="s">
        <v>373</v>
      </c>
      <c r="BC2" s="4">
        <v>2919.48</v>
      </c>
      <c r="BE2" s="2" t="s">
        <v>373</v>
      </c>
      <c r="BF2" s="5">
        <v>3389.89</v>
      </c>
      <c r="BH2" s="2" t="s">
        <v>414</v>
      </c>
      <c r="BI2" s="5">
        <v>2831.1</v>
      </c>
      <c r="BK2" s="2" t="s">
        <v>413</v>
      </c>
      <c r="BL2" s="5"/>
      <c r="BN2" s="2" t="s">
        <v>373</v>
      </c>
      <c r="BO2" s="5">
        <v>3344.11</v>
      </c>
      <c r="BP2" s="5">
        <f>BO2-BO9</f>
        <v>622.98</v>
      </c>
      <c r="BQ2" s="2" t="s">
        <v>412</v>
      </c>
      <c r="BR2" s="5">
        <f>BI2</f>
        <v>2831.1</v>
      </c>
      <c r="BT2" s="2" t="s">
        <v>415</v>
      </c>
      <c r="BU2" s="5">
        <f>BL2</f>
        <v>0</v>
      </c>
      <c r="BW2" s="2" t="s">
        <v>415</v>
      </c>
      <c r="BX2" s="5">
        <v>3205</v>
      </c>
      <c r="BY2" s="4">
        <v>2531.1</v>
      </c>
      <c r="CA2" s="2" t="s">
        <v>430</v>
      </c>
      <c r="CB2" s="4">
        <v>5680.93</v>
      </c>
      <c r="CE2" s="2" t="s">
        <v>430</v>
      </c>
      <c r="CF2" s="4">
        <v>5530.52</v>
      </c>
      <c r="CI2" s="2" t="s">
        <v>430</v>
      </c>
      <c r="CJ2" s="4">
        <v>5651.61</v>
      </c>
      <c r="CM2" s="2" t="s">
        <v>430</v>
      </c>
      <c r="CN2" s="4">
        <v>5101.43</v>
      </c>
      <c r="CR2" s="2" t="s">
        <v>430</v>
      </c>
      <c r="CS2" s="4">
        <v>2450</v>
      </c>
      <c r="CV2" s="2" t="s">
        <v>430</v>
      </c>
      <c r="CW2" s="4">
        <v>4150.3599999999997</v>
      </c>
      <c r="DA2" s="2" t="s">
        <v>430</v>
      </c>
      <c r="DB2" s="115">
        <f>2225.99+560.99</f>
        <v>2786.9799999999996</v>
      </c>
      <c r="DF2" s="2" t="s">
        <v>430</v>
      </c>
      <c r="DG2" s="4">
        <v>3414.57</v>
      </c>
      <c r="DJ2" s="2" t="s">
        <v>430</v>
      </c>
      <c r="DK2" s="4">
        <v>2618.71</v>
      </c>
      <c r="DN2" s="2" t="s">
        <v>430</v>
      </c>
      <c r="DO2" s="4">
        <v>3649.39</v>
      </c>
      <c r="DR2" s="2" t="s">
        <v>430</v>
      </c>
      <c r="DS2" s="4">
        <v>2335.17</v>
      </c>
      <c r="DW2" s="2" t="s">
        <v>430</v>
      </c>
      <c r="DX2" s="4">
        <v>2956.82</v>
      </c>
      <c r="EB2" s="2" t="s">
        <v>430</v>
      </c>
      <c r="EC2" s="4">
        <v>537</v>
      </c>
      <c r="EG2" s="2" t="s">
        <v>430</v>
      </c>
      <c r="EH2" s="4">
        <v>3293.02</v>
      </c>
      <c r="EK2" s="2" t="s">
        <v>430</v>
      </c>
      <c r="EL2" s="4">
        <v>1190.8599999999999</v>
      </c>
      <c r="EO2" s="2" t="s">
        <v>430</v>
      </c>
      <c r="EP2" s="4">
        <v>999.78</v>
      </c>
      <c r="ET2" s="2" t="s">
        <v>430</v>
      </c>
      <c r="EU2" s="4">
        <v>1323.46</v>
      </c>
      <c r="EW2" s="2" t="s">
        <v>759</v>
      </c>
      <c r="EX2" s="4">
        <v>1442</v>
      </c>
      <c r="EZ2" s="2" t="s">
        <v>759</v>
      </c>
      <c r="FA2" s="4">
        <v>1323.46</v>
      </c>
      <c r="FE2" s="2" t="s">
        <v>759</v>
      </c>
      <c r="FF2" s="4"/>
      <c r="FJ2" s="2" t="s">
        <v>759</v>
      </c>
      <c r="FO2" s="2" t="s">
        <v>759</v>
      </c>
      <c r="FR2" s="2" t="s">
        <v>759</v>
      </c>
      <c r="FW2" s="2" t="s">
        <v>800</v>
      </c>
      <c r="FX2" s="4">
        <v>1291</v>
      </c>
      <c r="GA2" s="2" t="s">
        <v>800</v>
      </c>
      <c r="GB2" s="72">
        <v>1100</v>
      </c>
      <c r="GF2" s="2" t="s">
        <v>800</v>
      </c>
      <c r="GG2" s="72"/>
      <c r="GI2" s="2" t="s">
        <v>800</v>
      </c>
      <c r="GJ2" s="72"/>
      <c r="GL2" s="2" t="s">
        <v>102</v>
      </c>
      <c r="GM2" s="72">
        <v>500</v>
      </c>
      <c r="GO2" s="2" t="s">
        <v>102</v>
      </c>
      <c r="GP2" s="72">
        <v>500</v>
      </c>
      <c r="GS2" s="2" t="s">
        <v>102</v>
      </c>
      <c r="GT2" s="6">
        <v>500</v>
      </c>
      <c r="GW2" s="2" t="s">
        <v>102</v>
      </c>
      <c r="GX2" s="1">
        <v>500</v>
      </c>
      <c r="HB2" s="2" t="s">
        <v>102</v>
      </c>
      <c r="HC2" s="49">
        <v>500</v>
      </c>
      <c r="HD2" s="1" t="s">
        <v>841</v>
      </c>
      <c r="HF2" s="2" t="s">
        <v>838</v>
      </c>
      <c r="HG2" s="4"/>
      <c r="HK2" s="2" t="s">
        <v>838</v>
      </c>
      <c r="HL2" s="4"/>
      <c r="HN2" s="2" t="s">
        <v>838</v>
      </c>
      <c r="HO2" s="4"/>
      <c r="HP2" s="1" t="s">
        <v>844</v>
      </c>
      <c r="HR2" s="2" t="s">
        <v>838</v>
      </c>
      <c r="HS2" s="4"/>
      <c r="HV2" s="2" t="s">
        <v>838</v>
      </c>
      <c r="HW2" s="4">
        <v>1097.3499999999999</v>
      </c>
      <c r="IA2" s="2" t="s">
        <v>102</v>
      </c>
      <c r="IB2" s="6"/>
      <c r="IE2" s="2" t="s">
        <v>853</v>
      </c>
      <c r="IF2" s="199">
        <v>45590</v>
      </c>
      <c r="II2" s="2" t="s">
        <v>853</v>
      </c>
      <c r="IJ2" s="199">
        <v>45590</v>
      </c>
      <c r="IL2" s="2" t="s">
        <v>853</v>
      </c>
      <c r="IM2" s="199"/>
      <c r="IQ2" s="2" t="s">
        <v>853</v>
      </c>
      <c r="IR2" s="199"/>
      <c r="IU2" s="2" t="s">
        <v>853</v>
      </c>
      <c r="IV2" s="199"/>
      <c r="IX2" s="2" t="s">
        <v>853</v>
      </c>
      <c r="IY2" s="199"/>
      <c r="JB2" s="2" t="s">
        <v>853</v>
      </c>
      <c r="JE2" s="2" t="s">
        <v>853</v>
      </c>
      <c r="JI2" s="2" t="s">
        <v>853</v>
      </c>
      <c r="JJ2" s="4"/>
      <c r="JP2" s="2" t="s">
        <v>853</v>
      </c>
      <c r="JQ2" s="4"/>
      <c r="JS2" s="2" t="s">
        <v>853</v>
      </c>
      <c r="JT2" s="4"/>
      <c r="JV2" s="2" t="s">
        <v>853</v>
      </c>
      <c r="JW2" s="4"/>
      <c r="KK2" s="2" t="s">
        <v>473</v>
      </c>
      <c r="KL2" s="4">
        <v>1026</v>
      </c>
      <c r="KM2" s="5"/>
      <c r="KN2" s="2" t="s">
        <v>473</v>
      </c>
      <c r="KO2" s="4">
        <v>626</v>
      </c>
      <c r="KP2" s="5"/>
      <c r="KQ2" s="2" t="s">
        <v>473</v>
      </c>
      <c r="KR2" s="4">
        <v>1009.88</v>
      </c>
      <c r="KS2" s="5"/>
      <c r="KT2" s="2" t="s">
        <v>473</v>
      </c>
      <c r="KU2" s="4">
        <v>409.88</v>
      </c>
      <c r="KX2" s="2" t="s">
        <v>473</v>
      </c>
      <c r="KY2" s="4">
        <v>962</v>
      </c>
      <c r="KZ2" s="5"/>
    </row>
    <row r="3" spans="1:314" x14ac:dyDescent="0.25">
      <c r="A3" s="1" t="s">
        <v>5</v>
      </c>
      <c r="B3" s="1" t="s">
        <v>6</v>
      </c>
      <c r="C3" s="9">
        <v>22.27</v>
      </c>
      <c r="D3" s="9">
        <f t="shared" ref="D3:D8" si="0">C3</f>
        <v>22.27</v>
      </c>
      <c r="H3" s="20"/>
      <c r="I3" s="18"/>
      <c r="J3" s="18"/>
      <c r="K3" s="20" t="s">
        <v>102</v>
      </c>
      <c r="L3" s="18">
        <v>0</v>
      </c>
      <c r="M3" s="18"/>
      <c r="N3" s="20" t="s">
        <v>102</v>
      </c>
      <c r="O3" s="19">
        <v>0</v>
      </c>
      <c r="P3" s="18"/>
      <c r="Q3" s="20" t="s">
        <v>102</v>
      </c>
      <c r="R3" s="19">
        <v>504</v>
      </c>
      <c r="S3" s="18"/>
      <c r="T3" s="20" t="s">
        <v>102</v>
      </c>
      <c r="U3" s="3">
        <v>0</v>
      </c>
      <c r="W3" s="20" t="s">
        <v>102</v>
      </c>
      <c r="X3" s="19">
        <v>504</v>
      </c>
      <c r="Z3" s="20" t="s">
        <v>102</v>
      </c>
      <c r="AA3" s="19">
        <v>0</v>
      </c>
      <c r="AC3" s="20" t="s">
        <v>102</v>
      </c>
      <c r="AD3" s="19">
        <v>504</v>
      </c>
      <c r="AF3" s="20" t="s">
        <v>102</v>
      </c>
      <c r="AG3" s="19">
        <v>504</v>
      </c>
      <c r="AI3" s="20" t="s">
        <v>102</v>
      </c>
      <c r="AJ3" s="19">
        <v>0</v>
      </c>
      <c r="AL3" s="20" t="s">
        <v>102</v>
      </c>
      <c r="AM3" s="19">
        <v>504</v>
      </c>
      <c r="AO3" s="20" t="s">
        <v>102</v>
      </c>
      <c r="AP3" s="19">
        <v>504</v>
      </c>
      <c r="AR3" s="2" t="s">
        <v>375</v>
      </c>
      <c r="AS3" s="4">
        <v>1300</v>
      </c>
      <c r="AU3" s="5"/>
      <c r="AV3" s="2" t="s">
        <v>375</v>
      </c>
      <c r="AW3" s="4">
        <v>2700</v>
      </c>
      <c r="AY3" s="2" t="s">
        <v>375</v>
      </c>
      <c r="AZ3" s="4">
        <v>2915</v>
      </c>
      <c r="BA3" s="5"/>
      <c r="BB3" s="2" t="s">
        <v>375</v>
      </c>
      <c r="BC3" s="4">
        <v>385</v>
      </c>
      <c r="BD3" s="5">
        <f>BC3+300</f>
        <v>685</v>
      </c>
      <c r="BE3" s="2" t="s">
        <v>375</v>
      </c>
      <c r="BF3" s="5">
        <v>685</v>
      </c>
      <c r="BG3" s="5"/>
      <c r="BH3" s="2" t="s">
        <v>375</v>
      </c>
      <c r="BI3" s="5">
        <f>BF3+BF21</f>
        <v>1685</v>
      </c>
      <c r="BK3" s="2" t="s">
        <v>375</v>
      </c>
      <c r="BL3" s="37">
        <f>BI3+BI21</f>
        <v>2585</v>
      </c>
      <c r="BN3" s="2" t="s">
        <v>375</v>
      </c>
      <c r="BO3" s="37">
        <f>BL3+BL22</f>
        <v>2585</v>
      </c>
      <c r="BP3" s="5">
        <f>BO3-BO9</f>
        <v>-136.13000000000011</v>
      </c>
      <c r="BQ3" s="2" t="s">
        <v>375</v>
      </c>
      <c r="BR3" s="37">
        <f>BP3</f>
        <v>-136.13000000000011</v>
      </c>
      <c r="BS3" s="5"/>
      <c r="BT3" s="2" t="s">
        <v>375</v>
      </c>
      <c r="BU3" s="37">
        <f>BR3+BR21</f>
        <v>463.86999999999989</v>
      </c>
      <c r="BV3" s="5"/>
      <c r="BW3" s="2" t="s">
        <v>375</v>
      </c>
      <c r="BX3" s="37">
        <v>3000</v>
      </c>
      <c r="CA3" s="2" t="s">
        <v>375</v>
      </c>
      <c r="CB3" s="4">
        <v>1975</v>
      </c>
      <c r="CC3" s="5">
        <f>BX9-CB3</f>
        <v>746.13000000000011</v>
      </c>
      <c r="CE3" s="2" t="s">
        <v>375</v>
      </c>
      <c r="CF3" s="4">
        <v>2721</v>
      </c>
      <c r="CI3" s="2" t="s">
        <v>375</v>
      </c>
      <c r="CJ3" s="4">
        <v>2721</v>
      </c>
      <c r="CK3" s="5">
        <f>CJ3+430</f>
        <v>3151</v>
      </c>
      <c r="CM3" s="2" t="s">
        <v>375</v>
      </c>
      <c r="CN3" s="4">
        <v>4111</v>
      </c>
      <c r="CR3" s="2" t="s">
        <v>375</v>
      </c>
      <c r="CS3" s="4">
        <v>4111</v>
      </c>
      <c r="CT3" s="5"/>
      <c r="CV3" s="2" t="s">
        <v>473</v>
      </c>
      <c r="CW3" s="4">
        <v>4385</v>
      </c>
      <c r="CX3" s="5"/>
      <c r="DA3" s="2" t="s">
        <v>473</v>
      </c>
      <c r="DB3" s="4">
        <v>5085</v>
      </c>
      <c r="DC3" s="5"/>
      <c r="DF3" s="2" t="s">
        <v>473</v>
      </c>
      <c r="DG3" s="5">
        <v>5219</v>
      </c>
      <c r="DH3" s="5"/>
      <c r="DJ3" s="2" t="s">
        <v>473</v>
      </c>
      <c r="DK3" s="5">
        <v>5219</v>
      </c>
      <c r="DL3" s="5">
        <f>DK3+DL22</f>
        <v>5856.2366666666667</v>
      </c>
      <c r="DM3" s="5"/>
      <c r="DN3" s="2" t="s">
        <v>473</v>
      </c>
      <c r="DO3" s="4">
        <v>6369</v>
      </c>
      <c r="DP3" s="4"/>
      <c r="DR3" s="2" t="s">
        <v>473</v>
      </c>
      <c r="DS3" s="4">
        <v>7355</v>
      </c>
      <c r="DT3" s="5">
        <f>DS3+DS24</f>
        <v>8020</v>
      </c>
      <c r="DU3" s="5"/>
      <c r="DW3" s="2" t="s">
        <v>473</v>
      </c>
      <c r="DX3" s="4">
        <v>5205</v>
      </c>
      <c r="EB3" s="2" t="s">
        <v>473</v>
      </c>
      <c r="EC3" s="4">
        <v>5605</v>
      </c>
      <c r="EE3" s="5"/>
      <c r="EF3" s="5"/>
      <c r="EG3" s="2" t="s">
        <v>473</v>
      </c>
      <c r="EH3" s="4">
        <v>8445</v>
      </c>
      <c r="EI3" s="5"/>
      <c r="EK3" s="2" t="s">
        <v>473</v>
      </c>
      <c r="EO3" s="2" t="s">
        <v>473</v>
      </c>
      <c r="EP3" s="4">
        <f>8445-500-600</f>
        <v>7345</v>
      </c>
      <c r="EQ3" s="5"/>
      <c r="ER3" s="1">
        <v>2721.13</v>
      </c>
      <c r="ES3" s="5"/>
      <c r="ET3" s="2" t="s">
        <v>473</v>
      </c>
      <c r="EU3" s="4">
        <v>7845</v>
      </c>
      <c r="EV3" s="5"/>
      <c r="EW3" s="2" t="s">
        <v>760</v>
      </c>
      <c r="EX3" s="49">
        <v>2335.17</v>
      </c>
      <c r="EZ3" s="2" t="s">
        <v>760</v>
      </c>
      <c r="FA3" s="49">
        <v>0</v>
      </c>
      <c r="FE3" s="2" t="s">
        <v>760</v>
      </c>
      <c r="FF3" s="4"/>
      <c r="FJ3" s="2" t="s">
        <v>760</v>
      </c>
      <c r="FO3" s="2" t="s">
        <v>760</v>
      </c>
      <c r="FP3" s="49">
        <v>2335.17</v>
      </c>
      <c r="FR3" s="2" t="s">
        <v>788</v>
      </c>
      <c r="FS3" s="72">
        <v>1291</v>
      </c>
      <c r="FT3" s="5"/>
      <c r="FW3" s="2" t="s">
        <v>760</v>
      </c>
      <c r="FX3" s="49">
        <v>2335.17</v>
      </c>
      <c r="GA3" s="2" t="s">
        <v>760</v>
      </c>
      <c r="GF3" s="2" t="s">
        <v>760</v>
      </c>
      <c r="GG3" s="49">
        <v>2335.17</v>
      </c>
      <c r="GI3" s="2" t="s">
        <v>102</v>
      </c>
      <c r="GJ3" s="49">
        <v>500</v>
      </c>
      <c r="GL3" s="2" t="s">
        <v>760</v>
      </c>
      <c r="GM3" s="49">
        <v>2335.17</v>
      </c>
      <c r="GO3" s="2" t="s">
        <v>760</v>
      </c>
      <c r="GP3" s="49"/>
      <c r="GS3" s="2" t="s">
        <v>760</v>
      </c>
      <c r="GT3" s="195">
        <v>2686.85</v>
      </c>
      <c r="GW3" s="2" t="s">
        <v>760</v>
      </c>
      <c r="GX3" s="49"/>
      <c r="HB3" s="2" t="s">
        <v>760</v>
      </c>
      <c r="HF3" s="2" t="s">
        <v>760</v>
      </c>
      <c r="HK3" s="2" t="s">
        <v>760</v>
      </c>
      <c r="HN3" s="2" t="s">
        <v>760</v>
      </c>
      <c r="HO3" s="195">
        <v>2686.85</v>
      </c>
      <c r="HR3" s="2" t="s">
        <v>760</v>
      </c>
      <c r="HS3" s="195"/>
      <c r="HV3" s="2" t="s">
        <v>760</v>
      </c>
      <c r="HW3" s="195"/>
      <c r="IA3" s="2" t="s">
        <v>760</v>
      </c>
      <c r="IB3" s="195"/>
      <c r="IE3" s="2" t="s">
        <v>760</v>
      </c>
      <c r="IF3" s="195"/>
      <c r="II3" s="2" t="s">
        <v>760</v>
      </c>
      <c r="IJ3" s="195"/>
      <c r="IL3" s="2" t="s">
        <v>760</v>
      </c>
      <c r="IM3" s="201">
        <v>45597</v>
      </c>
      <c r="IQ3" s="2" t="s">
        <v>760</v>
      </c>
      <c r="IR3" s="201"/>
      <c r="IU3" s="2" t="s">
        <v>760</v>
      </c>
      <c r="IV3" s="201"/>
      <c r="IX3" s="2" t="s">
        <v>760</v>
      </c>
      <c r="IY3" s="201"/>
      <c r="JB3" s="2" t="s">
        <v>760</v>
      </c>
      <c r="JE3" s="2" t="s">
        <v>760</v>
      </c>
      <c r="JI3" s="2" t="s">
        <v>760</v>
      </c>
      <c r="JJ3" s="4"/>
      <c r="JP3" s="2" t="s">
        <v>760</v>
      </c>
      <c r="JQ3" s="4"/>
      <c r="JS3" s="2" t="s">
        <v>760</v>
      </c>
      <c r="JT3" s="4"/>
      <c r="JV3" s="2" t="s">
        <v>760</v>
      </c>
      <c r="JW3" s="4"/>
      <c r="KK3" s="2" t="s">
        <v>376</v>
      </c>
      <c r="KL3" s="4">
        <v>1262.28</v>
      </c>
      <c r="KN3" s="2" t="s">
        <v>376</v>
      </c>
      <c r="KO3" s="1">
        <v>1287.28</v>
      </c>
      <c r="KQ3" s="2" t="s">
        <v>376</v>
      </c>
      <c r="KR3" s="1">
        <v>1287.29</v>
      </c>
      <c r="KT3" s="2" t="s">
        <v>376</v>
      </c>
      <c r="KU3" s="4">
        <v>1287.29</v>
      </c>
      <c r="KX3" s="2" t="s">
        <v>376</v>
      </c>
      <c r="KY3" s="4">
        <v>1287.29</v>
      </c>
    </row>
    <row r="4" spans="1:314" x14ac:dyDescent="0.25">
      <c r="A4" s="1" t="s">
        <v>7</v>
      </c>
      <c r="B4" s="1" t="s">
        <v>15</v>
      </c>
      <c r="C4" s="9">
        <v>71.819999999999993</v>
      </c>
      <c r="D4" s="9">
        <f t="shared" si="0"/>
        <v>71.819999999999993</v>
      </c>
      <c r="F4" s="4"/>
      <c r="H4" s="29" t="s">
        <v>63</v>
      </c>
      <c r="I4" s="28">
        <f>I2-I7</f>
        <v>587.08999999999969</v>
      </c>
      <c r="J4" s="3"/>
      <c r="K4" s="29" t="s">
        <v>63</v>
      </c>
      <c r="L4" s="3">
        <f>+I25</f>
        <v>26.419999999999732</v>
      </c>
      <c r="M4" s="3"/>
      <c r="N4" s="29" t="s">
        <v>63</v>
      </c>
      <c r="O4" s="28">
        <f>L25</f>
        <v>8.1899999999997313</v>
      </c>
      <c r="P4" s="3"/>
      <c r="Q4" s="29" t="s">
        <v>63</v>
      </c>
      <c r="R4" s="28">
        <f>O25</f>
        <v>1542.5799999999995</v>
      </c>
      <c r="S4" s="3"/>
      <c r="T4" s="29" t="s">
        <v>63</v>
      </c>
      <c r="U4" s="28">
        <f>+R27</f>
        <v>444.70499999999959</v>
      </c>
      <c r="W4" s="29" t="s">
        <v>63</v>
      </c>
      <c r="X4" s="30">
        <f>+U27</f>
        <v>265.66499999999951</v>
      </c>
      <c r="Z4" s="29" t="s">
        <v>63</v>
      </c>
      <c r="AA4" s="28">
        <f>+X27</f>
        <v>270.71249999999975</v>
      </c>
      <c r="AC4" s="29" t="s">
        <v>63</v>
      </c>
      <c r="AD4" s="30">
        <f>+AA27</f>
        <v>907.80249999999978</v>
      </c>
      <c r="AF4" s="29" t="s">
        <v>63</v>
      </c>
      <c r="AG4" s="30">
        <f>+AD27</f>
        <v>364.7824999999998</v>
      </c>
      <c r="AI4" s="29" t="s">
        <v>63</v>
      </c>
      <c r="AJ4" s="28">
        <f>+AG27</f>
        <v>297.0124999999997</v>
      </c>
      <c r="AL4" s="29" t="s">
        <v>63</v>
      </c>
      <c r="AM4" s="30">
        <f>+AJ27</f>
        <v>1811.5425</v>
      </c>
      <c r="AO4" s="29" t="s">
        <v>63</v>
      </c>
      <c r="AP4" s="30">
        <f>82.85+5.42</f>
        <v>88.27</v>
      </c>
      <c r="AR4" s="2" t="s">
        <v>376</v>
      </c>
      <c r="AS4" s="4">
        <v>3805.2</v>
      </c>
      <c r="AT4" s="5" t="e">
        <f>AS4-'Credit Card '!#REF!</f>
        <v>#REF!</v>
      </c>
      <c r="AV4" s="2" t="s">
        <v>376</v>
      </c>
      <c r="AW4" s="4">
        <v>4105.2</v>
      </c>
      <c r="AY4" s="2" t="s">
        <v>376</v>
      </c>
      <c r="AZ4" s="4">
        <v>4355.2</v>
      </c>
      <c r="BB4" s="2" t="s">
        <v>376</v>
      </c>
      <c r="BC4" s="4">
        <v>4655.2299999999996</v>
      </c>
      <c r="BD4" s="5">
        <f>BC4-BC9</f>
        <v>4655.2299999999996</v>
      </c>
      <c r="BE4" s="2" t="s">
        <v>376</v>
      </c>
      <c r="BF4" s="5"/>
      <c r="BH4" s="2" t="s">
        <v>376</v>
      </c>
      <c r="BI4" s="5"/>
      <c r="BK4" s="2" t="s">
        <v>376</v>
      </c>
      <c r="BL4" s="5"/>
      <c r="BN4" s="2" t="s">
        <v>376</v>
      </c>
      <c r="BO4" s="5"/>
      <c r="BQ4" s="2" t="s">
        <v>376</v>
      </c>
      <c r="BR4" s="5"/>
      <c r="BT4" s="2" t="s">
        <v>376</v>
      </c>
      <c r="BU4" s="5"/>
      <c r="BW4" s="2" t="s">
        <v>376</v>
      </c>
      <c r="BX4" s="5"/>
      <c r="CA4" s="2" t="s">
        <v>376</v>
      </c>
      <c r="CB4" s="4">
        <v>1589.53</v>
      </c>
      <c r="CE4" s="2" t="s">
        <v>376</v>
      </c>
      <c r="CF4" s="4">
        <v>1589.53</v>
      </c>
      <c r="CI4" s="2" t="s">
        <v>376</v>
      </c>
      <c r="CJ4" s="4">
        <v>1589.54</v>
      </c>
      <c r="CK4" s="5">
        <f>CJ4+430</f>
        <v>2019.54</v>
      </c>
      <c r="CM4" s="2" t="s">
        <v>376</v>
      </c>
      <c r="CN4" s="4">
        <v>2979.54</v>
      </c>
      <c r="CR4" s="2" t="s">
        <v>376</v>
      </c>
      <c r="CS4" s="4">
        <v>2979.56</v>
      </c>
      <c r="CT4" s="5"/>
      <c r="CV4" s="2" t="s">
        <v>376</v>
      </c>
      <c r="CW4" s="4">
        <v>3253.56</v>
      </c>
      <c r="CX4" s="5"/>
      <c r="DA4" s="2" t="s">
        <v>376</v>
      </c>
      <c r="DB4" s="4">
        <v>3443.56</v>
      </c>
      <c r="DC4" s="5"/>
      <c r="DF4" s="2" t="s">
        <v>376</v>
      </c>
      <c r="DG4" s="5">
        <v>3577.56</v>
      </c>
      <c r="DH4" s="5"/>
      <c r="DJ4" s="2" t="s">
        <v>376</v>
      </c>
      <c r="DK4" s="5">
        <v>3577.56</v>
      </c>
      <c r="DL4" s="5">
        <f>DK4+DL22</f>
        <v>4214.7966666666671</v>
      </c>
      <c r="DM4" s="5"/>
      <c r="DN4" s="2" t="s">
        <v>376</v>
      </c>
      <c r="DO4" s="4">
        <v>3123.51</v>
      </c>
      <c r="DP4" s="4"/>
      <c r="DR4" s="2" t="s">
        <v>376</v>
      </c>
      <c r="DS4" s="4">
        <v>3334.51</v>
      </c>
      <c r="DT4" s="5">
        <f>DS4+DS25</f>
        <v>3505.51</v>
      </c>
      <c r="DW4" s="2" t="s">
        <v>376</v>
      </c>
      <c r="DX4" s="4">
        <v>3505.51</v>
      </c>
      <c r="EB4" s="2" t="s">
        <v>376</v>
      </c>
      <c r="EC4" s="4">
        <v>3905.54</v>
      </c>
      <c r="EE4" s="5"/>
      <c r="EG4" s="2" t="s">
        <v>376</v>
      </c>
      <c r="EH4" s="4">
        <v>4872.26</v>
      </c>
      <c r="EI4" s="5"/>
      <c r="EK4" s="2" t="s">
        <v>376</v>
      </c>
      <c r="EO4" s="2" t="s">
        <v>376</v>
      </c>
      <c r="EP4" s="4">
        <v>4872.26</v>
      </c>
      <c r="ET4" s="2" t="s">
        <v>376</v>
      </c>
      <c r="EU4" s="4">
        <v>5003.3</v>
      </c>
      <c r="EV4" s="5"/>
      <c r="EW4" s="2" t="s">
        <v>473</v>
      </c>
      <c r="EX4" s="4">
        <f>$EU$3</f>
        <v>7845</v>
      </c>
      <c r="EY4" s="5"/>
      <c r="EZ4" s="2" t="s">
        <v>473</v>
      </c>
      <c r="FA4" s="4">
        <v>8032.8666666666668</v>
      </c>
      <c r="FE4" s="2" t="s">
        <v>473</v>
      </c>
      <c r="FF4" s="4">
        <v>8032</v>
      </c>
      <c r="FJ4" s="2" t="s">
        <v>473</v>
      </c>
      <c r="FK4" s="4">
        <v>7752</v>
      </c>
      <c r="FN4" s="4">
        <v>2741.43</v>
      </c>
      <c r="FO4" s="2" t="s">
        <v>473</v>
      </c>
      <c r="FP4" s="4">
        <v>8222</v>
      </c>
      <c r="FQ4" s="5"/>
      <c r="FR4" s="2" t="s">
        <v>473</v>
      </c>
      <c r="FW4" s="2" t="s">
        <v>473</v>
      </c>
      <c r="GA4" s="2" t="s">
        <v>473</v>
      </c>
      <c r="GF4" s="2" t="s">
        <v>473</v>
      </c>
      <c r="GG4" s="4">
        <v>8222</v>
      </c>
      <c r="GH4" s="5"/>
      <c r="GI4" s="2" t="s">
        <v>473</v>
      </c>
      <c r="GJ4" s="4">
        <v>8392</v>
      </c>
      <c r="GK4" s="5"/>
      <c r="GL4" s="2" t="s">
        <v>473</v>
      </c>
      <c r="GM4" s="4">
        <v>8392</v>
      </c>
      <c r="GN4" s="5">
        <f>GM4-GM13</f>
        <v>5650.57</v>
      </c>
      <c r="GO4" s="2" t="s">
        <v>473</v>
      </c>
      <c r="GP4" s="4">
        <v>8392</v>
      </c>
      <c r="GS4" s="2" t="s">
        <v>473</v>
      </c>
      <c r="GT4" s="4">
        <v>7076</v>
      </c>
      <c r="GW4" s="2" t="s">
        <v>473</v>
      </c>
      <c r="GX4" s="4">
        <v>7076</v>
      </c>
      <c r="HB4" s="2" t="s">
        <v>473</v>
      </c>
      <c r="HC4" s="4">
        <v>7076</v>
      </c>
      <c r="HF4" s="2" t="s">
        <v>473</v>
      </c>
      <c r="HG4" s="4">
        <v>7076</v>
      </c>
      <c r="HK4" s="2" t="s">
        <v>473</v>
      </c>
      <c r="HL4" s="4">
        <v>7076</v>
      </c>
      <c r="HN4" s="2" t="s">
        <v>473</v>
      </c>
      <c r="HO4" s="4">
        <v>7076</v>
      </c>
      <c r="HR4" s="2" t="s">
        <v>473</v>
      </c>
      <c r="HS4" s="4">
        <v>3120</v>
      </c>
      <c r="HT4" s="5">
        <f>HS4+HT25</f>
        <v>3497</v>
      </c>
      <c r="HV4" s="2" t="s">
        <v>473</v>
      </c>
      <c r="HW4" s="4">
        <v>3497</v>
      </c>
      <c r="IA4" s="2" t="s">
        <v>473</v>
      </c>
      <c r="IB4" s="4"/>
      <c r="IE4" s="2" t="s">
        <v>473</v>
      </c>
      <c r="IF4" s="4">
        <v>1427</v>
      </c>
      <c r="II4" s="2" t="s">
        <v>473</v>
      </c>
      <c r="IJ4" s="4">
        <v>1798</v>
      </c>
      <c r="IL4" s="2" t="s">
        <v>473</v>
      </c>
      <c r="IM4" s="4">
        <v>1798</v>
      </c>
      <c r="IQ4" s="2" t="s">
        <v>473</v>
      </c>
      <c r="IR4" s="4"/>
      <c r="IU4" s="2" t="s">
        <v>473</v>
      </c>
      <c r="IV4" s="4">
        <v>1298</v>
      </c>
      <c r="IW4" s="5">
        <f>IV4+IV26</f>
        <v>1561</v>
      </c>
      <c r="IX4" s="2" t="s">
        <v>473</v>
      </c>
      <c r="IY4" s="4">
        <v>1561</v>
      </c>
      <c r="IZ4" s="5">
        <f>IY4+1000</f>
        <v>2561</v>
      </c>
      <c r="JB4" s="2" t="s">
        <v>473</v>
      </c>
      <c r="JC4" s="4">
        <v>561</v>
      </c>
      <c r="JD4" s="5"/>
      <c r="JE4" s="2" t="s">
        <v>473</v>
      </c>
      <c r="JF4" s="4">
        <v>961</v>
      </c>
      <c r="JG4" s="5"/>
      <c r="JI4" s="2" t="s">
        <v>473</v>
      </c>
      <c r="JJ4" s="4">
        <v>1161</v>
      </c>
      <c r="JP4" s="2" t="s">
        <v>473</v>
      </c>
      <c r="JQ4" s="4">
        <v>2061</v>
      </c>
      <c r="JS4" s="2" t="s">
        <v>473</v>
      </c>
      <c r="JT4" s="4">
        <v>661</v>
      </c>
      <c r="JU4" s="5"/>
      <c r="JV4" s="2" t="s">
        <v>473</v>
      </c>
      <c r="JW4" s="4">
        <v>1586</v>
      </c>
      <c r="JX4" s="5"/>
      <c r="KA4" s="2" t="s">
        <v>473</v>
      </c>
      <c r="KB4" s="4">
        <v>1361</v>
      </c>
      <c r="KC4" s="5">
        <f>KB4+1370.72</f>
        <v>2731.7200000000003</v>
      </c>
      <c r="KE4" s="2" t="s">
        <v>473</v>
      </c>
      <c r="KF4" s="4">
        <v>1361</v>
      </c>
      <c r="KK4" s="2" t="s">
        <v>474</v>
      </c>
      <c r="KL4" s="4">
        <v>44115.39</v>
      </c>
      <c r="KN4" s="2" t="s">
        <v>474</v>
      </c>
      <c r="KO4" s="4">
        <v>44033.82</v>
      </c>
      <c r="KQ4" s="2" t="s">
        <v>474</v>
      </c>
      <c r="KR4" s="4">
        <v>43809.49</v>
      </c>
      <c r="KT4" s="2" t="s">
        <v>474</v>
      </c>
      <c r="KU4" s="4">
        <v>43809.49</v>
      </c>
      <c r="KX4" s="2" t="s">
        <v>474</v>
      </c>
      <c r="KY4" s="4">
        <v>43115.18</v>
      </c>
    </row>
    <row r="5" spans="1:314" x14ac:dyDescent="0.25">
      <c r="A5" s="1" t="s">
        <v>8</v>
      </c>
      <c r="B5" s="1" t="s">
        <v>42</v>
      </c>
      <c r="C5" s="9">
        <v>74.86</v>
      </c>
      <c r="D5" s="9">
        <f t="shared" si="0"/>
        <v>74.86</v>
      </c>
      <c r="F5" s="4"/>
      <c r="H5" s="29" t="s">
        <v>96</v>
      </c>
      <c r="I5" s="28">
        <v>143</v>
      </c>
      <c r="J5" s="3"/>
      <c r="K5" s="29" t="s">
        <v>104</v>
      </c>
      <c r="L5" s="3">
        <v>0</v>
      </c>
      <c r="M5" s="3"/>
      <c r="N5" s="29" t="s">
        <v>90</v>
      </c>
      <c r="O5" s="28">
        <f>+O4+O2+O3</f>
        <v>2314.3499999999995</v>
      </c>
      <c r="P5" s="3"/>
      <c r="Q5" s="29" t="s">
        <v>90</v>
      </c>
      <c r="R5" s="28">
        <f>+R4+R2+R3</f>
        <v>2046.5799999999995</v>
      </c>
      <c r="S5" s="3"/>
      <c r="T5" s="29" t="s">
        <v>90</v>
      </c>
      <c r="U5" s="28">
        <f>U2+U4+U3</f>
        <v>2236.9149999999995</v>
      </c>
      <c r="W5" s="29" t="s">
        <v>90</v>
      </c>
      <c r="X5" s="30">
        <f>X3+X4</f>
        <v>769.66499999999951</v>
      </c>
      <c r="Z5" s="29" t="s">
        <v>90</v>
      </c>
      <c r="AA5" s="30">
        <f>AA4+AA2+AA3</f>
        <v>2576.8624999999997</v>
      </c>
      <c r="AC5" s="29" t="s">
        <v>90</v>
      </c>
      <c r="AD5" s="30">
        <f>AD4+AD3+AD2</f>
        <v>1811.8024999999998</v>
      </c>
      <c r="AF5" s="29" t="s">
        <v>90</v>
      </c>
      <c r="AG5" s="30">
        <f>AG4+AG3+AG2</f>
        <v>868.7824999999998</v>
      </c>
      <c r="AI5" s="29" t="s">
        <v>90</v>
      </c>
      <c r="AJ5" s="30">
        <f>AJ4+AJ2+AJ3</f>
        <v>2635.6025</v>
      </c>
      <c r="AL5" s="29" t="s">
        <v>90</v>
      </c>
      <c r="AM5" s="30">
        <f>AM4+AM3+AM2</f>
        <v>2315.5425</v>
      </c>
      <c r="AO5" s="29" t="s">
        <v>90</v>
      </c>
      <c r="AP5" s="30">
        <f>AP4+AP3+AP2</f>
        <v>592.27</v>
      </c>
      <c r="AR5" s="2" t="s">
        <v>377</v>
      </c>
      <c r="AS5" s="4">
        <v>32275.23</v>
      </c>
      <c r="AV5" s="2" t="s">
        <v>377</v>
      </c>
      <c r="AW5" s="4">
        <v>33075.230000000003</v>
      </c>
      <c r="AY5" s="2" t="s">
        <v>377</v>
      </c>
      <c r="AZ5" s="4">
        <v>33275.230000000003</v>
      </c>
      <c r="BB5" s="2" t="s">
        <v>377</v>
      </c>
      <c r="BC5" s="4">
        <v>33475.730000000003</v>
      </c>
      <c r="BD5" s="5">
        <f>BC5+BC22</f>
        <v>33675.730000000003</v>
      </c>
      <c r="BE5" s="2" t="s">
        <v>377</v>
      </c>
      <c r="BF5" s="4">
        <v>33675.730000000003</v>
      </c>
      <c r="BH5" s="2" t="s">
        <v>377</v>
      </c>
      <c r="BI5" s="4">
        <f>BF5+BF23</f>
        <v>33925.730000000003</v>
      </c>
      <c r="BK5" s="2" t="s">
        <v>377</v>
      </c>
      <c r="BL5" s="4">
        <f>BI5+BI23</f>
        <v>34125.730000000003</v>
      </c>
      <c r="BN5" s="2" t="s">
        <v>377</v>
      </c>
      <c r="BO5" s="4">
        <f>BL5+BL24</f>
        <v>34125.730000000003</v>
      </c>
      <c r="BQ5" s="2" t="s">
        <v>377</v>
      </c>
      <c r="BR5" s="4">
        <f>BO5</f>
        <v>34125.730000000003</v>
      </c>
      <c r="BT5" s="2" t="s">
        <v>377</v>
      </c>
      <c r="BU5" s="4">
        <f>BR5+BR23</f>
        <v>34325.730000000003</v>
      </c>
      <c r="BW5" s="2" t="s">
        <v>377</v>
      </c>
      <c r="BX5" s="4">
        <v>34064.92</v>
      </c>
      <c r="CA5" s="2" t="s">
        <v>377</v>
      </c>
      <c r="CB5" s="87">
        <v>34527.08</v>
      </c>
      <c r="CC5" s="1">
        <v>600</v>
      </c>
      <c r="CE5" s="2" t="s">
        <v>377</v>
      </c>
      <c r="CF5" s="4">
        <v>35000</v>
      </c>
      <c r="CI5" s="2" t="s">
        <v>377</v>
      </c>
      <c r="CJ5" s="4">
        <v>35025.65</v>
      </c>
      <c r="CK5" s="5">
        <f>CJ5+430</f>
        <v>35455.65</v>
      </c>
      <c r="CL5" s="5"/>
      <c r="CM5" s="2" t="s">
        <v>377</v>
      </c>
      <c r="CN5" s="4">
        <v>37056.21</v>
      </c>
      <c r="CR5" s="2" t="s">
        <v>377</v>
      </c>
      <c r="CS5" s="4">
        <v>37081.82</v>
      </c>
      <c r="CT5" s="5"/>
      <c r="CV5" s="2" t="s">
        <v>474</v>
      </c>
      <c r="CW5" s="4">
        <v>37355.82</v>
      </c>
      <c r="CX5" s="5"/>
      <c r="DA5" s="2" t="s">
        <v>474</v>
      </c>
      <c r="DB5" s="4">
        <v>37545.82</v>
      </c>
      <c r="DC5" s="5"/>
      <c r="DF5" s="2" t="s">
        <v>474</v>
      </c>
      <c r="DG5" s="5">
        <v>37679.82</v>
      </c>
      <c r="DH5" s="5"/>
      <c r="DJ5" s="2" t="s">
        <v>474</v>
      </c>
      <c r="DK5" s="5">
        <v>37680.42</v>
      </c>
      <c r="DL5" s="5">
        <f>DK5+DL22</f>
        <v>38317.656666666662</v>
      </c>
      <c r="DM5" s="5"/>
      <c r="DN5" s="2" t="s">
        <v>474</v>
      </c>
      <c r="DO5" s="4">
        <v>38084.410000000003</v>
      </c>
      <c r="DP5" s="4"/>
      <c r="DR5" s="2" t="s">
        <v>474</v>
      </c>
      <c r="DS5" s="4">
        <v>38284.410000000003</v>
      </c>
      <c r="DT5" s="5">
        <f>DS5+DS26</f>
        <v>38398.410000000003</v>
      </c>
      <c r="DW5" s="2" t="s">
        <v>474</v>
      </c>
      <c r="DX5" s="4">
        <v>38399.01</v>
      </c>
      <c r="EB5" s="2" t="s">
        <v>474</v>
      </c>
      <c r="EC5" s="4">
        <v>38824.01</v>
      </c>
      <c r="EE5" s="5"/>
      <c r="EG5" s="2" t="s">
        <v>474</v>
      </c>
      <c r="EH5" s="4">
        <v>39581.01</v>
      </c>
      <c r="EI5" s="5"/>
      <c r="EK5" s="2" t="s">
        <v>474</v>
      </c>
      <c r="EO5" s="2" t="s">
        <v>474</v>
      </c>
      <c r="EP5" s="4">
        <v>39581.01</v>
      </c>
      <c r="ET5" s="2" t="s">
        <v>474</v>
      </c>
      <c r="EU5" s="4">
        <v>39737.65</v>
      </c>
      <c r="EV5" s="5"/>
      <c r="EW5" s="2" t="s">
        <v>376</v>
      </c>
      <c r="EX5" s="4">
        <v>5003.3</v>
      </c>
      <c r="EY5" s="5"/>
      <c r="EZ5" s="2" t="s">
        <v>376</v>
      </c>
      <c r="FA5" s="4">
        <v>5191.166666666667</v>
      </c>
      <c r="FE5" s="2" t="s">
        <v>376</v>
      </c>
      <c r="FF5" s="4">
        <v>4470.3</v>
      </c>
      <c r="FJ5" s="2" t="s">
        <v>376</v>
      </c>
      <c r="FK5" s="4">
        <v>2857.6</v>
      </c>
      <c r="FN5" s="5"/>
      <c r="FO5" s="2" t="s">
        <v>376</v>
      </c>
      <c r="FP5" s="4">
        <v>3202.1</v>
      </c>
      <c r="FQ5" s="5"/>
      <c r="FR5" s="2" t="s">
        <v>376</v>
      </c>
      <c r="FW5" s="2" t="s">
        <v>376</v>
      </c>
      <c r="GA5" s="2" t="s">
        <v>376</v>
      </c>
      <c r="GF5" s="2" t="s">
        <v>376</v>
      </c>
      <c r="GG5" s="4">
        <v>3202.13</v>
      </c>
      <c r="GI5" s="2" t="s">
        <v>376</v>
      </c>
      <c r="GJ5" s="4">
        <v>3705.5</v>
      </c>
      <c r="GK5" s="5"/>
      <c r="GL5" s="2" t="s">
        <v>376</v>
      </c>
      <c r="GM5" s="4">
        <v>3705.5</v>
      </c>
      <c r="GN5" s="5"/>
      <c r="GO5" s="2" t="s">
        <v>376</v>
      </c>
      <c r="GP5" s="4">
        <v>3705.5</v>
      </c>
      <c r="GS5" s="2" t="s">
        <v>376</v>
      </c>
      <c r="GT5" s="4">
        <v>3605.53</v>
      </c>
      <c r="GW5" s="2" t="s">
        <v>376</v>
      </c>
      <c r="GX5" s="4">
        <v>3605.53</v>
      </c>
      <c r="HB5" s="2" t="s">
        <v>376</v>
      </c>
      <c r="HC5" s="4">
        <v>1205.5999999999999</v>
      </c>
      <c r="HD5" s="5">
        <f>HC5+259.93</f>
        <v>1465.53</v>
      </c>
      <c r="HF5" s="2" t="s">
        <v>376</v>
      </c>
      <c r="HG5" s="4">
        <v>1205.5999999999999</v>
      </c>
      <c r="HK5" s="2" t="s">
        <v>376</v>
      </c>
      <c r="HL5" s="4">
        <v>1205.5999999999999</v>
      </c>
      <c r="HN5" s="2" t="s">
        <v>376</v>
      </c>
      <c r="HO5" s="4">
        <v>1205.5999999999999</v>
      </c>
      <c r="HR5" s="2" t="s">
        <v>376</v>
      </c>
      <c r="HS5" s="4">
        <v>1505.55</v>
      </c>
      <c r="HT5" s="5">
        <f>HS5+HT25</f>
        <v>1882.55</v>
      </c>
      <c r="HV5" s="2" t="s">
        <v>376</v>
      </c>
      <c r="HW5" s="4">
        <v>1882.55</v>
      </c>
      <c r="IA5" s="2" t="s">
        <v>376</v>
      </c>
      <c r="IB5" s="4"/>
      <c r="IE5" s="2" t="s">
        <v>376</v>
      </c>
      <c r="IF5" s="4">
        <v>5.56</v>
      </c>
      <c r="II5" s="2" t="s">
        <v>376</v>
      </c>
      <c r="IJ5" s="4">
        <v>183.56</v>
      </c>
      <c r="IL5" s="2" t="s">
        <v>376</v>
      </c>
      <c r="IM5" s="4">
        <v>183.56</v>
      </c>
      <c r="IQ5" s="2" t="s">
        <v>376</v>
      </c>
      <c r="IR5" s="4"/>
      <c r="IU5" s="2" t="s">
        <v>376</v>
      </c>
      <c r="IV5" s="4">
        <v>590.16999999999996</v>
      </c>
      <c r="IW5" s="5">
        <f>IV5+IV26</f>
        <v>853.17</v>
      </c>
      <c r="IX5" s="2" t="s">
        <v>376</v>
      </c>
      <c r="IY5" s="4">
        <v>446.17</v>
      </c>
      <c r="IZ5" s="5">
        <f>IY5+IY26</f>
        <v>872.99499999999989</v>
      </c>
      <c r="JB5" s="2" t="s">
        <v>376</v>
      </c>
      <c r="JC5" s="4">
        <v>872.18</v>
      </c>
      <c r="JE5" s="2" t="s">
        <v>376</v>
      </c>
      <c r="JF5" s="4">
        <v>409.26</v>
      </c>
      <c r="JG5" s="5"/>
      <c r="JI5" s="2" t="s">
        <v>376</v>
      </c>
      <c r="JJ5" s="4">
        <v>509.26</v>
      </c>
      <c r="JP5" s="2" t="s">
        <v>376</v>
      </c>
      <c r="JQ5" s="4">
        <v>800.26</v>
      </c>
      <c r="JS5" s="2" t="s">
        <v>376</v>
      </c>
      <c r="JT5" s="4">
        <v>800.26</v>
      </c>
      <c r="JV5" s="2" t="s">
        <v>376</v>
      </c>
      <c r="JW5" s="4">
        <v>1212.27</v>
      </c>
      <c r="JX5" s="5"/>
      <c r="KA5" s="2" t="s">
        <v>376</v>
      </c>
      <c r="KB5" s="4">
        <v>1100.27</v>
      </c>
      <c r="KE5" s="2" t="s">
        <v>376</v>
      </c>
      <c r="KF5" s="4">
        <v>1100.27</v>
      </c>
    </row>
    <row r="6" spans="1:314" x14ac:dyDescent="0.25">
      <c r="D6" s="9">
        <f t="shared" si="0"/>
        <v>0</v>
      </c>
      <c r="F6" s="5"/>
      <c r="H6" s="1" t="s">
        <v>64</v>
      </c>
      <c r="I6" s="3">
        <f>+'Credit Card '!B4</f>
        <v>31065.02</v>
      </c>
      <c r="J6" s="3"/>
      <c r="K6" s="1" t="s">
        <v>64</v>
      </c>
      <c r="L6" s="3">
        <f>I6</f>
        <v>31065.02</v>
      </c>
      <c r="M6" s="3"/>
      <c r="N6" s="1" t="s">
        <v>64</v>
      </c>
      <c r="O6" s="3">
        <f>+'Credit Card '!I4</f>
        <v>31382.2</v>
      </c>
      <c r="P6" s="3"/>
      <c r="Q6" s="1" t="s">
        <v>64</v>
      </c>
      <c r="R6" s="3">
        <f>O6</f>
        <v>31382.2</v>
      </c>
      <c r="S6" s="3"/>
      <c r="T6" s="1" t="s">
        <v>64</v>
      </c>
      <c r="U6" s="5">
        <f>O6+R26+U10</f>
        <v>31407.200000000001</v>
      </c>
      <c r="W6" s="1" t="s">
        <v>64</v>
      </c>
      <c r="X6" s="5">
        <f>U6+U26</f>
        <v>31407.200000000001</v>
      </c>
      <c r="Z6" s="1" t="s">
        <v>64</v>
      </c>
      <c r="AA6" s="5">
        <f>X6+X26</f>
        <v>31407.200000000001</v>
      </c>
      <c r="AC6" s="1" t="s">
        <v>64</v>
      </c>
      <c r="AD6" s="5">
        <f>31607.2-400</f>
        <v>31207.200000000001</v>
      </c>
      <c r="AF6" s="1" t="s">
        <v>64</v>
      </c>
      <c r="AG6" s="5">
        <f>AD6+AD26</f>
        <v>31207.200000000001</v>
      </c>
      <c r="AI6" s="1" t="s">
        <v>64</v>
      </c>
      <c r="AJ6" s="5">
        <f>AG6+AG26+AG11</f>
        <v>31607.200000000001</v>
      </c>
      <c r="AL6" s="1" t="s">
        <v>64</v>
      </c>
      <c r="AM6" s="5">
        <f>AJ6+AJ26</f>
        <v>31607.200000000001</v>
      </c>
      <c r="AO6" s="1" t="s">
        <v>64</v>
      </c>
      <c r="AP6" s="5">
        <f>AM6+AM31</f>
        <v>31707.200000000001</v>
      </c>
      <c r="BP6" s="5">
        <f>BP2+BO3</f>
        <v>3207.98</v>
      </c>
      <c r="CC6" s="5">
        <f>CC5+CC3</f>
        <v>1346.13</v>
      </c>
      <c r="DW6" s="2"/>
      <c r="EB6" s="2"/>
      <c r="EG6" s="2"/>
      <c r="EW6" s="2" t="s">
        <v>474</v>
      </c>
      <c r="EX6" s="4">
        <v>39737.65</v>
      </c>
      <c r="EY6" s="5"/>
      <c r="EZ6" s="2" t="s">
        <v>474</v>
      </c>
      <c r="FA6" s="4">
        <v>39925.51666666667</v>
      </c>
      <c r="FE6" s="2" t="s">
        <v>474</v>
      </c>
      <c r="FF6" s="4">
        <v>39924.65</v>
      </c>
      <c r="FJ6" s="2" t="s">
        <v>474</v>
      </c>
      <c r="FK6" s="4">
        <v>39950.36</v>
      </c>
      <c r="FO6" s="2" t="s">
        <v>474</v>
      </c>
      <c r="FP6" s="4">
        <v>40294.86</v>
      </c>
      <c r="FQ6" s="5"/>
      <c r="FR6" s="2" t="s">
        <v>474</v>
      </c>
      <c r="FW6" s="2" t="s">
        <v>474</v>
      </c>
      <c r="GA6" s="2" t="s">
        <v>474</v>
      </c>
      <c r="GF6" s="2" t="s">
        <v>474</v>
      </c>
      <c r="GG6" s="4">
        <v>39620.47</v>
      </c>
      <c r="GI6" s="2" t="s">
        <v>474</v>
      </c>
      <c r="GJ6" s="4">
        <v>40202.47</v>
      </c>
      <c r="GL6" s="2" t="s">
        <v>474</v>
      </c>
      <c r="GM6" s="4">
        <v>40202.47</v>
      </c>
      <c r="GO6" s="2" t="s">
        <v>474</v>
      </c>
      <c r="GP6" s="4">
        <v>40202.47</v>
      </c>
      <c r="GS6" s="2" t="s">
        <v>474</v>
      </c>
      <c r="GT6" s="4">
        <v>39993.040000000001</v>
      </c>
      <c r="GW6" s="2" t="s">
        <v>474</v>
      </c>
      <c r="GX6" s="4">
        <v>39993.040000000001</v>
      </c>
      <c r="HB6" s="2" t="s">
        <v>474</v>
      </c>
      <c r="HC6" s="4">
        <v>39993.040000000001</v>
      </c>
      <c r="HF6" s="2" t="s">
        <v>474</v>
      </c>
      <c r="HG6" s="4">
        <v>39993.040000000001</v>
      </c>
      <c r="HK6" s="2" t="s">
        <v>474</v>
      </c>
      <c r="HL6" s="4">
        <v>39993.040000000001</v>
      </c>
      <c r="HN6" s="2" t="s">
        <v>474</v>
      </c>
      <c r="HO6" s="4">
        <v>39993.040000000001</v>
      </c>
      <c r="HR6" s="2" t="s">
        <v>474</v>
      </c>
      <c r="HS6" s="4">
        <v>40018.71</v>
      </c>
      <c r="HT6" s="5">
        <f>HS6+HT25</f>
        <v>40395.71</v>
      </c>
      <c r="HV6" s="2" t="s">
        <v>474</v>
      </c>
      <c r="HW6" s="4">
        <v>40395.71</v>
      </c>
      <c r="IA6" s="2" t="s">
        <v>474</v>
      </c>
      <c r="IB6" s="4"/>
      <c r="IE6" s="2" t="s">
        <v>474</v>
      </c>
      <c r="IF6" s="4">
        <v>40421.32</v>
      </c>
      <c r="II6" s="2" t="s">
        <v>474</v>
      </c>
      <c r="IJ6" s="4">
        <v>40599.32</v>
      </c>
      <c r="IL6" s="2" t="s">
        <v>474</v>
      </c>
      <c r="IM6" s="4">
        <v>40599.32</v>
      </c>
      <c r="IQ6" s="2" t="s">
        <v>474</v>
      </c>
      <c r="IR6" s="4"/>
      <c r="IU6" s="2" t="s">
        <v>474</v>
      </c>
      <c r="IV6" s="4">
        <v>41375.040000000001</v>
      </c>
      <c r="IW6" s="5">
        <f>IV6+IV26</f>
        <v>41638.04</v>
      </c>
      <c r="IX6" s="2" t="s">
        <v>474</v>
      </c>
      <c r="IY6" s="4">
        <v>41308.26</v>
      </c>
      <c r="IZ6" s="5">
        <f>IY6+IY27</f>
        <v>41735.084999999999</v>
      </c>
      <c r="JB6" s="2" t="s">
        <v>474</v>
      </c>
      <c r="JC6" s="4">
        <v>41685.910000000003</v>
      </c>
      <c r="JD6" s="5"/>
      <c r="JE6" s="2" t="s">
        <v>474</v>
      </c>
      <c r="JF6" s="4">
        <v>41710.910000000003</v>
      </c>
      <c r="JG6" s="5"/>
      <c r="JI6" s="2" t="s">
        <v>474</v>
      </c>
      <c r="JJ6" s="4">
        <v>41810.910000000003</v>
      </c>
      <c r="JK6" s="208" t="s">
        <v>889</v>
      </c>
      <c r="JL6" s="1" t="s">
        <v>420</v>
      </c>
      <c r="JM6" s="1" t="s">
        <v>890</v>
      </c>
      <c r="JN6" s="1" t="s">
        <v>891</v>
      </c>
      <c r="JP6" s="2" t="s">
        <v>474</v>
      </c>
      <c r="JQ6" s="4">
        <v>44101.91</v>
      </c>
      <c r="JS6" s="2" t="s">
        <v>474</v>
      </c>
      <c r="JT6" s="4">
        <v>44101.91</v>
      </c>
      <c r="JU6" s="5"/>
      <c r="JV6" s="2" t="s">
        <v>474</v>
      </c>
      <c r="JW6" s="4">
        <v>44339.67</v>
      </c>
      <c r="JX6" s="5"/>
      <c r="KA6" s="2" t="s">
        <v>474</v>
      </c>
      <c r="KB6" s="4">
        <v>44227.67</v>
      </c>
      <c r="KE6" s="2" t="s">
        <v>474</v>
      </c>
      <c r="KF6" s="4">
        <v>44227.67</v>
      </c>
      <c r="KK6" s="24" t="s">
        <v>373</v>
      </c>
      <c r="KL6" s="72">
        <v>2228.11</v>
      </c>
      <c r="KN6" s="24" t="s">
        <v>373</v>
      </c>
      <c r="KO6" s="72">
        <v>3163.54</v>
      </c>
      <c r="KP6" s="72"/>
      <c r="KQ6" s="24" t="s">
        <v>373</v>
      </c>
      <c r="KR6" s="72">
        <v>1512.25</v>
      </c>
      <c r="KT6" s="24" t="s">
        <v>373</v>
      </c>
      <c r="KU6" s="72">
        <v>2513.4699999999998</v>
      </c>
      <c r="KX6" s="24" t="s">
        <v>373</v>
      </c>
      <c r="KY6" s="72">
        <v>3097.38</v>
      </c>
      <c r="KZ6" s="2" t="s">
        <v>1006</v>
      </c>
    </row>
    <row r="7" spans="1:314" x14ac:dyDescent="0.25">
      <c r="A7" s="1" t="s">
        <v>9</v>
      </c>
      <c r="B7" s="1" t="s">
        <v>4</v>
      </c>
      <c r="C7" s="9">
        <v>445.45</v>
      </c>
      <c r="D7" s="9">
        <f t="shared" si="0"/>
        <v>445.45</v>
      </c>
      <c r="H7" s="1" t="s">
        <v>59</v>
      </c>
      <c r="I7" s="4">
        <v>2722.13</v>
      </c>
      <c r="J7" s="4"/>
      <c r="K7" s="1" t="s">
        <v>105</v>
      </c>
      <c r="L7" s="4">
        <f>I7</f>
        <v>2722.13</v>
      </c>
      <c r="M7" s="4"/>
      <c r="N7" s="4" t="s">
        <v>91</v>
      </c>
      <c r="O7" s="4">
        <f>L7</f>
        <v>2722.13</v>
      </c>
      <c r="P7" s="4"/>
      <c r="Q7" s="4" t="s">
        <v>91</v>
      </c>
      <c r="R7" s="4">
        <f>+O24+5.49</f>
        <v>5.49</v>
      </c>
      <c r="S7" s="4"/>
      <c r="T7" s="4" t="s">
        <v>91</v>
      </c>
      <c r="U7" s="5">
        <f>+R24+R7</f>
        <v>545.9</v>
      </c>
      <c r="W7" s="4" t="s">
        <v>91</v>
      </c>
      <c r="X7" s="5">
        <f>U7+U24+U16-100</f>
        <v>2038.1100000000001</v>
      </c>
      <c r="Z7" s="4" t="s">
        <v>91</v>
      </c>
      <c r="AA7" s="5">
        <f>+X7+X24</f>
        <v>2308.8224999999998</v>
      </c>
      <c r="AC7" s="4" t="s">
        <v>91</v>
      </c>
      <c r="AD7" s="5">
        <f>AA7+AA24</f>
        <v>3308.8224999999998</v>
      </c>
      <c r="AF7" s="4" t="s">
        <v>91</v>
      </c>
      <c r="AG7" s="5">
        <f>AD7+AD24</f>
        <v>3308.8224999999998</v>
      </c>
      <c r="AI7" s="4" t="s">
        <v>91</v>
      </c>
      <c r="AJ7" s="5">
        <f>AG7-2338</f>
        <v>970.82249999999976</v>
      </c>
      <c r="AL7" s="4" t="s">
        <v>91</v>
      </c>
      <c r="AM7" s="5">
        <f>AJ7+AJ24+AM28</f>
        <v>1370.8224999999998</v>
      </c>
      <c r="AO7" s="4" t="s">
        <v>91</v>
      </c>
      <c r="AP7" s="5">
        <f>AM29</f>
        <v>1370.8224999999998</v>
      </c>
      <c r="AR7" s="2" t="s">
        <v>373</v>
      </c>
      <c r="AS7" s="4">
        <v>5475.85</v>
      </c>
      <c r="AV7" s="2" t="s">
        <v>373</v>
      </c>
      <c r="AW7" s="4">
        <v>1997.08</v>
      </c>
      <c r="AX7" s="5"/>
      <c r="AY7" s="2" t="s">
        <v>373</v>
      </c>
      <c r="AZ7" s="4">
        <v>3438.63</v>
      </c>
      <c r="BA7" s="5"/>
      <c r="BB7" s="2" t="s">
        <v>373</v>
      </c>
      <c r="BC7" s="4">
        <f>BC2</f>
        <v>2919.48</v>
      </c>
      <c r="BE7" s="2" t="s">
        <v>373</v>
      </c>
      <c r="BF7" s="4">
        <f>BF2</f>
        <v>3389.89</v>
      </c>
      <c r="BH7" s="2" t="s">
        <v>373</v>
      </c>
      <c r="BI7" s="4">
        <f>BI2</f>
        <v>2831.1</v>
      </c>
      <c r="BK7" s="2" t="s">
        <v>373</v>
      </c>
      <c r="BL7" s="4">
        <f>BL2</f>
        <v>0</v>
      </c>
      <c r="BN7" s="2" t="s">
        <v>373</v>
      </c>
      <c r="BO7" s="4"/>
      <c r="BQ7" s="2" t="s">
        <v>373</v>
      </c>
      <c r="BR7" s="4">
        <f>+BO27+BR2</f>
        <v>1985.6499999999999</v>
      </c>
      <c r="BT7" s="2" t="s">
        <v>373</v>
      </c>
      <c r="BU7" s="4">
        <f>+BR26+BU2</f>
        <v>-923.16000000000008</v>
      </c>
      <c r="BW7" s="2" t="s">
        <v>373</v>
      </c>
      <c r="BX7" s="4">
        <f>BX2</f>
        <v>3205</v>
      </c>
      <c r="CA7" s="2" t="s">
        <v>373</v>
      </c>
      <c r="CB7" s="4">
        <f>CB2</f>
        <v>5680.93</v>
      </c>
      <c r="CE7" s="2" t="s">
        <v>373</v>
      </c>
      <c r="CF7" s="4">
        <f>CF2</f>
        <v>5530.52</v>
      </c>
      <c r="CI7" s="2" t="s">
        <v>373</v>
      </c>
      <c r="CJ7" s="5">
        <f>CJ2</f>
        <v>5651.61</v>
      </c>
      <c r="CM7" s="2" t="s">
        <v>373</v>
      </c>
      <c r="CN7" s="4">
        <f>CN2</f>
        <v>5101.43</v>
      </c>
      <c r="CR7" s="2" t="s">
        <v>373</v>
      </c>
      <c r="CS7" s="4">
        <f>CS2</f>
        <v>2450</v>
      </c>
      <c r="CT7" s="5"/>
      <c r="CV7" s="2" t="s">
        <v>373</v>
      </c>
      <c r="CW7" s="4">
        <f>CW2</f>
        <v>4150.3599999999997</v>
      </c>
      <c r="CX7" s="5"/>
      <c r="DA7" s="2" t="s">
        <v>373</v>
      </c>
      <c r="DB7" s="5">
        <f>DB2+130.23</f>
        <v>2917.2099999999996</v>
      </c>
      <c r="DF7" s="2" t="s">
        <v>373</v>
      </c>
      <c r="DG7" s="5">
        <v>5108.59</v>
      </c>
      <c r="DH7" s="5"/>
      <c r="DJ7" s="2" t="s">
        <v>373</v>
      </c>
      <c r="DK7" s="5">
        <f>DK2</f>
        <v>2618.71</v>
      </c>
      <c r="DN7" s="2" t="s">
        <v>373</v>
      </c>
      <c r="DO7" s="5">
        <f>DO2</f>
        <v>3649.39</v>
      </c>
      <c r="DR7" s="2" t="s">
        <v>373</v>
      </c>
      <c r="DS7" s="5">
        <f>DS2</f>
        <v>2335.17</v>
      </c>
      <c r="DW7" s="2" t="s">
        <v>373</v>
      </c>
      <c r="DX7" s="5">
        <f>DX2</f>
        <v>2956.82</v>
      </c>
      <c r="EB7" s="2" t="s">
        <v>373</v>
      </c>
      <c r="EC7" s="5">
        <f>EC2</f>
        <v>537</v>
      </c>
      <c r="EG7" s="2" t="s">
        <v>373</v>
      </c>
      <c r="EH7" s="5">
        <v>2530.71</v>
      </c>
      <c r="EK7" s="2" t="s">
        <v>373</v>
      </c>
      <c r="EL7" s="5">
        <f>EL2</f>
        <v>1190.8599999999999</v>
      </c>
      <c r="EO7" s="2" t="s">
        <v>373</v>
      </c>
      <c r="EP7" s="5">
        <f>EP2+500</f>
        <v>1499.78</v>
      </c>
      <c r="ET7" s="2" t="s">
        <v>373</v>
      </c>
      <c r="EU7" s="5">
        <f>EU2</f>
        <v>1323.46</v>
      </c>
      <c r="JE7" s="116" t="s">
        <v>885</v>
      </c>
      <c r="JF7" s="117">
        <v>410</v>
      </c>
      <c r="JG7" s="1" t="s">
        <v>886</v>
      </c>
      <c r="JI7" s="116" t="s">
        <v>885</v>
      </c>
      <c r="JJ7" s="4">
        <v>410</v>
      </c>
      <c r="JK7" s="63">
        <v>91</v>
      </c>
      <c r="JL7" s="4">
        <f>50.5+14.59</f>
        <v>65.09</v>
      </c>
      <c r="JM7" s="4">
        <v>19.73</v>
      </c>
      <c r="JN7" s="4">
        <v>31.47</v>
      </c>
      <c r="JO7" s="63">
        <f>SUM(JK7:JN7)</f>
        <v>207.29</v>
      </c>
      <c r="JP7" s="116" t="s">
        <v>885</v>
      </c>
      <c r="JQ7" s="4">
        <v>410</v>
      </c>
      <c r="JS7" s="116" t="s">
        <v>885</v>
      </c>
      <c r="JT7" s="4"/>
      <c r="KK7" s="234" t="s">
        <v>985</v>
      </c>
      <c r="KL7" s="234"/>
      <c r="KN7" s="234" t="s">
        <v>990</v>
      </c>
      <c r="KO7" s="234"/>
      <c r="KQ7" s="234" t="s">
        <v>998</v>
      </c>
      <c r="KR7" s="234"/>
      <c r="KT7" s="234" t="s">
        <v>1005</v>
      </c>
      <c r="KU7" s="234"/>
      <c r="KX7" s="234" t="s">
        <v>1011</v>
      </c>
      <c r="KY7" s="234"/>
    </row>
    <row r="8" spans="1:314" x14ac:dyDescent="0.25">
      <c r="A8" s="1" t="s">
        <v>10</v>
      </c>
      <c r="B8" s="1" t="s">
        <v>11</v>
      </c>
      <c r="D8" s="9">
        <f t="shared" si="0"/>
        <v>0</v>
      </c>
      <c r="E8" s="4">
        <v>246.52</v>
      </c>
      <c r="I8" s="4"/>
      <c r="J8" s="4"/>
      <c r="L8" s="4"/>
      <c r="M8" s="4"/>
      <c r="N8" s="4"/>
      <c r="P8" s="4"/>
      <c r="Q8" s="4"/>
      <c r="R8" s="4"/>
      <c r="S8" s="4"/>
      <c r="AG8" s="5"/>
      <c r="AR8" s="7" t="s">
        <v>378</v>
      </c>
      <c r="AV8" s="7" t="s">
        <v>378</v>
      </c>
      <c r="AW8" s="4"/>
      <c r="AY8" s="7" t="s">
        <v>378</v>
      </c>
      <c r="BB8" s="7" t="s">
        <v>378</v>
      </c>
      <c r="BE8" s="7" t="s">
        <v>378</v>
      </c>
      <c r="BH8" s="7" t="s">
        <v>378</v>
      </c>
      <c r="BK8" s="7" t="s">
        <v>378</v>
      </c>
      <c r="BN8" s="7" t="s">
        <v>378</v>
      </c>
      <c r="BQ8" s="7" t="s">
        <v>378</v>
      </c>
      <c r="BT8" s="7" t="s">
        <v>378</v>
      </c>
      <c r="BW8" s="7" t="s">
        <v>378</v>
      </c>
      <c r="CA8" s="7" t="s">
        <v>378</v>
      </c>
      <c r="EW8" s="2" t="s">
        <v>373</v>
      </c>
      <c r="EX8" s="5">
        <v>2843.55</v>
      </c>
      <c r="EZ8" s="2" t="s">
        <v>373</v>
      </c>
      <c r="FA8" s="5">
        <f>FA2</f>
        <v>1323.46</v>
      </c>
      <c r="FE8" s="2" t="s">
        <v>373</v>
      </c>
      <c r="FF8" s="4">
        <v>1778.62</v>
      </c>
      <c r="FJ8" s="2" t="s">
        <v>373</v>
      </c>
      <c r="FK8" s="4">
        <v>544.80999999999995</v>
      </c>
      <c r="FO8" s="2" t="s">
        <v>373</v>
      </c>
      <c r="FP8" s="5">
        <f>FP3+100</f>
        <v>2435.17</v>
      </c>
      <c r="FR8" s="2" t="s">
        <v>373</v>
      </c>
      <c r="FS8" s="86">
        <f>+FP35+FS3+FP32</f>
        <v>1679.13</v>
      </c>
      <c r="FW8" s="2" t="s">
        <v>373</v>
      </c>
      <c r="FX8" s="86">
        <v>3933.12</v>
      </c>
      <c r="GA8" s="2" t="s">
        <v>373</v>
      </c>
      <c r="GB8" s="86">
        <f>GB2</f>
        <v>1100</v>
      </c>
      <c r="GF8" s="2" t="s">
        <v>373</v>
      </c>
      <c r="GG8" s="86"/>
      <c r="GI8" s="2" t="s">
        <v>373</v>
      </c>
      <c r="GJ8" s="86">
        <f>1837.88+GJ3</f>
        <v>2337.88</v>
      </c>
      <c r="GK8" s="5"/>
      <c r="GL8" s="2" t="s">
        <v>373</v>
      </c>
      <c r="GM8" s="86">
        <v>3114.89</v>
      </c>
      <c r="GO8" s="2" t="s">
        <v>373</v>
      </c>
      <c r="GP8" s="86">
        <f>GM19+GP2</f>
        <v>500</v>
      </c>
      <c r="GS8" s="2" t="s">
        <v>373</v>
      </c>
      <c r="GT8" s="86">
        <f>GT3+GT2</f>
        <v>3186.85</v>
      </c>
      <c r="GW8" s="2" t="s">
        <v>373</v>
      </c>
      <c r="GX8" s="86">
        <f>GT38+GX2</f>
        <v>1147.8699999999999</v>
      </c>
      <c r="HB8" s="2" t="s">
        <v>373</v>
      </c>
      <c r="HC8" s="86">
        <v>2420.4699999999998</v>
      </c>
      <c r="HF8" s="2" t="s">
        <v>373</v>
      </c>
      <c r="HG8" s="185">
        <v>1757.45</v>
      </c>
      <c r="HK8" s="2" t="s">
        <v>373</v>
      </c>
      <c r="HL8" s="185"/>
      <c r="HN8" s="2" t="s">
        <v>373</v>
      </c>
      <c r="HO8" s="185">
        <f>HO3</f>
        <v>2686.85</v>
      </c>
      <c r="HR8" s="2" t="s">
        <v>373</v>
      </c>
      <c r="HS8" s="185">
        <v>3140.94</v>
      </c>
      <c r="HV8" s="2" t="s">
        <v>373</v>
      </c>
      <c r="HW8" s="185">
        <v>1676.34</v>
      </c>
      <c r="IA8" s="2" t="s">
        <v>373</v>
      </c>
      <c r="IB8" s="86">
        <v>3584.49</v>
      </c>
      <c r="IE8" s="2" t="s">
        <v>373</v>
      </c>
      <c r="IF8" s="86">
        <v>2336.46</v>
      </c>
      <c r="II8" s="2" t="s">
        <v>373</v>
      </c>
      <c r="IJ8" s="86">
        <v>3149.15</v>
      </c>
      <c r="IL8" s="2" t="s">
        <v>373</v>
      </c>
      <c r="IM8" s="86"/>
      <c r="IQ8" s="2" t="s">
        <v>373</v>
      </c>
      <c r="IR8" s="86"/>
      <c r="IU8" s="2" t="s">
        <v>373</v>
      </c>
      <c r="IV8" s="86">
        <v>2649.49</v>
      </c>
      <c r="IX8" s="2" t="s">
        <v>373</v>
      </c>
      <c r="IY8" s="86">
        <v>2663.81</v>
      </c>
      <c r="JB8" s="2" t="s">
        <v>373</v>
      </c>
      <c r="JC8" s="86">
        <v>2820.81</v>
      </c>
      <c r="JE8" s="2" t="s">
        <v>373</v>
      </c>
      <c r="JF8" s="41">
        <v>3116.17</v>
      </c>
      <c r="JI8" s="2" t="s">
        <v>373</v>
      </c>
      <c r="JJ8" s="4">
        <v>2930.52</v>
      </c>
      <c r="JP8" s="2" t="s">
        <v>373</v>
      </c>
      <c r="JQ8" s="4"/>
      <c r="JS8" s="2"/>
      <c r="JT8" s="4"/>
      <c r="KE8" s="2"/>
      <c r="KN8" s="1" t="s">
        <v>372</v>
      </c>
      <c r="KO8" s="4">
        <v>110</v>
      </c>
      <c r="KQ8" s="1" t="s">
        <v>372</v>
      </c>
      <c r="KR8" s="4">
        <v>110</v>
      </c>
      <c r="KT8" s="1" t="s">
        <v>372</v>
      </c>
      <c r="KU8" s="4">
        <v>110</v>
      </c>
      <c r="KX8" s="1" t="s">
        <v>372</v>
      </c>
      <c r="KY8" s="4">
        <v>100</v>
      </c>
    </row>
    <row r="9" spans="1:314" x14ac:dyDescent="0.25">
      <c r="H9" s="21" t="s">
        <v>108</v>
      </c>
      <c r="I9" s="4"/>
      <c r="J9" s="4"/>
      <c r="K9" s="21" t="s">
        <v>109</v>
      </c>
      <c r="L9" s="4"/>
      <c r="M9" s="4"/>
      <c r="N9" s="21" t="s">
        <v>110</v>
      </c>
      <c r="P9" s="4"/>
      <c r="Q9" s="236" t="s">
        <v>111</v>
      </c>
      <c r="R9" s="236"/>
      <c r="S9" s="4"/>
      <c r="T9" s="21" t="s">
        <v>112</v>
      </c>
      <c r="U9" s="4"/>
      <c r="W9" s="21" t="s">
        <v>114</v>
      </c>
      <c r="Z9" s="21" t="s">
        <v>115</v>
      </c>
      <c r="AC9" s="21" t="s">
        <v>121</v>
      </c>
      <c r="AF9" s="21" t="s">
        <v>121</v>
      </c>
      <c r="AI9" s="21" t="s">
        <v>123</v>
      </c>
      <c r="AL9" s="21" t="s">
        <v>128</v>
      </c>
      <c r="AO9" s="21" t="s">
        <v>130</v>
      </c>
      <c r="AR9" s="1" t="s">
        <v>379</v>
      </c>
      <c r="AS9" s="4">
        <v>800</v>
      </c>
      <c r="AV9" s="1" t="s">
        <v>380</v>
      </c>
      <c r="AW9" s="4">
        <v>161</v>
      </c>
      <c r="AY9" s="1" t="s">
        <v>2</v>
      </c>
      <c r="AZ9" s="4">
        <v>2721.13</v>
      </c>
      <c r="BB9" s="1" t="s">
        <v>41</v>
      </c>
      <c r="BC9" s="4">
        <v>0</v>
      </c>
      <c r="BD9" s="1" t="s">
        <v>398</v>
      </c>
      <c r="BE9" s="1" t="s">
        <v>7</v>
      </c>
      <c r="BF9" s="4"/>
      <c r="BG9" s="1" t="s">
        <v>15</v>
      </c>
      <c r="BH9" s="1" t="s">
        <v>24</v>
      </c>
      <c r="BI9" s="4">
        <v>134</v>
      </c>
      <c r="BJ9" s="1" t="s">
        <v>25</v>
      </c>
      <c r="BK9" s="1" t="s">
        <v>2</v>
      </c>
      <c r="BL9" s="41"/>
      <c r="BN9" s="1" t="s">
        <v>2</v>
      </c>
      <c r="BO9" s="41">
        <v>2721.13</v>
      </c>
      <c r="BP9" s="1" t="s">
        <v>409</v>
      </c>
      <c r="BQ9" s="1" t="s">
        <v>9</v>
      </c>
      <c r="BR9" s="4">
        <v>445.45</v>
      </c>
      <c r="BS9" s="1" t="s">
        <v>4</v>
      </c>
      <c r="BT9" s="1" t="s">
        <v>418</v>
      </c>
      <c r="BU9" s="4">
        <v>1000</v>
      </c>
      <c r="BW9" s="1" t="s">
        <v>422</v>
      </c>
      <c r="BX9" s="41">
        <v>2721.13</v>
      </c>
      <c r="CA9" s="106" t="s">
        <v>7</v>
      </c>
      <c r="CB9" s="107">
        <v>116.16</v>
      </c>
      <c r="CC9" s="105" t="s">
        <v>431</v>
      </c>
      <c r="CE9" s="7" t="s">
        <v>444</v>
      </c>
      <c r="CI9" s="7" t="s">
        <v>450</v>
      </c>
      <c r="CM9" s="7" t="s">
        <v>444</v>
      </c>
      <c r="CO9" s="5"/>
      <c r="CR9" s="7" t="s">
        <v>465</v>
      </c>
      <c r="CV9" s="7" t="s">
        <v>469</v>
      </c>
      <c r="DA9" s="7" t="s">
        <v>480</v>
      </c>
      <c r="DF9" s="7" t="s">
        <v>483</v>
      </c>
      <c r="DH9" s="5">
        <f>DG10*3</f>
        <v>8163.39</v>
      </c>
      <c r="DJ9" s="7" t="s">
        <v>496</v>
      </c>
      <c r="DN9" s="116" t="s">
        <v>502</v>
      </c>
      <c r="DR9" s="101" t="s">
        <v>506</v>
      </c>
      <c r="DS9" s="101"/>
      <c r="DW9" s="101" t="s">
        <v>531</v>
      </c>
      <c r="DX9" s="80"/>
      <c r="EB9" s="234" t="s">
        <v>537</v>
      </c>
      <c r="EC9" s="234"/>
      <c r="EG9" s="234" t="s">
        <v>543</v>
      </c>
      <c r="EH9" s="234"/>
      <c r="EK9" s="234" t="s">
        <v>551</v>
      </c>
      <c r="EL9" s="234"/>
      <c r="EO9" s="234" t="s">
        <v>553</v>
      </c>
      <c r="EP9" s="234"/>
      <c r="ET9" s="234" t="s">
        <v>753</v>
      </c>
      <c r="EU9" s="234"/>
      <c r="JP9" s="2" t="s">
        <v>373</v>
      </c>
      <c r="JQ9" s="4">
        <v>2256.13</v>
      </c>
      <c r="JS9" s="2" t="s">
        <v>373</v>
      </c>
      <c r="JT9" s="4">
        <v>3847.94</v>
      </c>
      <c r="JV9" s="24" t="s">
        <v>373</v>
      </c>
      <c r="JW9" s="72">
        <v>2650.71</v>
      </c>
      <c r="JX9" s="5"/>
      <c r="KA9" s="24" t="s">
        <v>373</v>
      </c>
      <c r="KB9" s="72">
        <f>JW31+504</f>
        <v>831.8</v>
      </c>
      <c r="KC9" s="1" t="s">
        <v>954</v>
      </c>
      <c r="KE9" s="24" t="s">
        <v>373</v>
      </c>
      <c r="KF9" s="72">
        <v>504</v>
      </c>
      <c r="KK9" s="1" t="s">
        <v>372</v>
      </c>
      <c r="KL9" s="4">
        <v>110</v>
      </c>
      <c r="KN9" s="1" t="s">
        <v>833</v>
      </c>
      <c r="KO9" s="4">
        <v>30</v>
      </c>
      <c r="KQ9" s="1" t="s">
        <v>833</v>
      </c>
      <c r="KR9" s="4">
        <v>20</v>
      </c>
      <c r="KT9" s="1" t="s">
        <v>833</v>
      </c>
      <c r="KU9" s="4">
        <v>20</v>
      </c>
      <c r="KX9" s="1" t="s">
        <v>833</v>
      </c>
      <c r="KY9" s="4">
        <v>30</v>
      </c>
    </row>
    <row r="10" spans="1:314" x14ac:dyDescent="0.25">
      <c r="A10" s="6" t="s">
        <v>12</v>
      </c>
      <c r="H10" s="1" t="s">
        <v>98</v>
      </c>
      <c r="I10" s="4">
        <f>+C37</f>
        <v>209.06</v>
      </c>
      <c r="J10" s="4"/>
      <c r="K10" s="1" t="s">
        <v>147</v>
      </c>
      <c r="L10" s="4">
        <v>18.23</v>
      </c>
      <c r="M10" s="4"/>
      <c r="N10" s="1" t="s">
        <v>107</v>
      </c>
      <c r="O10" s="4">
        <v>2721.13</v>
      </c>
      <c r="P10" s="4"/>
      <c r="Q10" s="1" t="s">
        <v>85</v>
      </c>
      <c r="R10" s="4">
        <v>251.36</v>
      </c>
      <c r="S10" s="4"/>
      <c r="T10" s="60" t="s">
        <v>198</v>
      </c>
      <c r="U10" s="61">
        <v>25</v>
      </c>
      <c r="W10" s="1" t="s">
        <v>7</v>
      </c>
      <c r="X10" s="4">
        <v>71.819999999999993</v>
      </c>
      <c r="Z10" s="1" t="s">
        <v>54</v>
      </c>
      <c r="AA10" s="5">
        <v>105.95</v>
      </c>
      <c r="AD10" s="4"/>
      <c r="AF10" s="1" t="s">
        <v>32</v>
      </c>
      <c r="AG10" s="4">
        <v>106.04</v>
      </c>
      <c r="AI10" s="1" t="s">
        <v>54</v>
      </c>
      <c r="AJ10" s="37">
        <v>108.95</v>
      </c>
      <c r="AM10" s="4"/>
      <c r="AO10" s="1" t="s">
        <v>29</v>
      </c>
      <c r="AP10" s="4">
        <v>78</v>
      </c>
      <c r="AR10" s="1" t="s">
        <v>372</v>
      </c>
      <c r="AS10" s="4">
        <v>115</v>
      </c>
      <c r="AV10" s="1" t="s">
        <v>55</v>
      </c>
      <c r="AW10" s="4">
        <v>50</v>
      </c>
      <c r="AY10" s="1" t="s">
        <v>9</v>
      </c>
      <c r="AZ10" s="4">
        <v>445.45</v>
      </c>
      <c r="BA10" s="1" t="s">
        <v>393</v>
      </c>
      <c r="BB10" s="26" t="s">
        <v>29</v>
      </c>
      <c r="BC10" s="4">
        <v>82</v>
      </c>
      <c r="BD10" s="25" t="s">
        <v>93</v>
      </c>
      <c r="BE10" s="1" t="s">
        <v>8</v>
      </c>
      <c r="BF10" s="4"/>
      <c r="BG10" s="1" t="s">
        <v>405</v>
      </c>
      <c r="BH10" s="1" t="s">
        <v>32</v>
      </c>
      <c r="BI10" s="4">
        <v>100</v>
      </c>
      <c r="BJ10" s="1" t="s">
        <v>94</v>
      </c>
      <c r="BK10" s="1" t="s">
        <v>9</v>
      </c>
      <c r="BL10" s="4">
        <v>0</v>
      </c>
      <c r="BN10" s="1" t="s">
        <v>9</v>
      </c>
      <c r="BO10" s="4">
        <v>445.45</v>
      </c>
      <c r="BP10" s="1" t="s">
        <v>4</v>
      </c>
      <c r="BQ10" s="1" t="s">
        <v>18</v>
      </c>
      <c r="BR10" s="4">
        <v>251.36</v>
      </c>
      <c r="BS10" s="1" t="s">
        <v>19</v>
      </c>
      <c r="BT10" s="1" t="s">
        <v>372</v>
      </c>
      <c r="BU10" s="4">
        <v>150</v>
      </c>
      <c r="BW10" s="1" t="s">
        <v>9</v>
      </c>
      <c r="BX10" s="4">
        <v>445.45</v>
      </c>
      <c r="BY10" s="1" t="s">
        <v>4</v>
      </c>
      <c r="CA10" s="106" t="s">
        <v>8</v>
      </c>
      <c r="CB10" s="107">
        <v>90.34</v>
      </c>
      <c r="CC10" s="105" t="s">
        <v>431</v>
      </c>
      <c r="CE10" s="1" t="s">
        <v>2</v>
      </c>
      <c r="CF10" s="41">
        <v>2721.13</v>
      </c>
      <c r="CG10" s="1" t="s">
        <v>409</v>
      </c>
      <c r="CI10" s="1" t="s">
        <v>7</v>
      </c>
      <c r="CJ10" s="4">
        <v>145.25</v>
      </c>
      <c r="CK10" s="1" t="s">
        <v>456</v>
      </c>
      <c r="CM10" s="1" t="s">
        <v>2</v>
      </c>
      <c r="CN10" s="41">
        <v>2721.13</v>
      </c>
      <c r="CO10" s="1" t="s">
        <v>4</v>
      </c>
      <c r="CR10" s="1" t="s">
        <v>20</v>
      </c>
      <c r="CS10" s="4"/>
      <c r="CT10" s="1" t="s">
        <v>93</v>
      </c>
      <c r="CV10" s="1" t="s">
        <v>7</v>
      </c>
      <c r="CW10" s="110">
        <v>187.72</v>
      </c>
      <c r="CX10" s="1" t="s">
        <v>472</v>
      </c>
      <c r="CY10" s="6" t="s">
        <v>484</v>
      </c>
      <c r="DA10" s="1" t="s">
        <v>460</v>
      </c>
      <c r="DB10" s="110">
        <v>186</v>
      </c>
      <c r="DC10" s="1" t="s">
        <v>25</v>
      </c>
      <c r="DF10" s="1" t="s">
        <v>2</v>
      </c>
      <c r="DG10" s="110">
        <v>2721.13</v>
      </c>
      <c r="DH10" s="1" t="s">
        <v>4</v>
      </c>
      <c r="DJ10" s="26" t="s">
        <v>29</v>
      </c>
      <c r="DK10" s="27">
        <v>82</v>
      </c>
      <c r="DL10" s="25" t="s">
        <v>93</v>
      </c>
      <c r="DN10" s="1" t="s">
        <v>7</v>
      </c>
      <c r="DO10" s="107">
        <v>160.85</v>
      </c>
      <c r="DP10" s="1" t="s">
        <v>503</v>
      </c>
      <c r="DR10" s="1" t="s">
        <v>35</v>
      </c>
      <c r="DS10" s="107">
        <v>243</v>
      </c>
      <c r="DT10" s="1" t="s">
        <v>25</v>
      </c>
      <c r="DW10" s="1" t="s">
        <v>18</v>
      </c>
      <c r="DX10" s="110">
        <v>259.42</v>
      </c>
      <c r="DY10" s="1" t="s">
        <v>19</v>
      </c>
      <c r="EB10" s="1" t="s">
        <v>8</v>
      </c>
      <c r="EC10" s="4"/>
      <c r="EG10" s="129" t="s">
        <v>35</v>
      </c>
      <c r="EH10" s="110">
        <v>251</v>
      </c>
      <c r="EI10" s="131" t="s">
        <v>73</v>
      </c>
      <c r="EK10" s="129" t="s">
        <v>32</v>
      </c>
      <c r="EL10" s="110">
        <v>100.59</v>
      </c>
      <c r="EM10" s="1" t="s">
        <v>94</v>
      </c>
      <c r="EO10" s="1" t="s">
        <v>74</v>
      </c>
      <c r="EP10" s="4">
        <v>29</v>
      </c>
      <c r="EQ10" s="1" t="s">
        <v>19</v>
      </c>
      <c r="ET10" s="177" t="s">
        <v>29</v>
      </c>
      <c r="EU10" s="179">
        <v>73</v>
      </c>
      <c r="EV10" s="177" t="s">
        <v>93</v>
      </c>
      <c r="EW10" s="234" t="s">
        <v>765</v>
      </c>
      <c r="EX10" s="234"/>
      <c r="EZ10" s="234" t="s">
        <v>767</v>
      </c>
      <c r="FA10" s="234"/>
      <c r="FE10" s="234" t="s">
        <v>769</v>
      </c>
      <c r="FF10" s="234"/>
      <c r="FJ10" s="234" t="s">
        <v>772</v>
      </c>
      <c r="FK10" s="234"/>
      <c r="FO10" s="234" t="s">
        <v>781</v>
      </c>
      <c r="FP10" s="234"/>
      <c r="FR10" s="234" t="s">
        <v>775</v>
      </c>
      <c r="FS10" s="234"/>
      <c r="FW10" s="234" t="s">
        <v>802</v>
      </c>
      <c r="FX10" s="234"/>
      <c r="GA10" s="234" t="s">
        <v>803</v>
      </c>
      <c r="GB10" s="234"/>
      <c r="GF10" s="234" t="s">
        <v>805</v>
      </c>
      <c r="GG10" s="234"/>
      <c r="GI10" s="234" t="s">
        <v>807</v>
      </c>
      <c r="GJ10" s="234"/>
      <c r="GL10" s="234" t="s">
        <v>823</v>
      </c>
      <c r="GM10" s="234"/>
      <c r="GO10" s="234" t="s">
        <v>824</v>
      </c>
      <c r="GP10" s="234"/>
      <c r="GS10" s="234" t="s">
        <v>827</v>
      </c>
      <c r="GT10" s="234"/>
      <c r="GW10" s="234" t="s">
        <v>830</v>
      </c>
      <c r="GX10" s="234"/>
      <c r="HB10" s="234" t="s">
        <v>839</v>
      </c>
      <c r="HC10" s="234"/>
      <c r="HF10" s="234" t="s">
        <v>840</v>
      </c>
      <c r="HG10" s="234"/>
      <c r="HK10" s="234" t="s">
        <v>840</v>
      </c>
      <c r="HL10" s="234"/>
      <c r="HN10" s="234" t="s">
        <v>840</v>
      </c>
      <c r="HO10" s="234"/>
      <c r="HR10" s="234" t="s">
        <v>840</v>
      </c>
      <c r="HS10" s="234"/>
      <c r="HV10" s="234" t="s">
        <v>849</v>
      </c>
      <c r="HW10" s="234"/>
      <c r="IA10" s="234" t="s">
        <v>827</v>
      </c>
      <c r="IB10" s="234"/>
      <c r="IE10" s="234" t="s">
        <v>854</v>
      </c>
      <c r="IF10" s="234"/>
      <c r="II10" s="234" t="s">
        <v>857</v>
      </c>
      <c r="IJ10" s="234"/>
      <c r="IL10" s="234" t="s">
        <v>857</v>
      </c>
      <c r="IM10" s="234"/>
      <c r="IQ10" s="234" t="s">
        <v>857</v>
      </c>
      <c r="IR10" s="234"/>
      <c r="IU10" s="234" t="s">
        <v>861</v>
      </c>
      <c r="IV10" s="234"/>
      <c r="IX10" s="234" t="s">
        <v>863</v>
      </c>
      <c r="IY10" s="234"/>
      <c r="JB10" s="234" t="s">
        <v>872</v>
      </c>
      <c r="JC10" s="234"/>
      <c r="JE10" s="234" t="s">
        <v>875</v>
      </c>
      <c r="JF10" s="234"/>
      <c r="JI10" s="234" t="s">
        <v>888</v>
      </c>
      <c r="JJ10" s="234"/>
      <c r="KK10" s="1" t="s">
        <v>833</v>
      </c>
      <c r="KL10" s="4">
        <v>30</v>
      </c>
      <c r="KN10" s="1" t="s">
        <v>104</v>
      </c>
      <c r="KO10" s="4">
        <v>100</v>
      </c>
      <c r="KQ10" s="1" t="s">
        <v>104</v>
      </c>
      <c r="KR10" s="4">
        <v>100</v>
      </c>
      <c r="KT10" s="1" t="s">
        <v>104</v>
      </c>
      <c r="KU10" s="4">
        <v>100</v>
      </c>
      <c r="KX10" s="1" t="s">
        <v>104</v>
      </c>
      <c r="KY10" s="4">
        <v>100</v>
      </c>
    </row>
    <row r="11" spans="1:314" x14ac:dyDescent="0.25">
      <c r="A11" s="80" t="s">
        <v>13</v>
      </c>
      <c r="B11" s="80" t="s">
        <v>93</v>
      </c>
      <c r="C11" s="113">
        <v>262</v>
      </c>
      <c r="D11" s="113">
        <v>0</v>
      </c>
      <c r="E11" s="114" t="s">
        <v>485</v>
      </c>
      <c r="F11" s="80"/>
      <c r="H11" s="1" t="s">
        <v>141</v>
      </c>
      <c r="I11" s="4">
        <v>41.71</v>
      </c>
      <c r="J11" s="4"/>
      <c r="L11" s="4"/>
      <c r="M11" s="4"/>
      <c r="N11" s="1" t="s">
        <v>86</v>
      </c>
      <c r="O11" s="4">
        <v>80.5</v>
      </c>
      <c r="P11" s="4"/>
      <c r="Q11" s="1" t="s">
        <v>74</v>
      </c>
      <c r="R11" s="4">
        <v>29</v>
      </c>
      <c r="S11" s="4"/>
      <c r="T11" s="1" t="s">
        <v>54</v>
      </c>
      <c r="U11" s="4">
        <v>106.71</v>
      </c>
      <c r="W11" s="1" t="s">
        <v>29</v>
      </c>
      <c r="X11" s="5">
        <v>82</v>
      </c>
      <c r="Z11" s="1" t="s">
        <v>92</v>
      </c>
      <c r="AA11" s="5"/>
      <c r="AC11" s="1" t="s">
        <v>35</v>
      </c>
      <c r="AD11" s="4">
        <v>287</v>
      </c>
      <c r="AF11" s="60" t="s">
        <v>198</v>
      </c>
      <c r="AG11" s="4">
        <v>400</v>
      </c>
      <c r="AI11" s="1" t="s">
        <v>92</v>
      </c>
      <c r="AJ11" s="5">
        <v>57.1</v>
      </c>
      <c r="AL11" s="1" t="s">
        <v>18</v>
      </c>
      <c r="AM11" s="4">
        <v>251.36</v>
      </c>
      <c r="AO11" s="1" t="s">
        <v>34</v>
      </c>
      <c r="AP11" s="4">
        <v>68</v>
      </c>
      <c r="AR11" s="1" t="s">
        <v>55</v>
      </c>
      <c r="AS11" s="4">
        <v>50</v>
      </c>
      <c r="AV11" s="1" t="s">
        <v>372</v>
      </c>
      <c r="AW11" s="4">
        <v>120</v>
      </c>
      <c r="AY11" s="1" t="s">
        <v>18</v>
      </c>
      <c r="AZ11" s="4">
        <v>251.36</v>
      </c>
      <c r="BA11" s="1" t="s">
        <v>394</v>
      </c>
      <c r="BB11" s="1" t="s">
        <v>34</v>
      </c>
      <c r="BC11" s="4">
        <v>69</v>
      </c>
      <c r="BD11" s="1" t="s">
        <v>30</v>
      </c>
      <c r="BE11" s="1" t="s">
        <v>20</v>
      </c>
      <c r="BF11" s="102">
        <v>836.51</v>
      </c>
      <c r="BG11" s="1" t="s">
        <v>21</v>
      </c>
      <c r="BH11" s="1" t="s">
        <v>35</v>
      </c>
      <c r="BI11" s="4">
        <v>258</v>
      </c>
      <c r="BJ11" s="1" t="s">
        <v>73</v>
      </c>
      <c r="BK11" s="1" t="s">
        <v>18</v>
      </c>
      <c r="BL11" s="4">
        <v>0</v>
      </c>
      <c r="BN11" s="1" t="s">
        <v>417</v>
      </c>
      <c r="BO11" s="4">
        <v>300</v>
      </c>
      <c r="BQ11" s="1" t="s">
        <v>363</v>
      </c>
      <c r="BR11" s="4"/>
      <c r="BT11" s="1" t="s">
        <v>363</v>
      </c>
      <c r="BU11" s="4">
        <v>20</v>
      </c>
      <c r="BW11" s="1" t="s">
        <v>18</v>
      </c>
      <c r="BX11" s="4">
        <v>251.36</v>
      </c>
      <c r="BY11" s="1" t="s">
        <v>19</v>
      </c>
      <c r="CA11" s="106" t="s">
        <v>432</v>
      </c>
      <c r="CB11" s="107">
        <v>763.07</v>
      </c>
      <c r="CC11" s="105" t="s">
        <v>431</v>
      </c>
      <c r="CE11" s="1" t="s">
        <v>9</v>
      </c>
      <c r="CF11" s="107">
        <v>445.45</v>
      </c>
      <c r="CG11" s="1" t="s">
        <v>4</v>
      </c>
      <c r="CI11" s="1" t="s">
        <v>8</v>
      </c>
      <c r="CJ11" s="4">
        <v>120.54</v>
      </c>
      <c r="CK11" s="1" t="s">
        <v>27</v>
      </c>
      <c r="CM11" s="106" t="s">
        <v>9</v>
      </c>
      <c r="CN11" s="107">
        <v>445.45</v>
      </c>
      <c r="CO11" s="106" t="s">
        <v>4</v>
      </c>
      <c r="CR11" s="1" t="s">
        <v>29</v>
      </c>
      <c r="CS11" s="110">
        <v>78</v>
      </c>
      <c r="CT11" s="1" t="s">
        <v>93</v>
      </c>
      <c r="CV11" s="1" t="s">
        <v>8</v>
      </c>
      <c r="CW11" s="110">
        <v>208.38</v>
      </c>
      <c r="CX11" s="1" t="s">
        <v>471</v>
      </c>
      <c r="CY11" s="6" t="s">
        <v>484</v>
      </c>
      <c r="DA11" s="1" t="s">
        <v>24</v>
      </c>
      <c r="DB11" s="110">
        <v>134</v>
      </c>
      <c r="DC11" s="1" t="s">
        <v>25</v>
      </c>
      <c r="DF11" s="1" t="s">
        <v>9</v>
      </c>
      <c r="DG11" s="110">
        <v>445.45</v>
      </c>
      <c r="DH11" s="1" t="s">
        <v>4</v>
      </c>
      <c r="DJ11" s="1" t="s">
        <v>34</v>
      </c>
      <c r="DK11" s="9">
        <v>65</v>
      </c>
      <c r="DL11" s="1" t="s">
        <v>30</v>
      </c>
      <c r="DN11" s="1" t="s">
        <v>8</v>
      </c>
      <c r="DO11" s="107">
        <v>194.14</v>
      </c>
      <c r="DP11" s="1" t="s">
        <v>503</v>
      </c>
      <c r="DR11" s="1" t="s">
        <v>460</v>
      </c>
      <c r="DS11" s="107">
        <v>186</v>
      </c>
      <c r="DT11" s="1" t="s">
        <v>25</v>
      </c>
      <c r="DW11" s="1" t="s">
        <v>74</v>
      </c>
      <c r="DX11" s="110">
        <v>29</v>
      </c>
      <c r="DY11" s="1" t="s">
        <v>19</v>
      </c>
      <c r="EB11" s="1" t="s">
        <v>41</v>
      </c>
      <c r="EC11" s="9">
        <v>0</v>
      </c>
      <c r="EG11" s="129" t="s">
        <v>7</v>
      </c>
      <c r="EH11" s="110">
        <v>146.68</v>
      </c>
      <c r="EI11" s="130" t="s">
        <v>541</v>
      </c>
      <c r="EK11" s="129" t="s">
        <v>5</v>
      </c>
      <c r="EL11" s="110">
        <v>21</v>
      </c>
      <c r="EM11" s="129" t="s">
        <v>434</v>
      </c>
      <c r="EN11" s="129"/>
      <c r="EO11" s="1" t="s">
        <v>33</v>
      </c>
      <c r="EP11" s="4">
        <v>150</v>
      </c>
      <c r="EQ11" s="1" t="s">
        <v>19</v>
      </c>
      <c r="ET11" s="177" t="s">
        <v>34</v>
      </c>
      <c r="EU11" s="179">
        <v>77</v>
      </c>
      <c r="EV11" s="177" t="s">
        <v>30</v>
      </c>
      <c r="EW11" s="1" t="s">
        <v>7</v>
      </c>
      <c r="EX11" s="4">
        <v>146.75</v>
      </c>
      <c r="EY11" s="1" t="s">
        <v>15</v>
      </c>
      <c r="EZ11" s="1" t="s">
        <v>794</v>
      </c>
      <c r="FA11" s="4">
        <v>243</v>
      </c>
      <c r="FB11" s="1" t="s">
        <v>25</v>
      </c>
      <c r="FJ11" s="110" t="s">
        <v>29</v>
      </c>
      <c r="FK11" s="110">
        <v>73</v>
      </c>
      <c r="FL11" s="1" t="s">
        <v>30</v>
      </c>
      <c r="FO11" s="129" t="s">
        <v>7</v>
      </c>
      <c r="FP11" s="110">
        <v>84.58</v>
      </c>
      <c r="FQ11" s="109">
        <v>45457</v>
      </c>
      <c r="FR11" s="129" t="s">
        <v>763</v>
      </c>
      <c r="FS11" s="110">
        <v>281.35000000000002</v>
      </c>
      <c r="FT11" s="1" t="s">
        <v>764</v>
      </c>
      <c r="FW11" s="1" t="s">
        <v>5</v>
      </c>
      <c r="FX11" s="4">
        <v>18.25</v>
      </c>
      <c r="FY11" s="1" t="s">
        <v>434</v>
      </c>
      <c r="GA11" s="1" t="s">
        <v>18</v>
      </c>
      <c r="GB11" s="4">
        <v>259.42</v>
      </c>
      <c r="GC11" s="1" t="s">
        <v>19</v>
      </c>
      <c r="GF11" s="106" t="s">
        <v>811</v>
      </c>
      <c r="GG11" s="190">
        <v>31.67</v>
      </c>
      <c r="GH11" s="109">
        <v>45487</v>
      </c>
      <c r="GI11" s="1" t="s">
        <v>35</v>
      </c>
      <c r="GJ11" s="193">
        <v>251</v>
      </c>
      <c r="GK11" s="1" t="s">
        <v>73</v>
      </c>
      <c r="GL11" s="1" t="s">
        <v>32</v>
      </c>
      <c r="GM11" s="4">
        <v>100.59</v>
      </c>
      <c r="GN11" s="1" t="s">
        <v>94</v>
      </c>
      <c r="GO11" s="1" t="s">
        <v>28</v>
      </c>
      <c r="GP11" s="4">
        <v>20</v>
      </c>
      <c r="GQ11" s="1" t="s">
        <v>14</v>
      </c>
      <c r="GS11" s="29" t="s">
        <v>13</v>
      </c>
      <c r="GT11" s="110">
        <v>792.65</v>
      </c>
      <c r="GW11" s="129" t="s">
        <v>489</v>
      </c>
      <c r="GX11" s="110">
        <v>141</v>
      </c>
      <c r="GY11" s="129" t="s">
        <v>490</v>
      </c>
      <c r="GZ11" s="129"/>
      <c r="HB11" s="1" t="s">
        <v>798</v>
      </c>
      <c r="HC11" s="4">
        <v>241</v>
      </c>
      <c r="HD11" s="1" t="s">
        <v>25</v>
      </c>
      <c r="HF11" s="1" t="s">
        <v>2</v>
      </c>
      <c r="HG11" s="4">
        <v>2741.43</v>
      </c>
      <c r="HH11" s="1" t="s">
        <v>4</v>
      </c>
      <c r="HK11" s="1" t="s">
        <v>29</v>
      </c>
      <c r="HL11" s="4">
        <v>77</v>
      </c>
      <c r="HM11" s="1" t="s">
        <v>93</v>
      </c>
      <c r="HN11" s="1" t="s">
        <v>811</v>
      </c>
      <c r="HO11" s="4"/>
      <c r="HP11" s="34">
        <v>45520</v>
      </c>
      <c r="HR11" s="1" t="s">
        <v>372</v>
      </c>
      <c r="HS11" s="4">
        <v>110</v>
      </c>
      <c r="HV11" s="1" t="s">
        <v>372</v>
      </c>
      <c r="HW11" s="4">
        <v>110</v>
      </c>
      <c r="IA11" s="2" t="s">
        <v>13</v>
      </c>
      <c r="IB11" s="4">
        <v>792.65</v>
      </c>
      <c r="IE11" s="129" t="s">
        <v>811</v>
      </c>
      <c r="IF11" s="110">
        <v>49.95</v>
      </c>
      <c r="IG11" s="200">
        <v>45578</v>
      </c>
      <c r="II11" s="1" t="s">
        <v>372</v>
      </c>
      <c r="IJ11" s="4">
        <v>110</v>
      </c>
      <c r="IK11" s="34"/>
      <c r="IL11" s="1" t="s">
        <v>372</v>
      </c>
      <c r="IM11" s="4">
        <v>110</v>
      </c>
      <c r="IQ11" s="1" t="s">
        <v>372</v>
      </c>
      <c r="IR11" s="4">
        <v>110</v>
      </c>
      <c r="IU11" s="1" t="s">
        <v>372</v>
      </c>
      <c r="IV11" s="4">
        <v>110</v>
      </c>
      <c r="IX11" s="1" t="s">
        <v>372</v>
      </c>
      <c r="IY11" s="4">
        <v>120</v>
      </c>
      <c r="JB11" s="1" t="s">
        <v>372</v>
      </c>
      <c r="JC11" s="4">
        <v>110</v>
      </c>
      <c r="JE11" s="1" t="s">
        <v>372</v>
      </c>
      <c r="JF11" s="4">
        <v>196.68</v>
      </c>
      <c r="JG11" s="1">
        <v>196.68</v>
      </c>
      <c r="JI11" s="1" t="s">
        <v>372</v>
      </c>
      <c r="JJ11" s="4">
        <v>120</v>
      </c>
      <c r="JP11" s="234" t="s">
        <v>894</v>
      </c>
      <c r="JQ11" s="234"/>
      <c r="JS11" s="234" t="s">
        <v>896</v>
      </c>
      <c r="JT11" s="234"/>
      <c r="JV11" s="234" t="s">
        <v>943</v>
      </c>
      <c r="JW11" s="234"/>
      <c r="KA11" s="234" t="s">
        <v>945</v>
      </c>
      <c r="KB11" s="234"/>
      <c r="KE11" s="234" t="s">
        <v>949</v>
      </c>
      <c r="KF11" s="234"/>
      <c r="KK11" s="1" t="s">
        <v>104</v>
      </c>
      <c r="KL11" s="4">
        <v>100</v>
      </c>
      <c r="KN11" s="1" t="s">
        <v>2</v>
      </c>
      <c r="KO11" s="4">
        <v>2741.43</v>
      </c>
      <c r="KP11" s="1" t="s">
        <v>950</v>
      </c>
      <c r="KQ11" s="1" t="s">
        <v>877</v>
      </c>
      <c r="KR11" s="1">
        <v>269.02999999999997</v>
      </c>
      <c r="KS11" s="1" t="s">
        <v>817</v>
      </c>
      <c r="KT11" s="1" t="s">
        <v>980</v>
      </c>
      <c r="KU11" s="4">
        <v>40</v>
      </c>
      <c r="KV11" s="1" t="s">
        <v>979</v>
      </c>
      <c r="KX11" s="1" t="s">
        <v>1015</v>
      </c>
      <c r="KY11" s="4">
        <v>259</v>
      </c>
    </row>
    <row r="12" spans="1:314" x14ac:dyDescent="0.25">
      <c r="A12" s="80" t="s">
        <v>433</v>
      </c>
      <c r="B12" s="80" t="s">
        <v>93</v>
      </c>
      <c r="C12" s="113">
        <v>763</v>
      </c>
      <c r="D12" s="113"/>
      <c r="E12" s="114" t="s">
        <v>485</v>
      </c>
      <c r="F12" s="80"/>
      <c r="I12" s="4"/>
      <c r="J12" s="4"/>
      <c r="L12" s="4"/>
      <c r="M12" s="4"/>
      <c r="P12" s="4"/>
      <c r="R12" s="4"/>
      <c r="S12" s="4"/>
      <c r="U12" s="4"/>
      <c r="X12" s="5"/>
      <c r="AA12" s="5"/>
      <c r="AD12" s="4"/>
      <c r="AF12" s="60"/>
      <c r="AG12" s="4"/>
      <c r="AJ12" s="5"/>
      <c r="AM12" s="4"/>
      <c r="AP12" s="4"/>
      <c r="AS12" s="4"/>
      <c r="AW12" s="4"/>
      <c r="AZ12" s="4"/>
      <c r="BC12" s="4"/>
      <c r="BF12" s="102"/>
      <c r="BI12" s="4"/>
      <c r="BL12" s="4"/>
      <c r="BO12" s="4"/>
      <c r="BR12" s="4"/>
      <c r="BU12" s="4"/>
      <c r="BX12" s="4"/>
      <c r="CA12" s="106" t="s">
        <v>10</v>
      </c>
      <c r="CB12" s="107">
        <v>246</v>
      </c>
      <c r="CE12" s="1" t="s">
        <v>18</v>
      </c>
      <c r="CF12" s="107">
        <v>251.36</v>
      </c>
      <c r="CG12" s="1" t="s">
        <v>19</v>
      </c>
      <c r="CI12" s="1" t="s">
        <v>432</v>
      </c>
      <c r="CJ12" s="107">
        <f>763.07</f>
        <v>763.07</v>
      </c>
      <c r="CM12" s="106" t="s">
        <v>462</v>
      </c>
      <c r="CN12" s="107">
        <v>20</v>
      </c>
      <c r="CO12" s="106" t="s">
        <v>463</v>
      </c>
      <c r="CR12" s="1" t="s">
        <v>34</v>
      </c>
      <c r="CS12" s="110">
        <v>69</v>
      </c>
      <c r="CT12" s="1" t="s">
        <v>30</v>
      </c>
      <c r="CV12" s="1" t="s">
        <v>10</v>
      </c>
      <c r="CW12" s="110">
        <v>264.85000000000002</v>
      </c>
      <c r="CX12" s="109">
        <v>45342</v>
      </c>
      <c r="DA12" s="1" t="s">
        <v>32</v>
      </c>
      <c r="DB12" s="110">
        <v>100.59</v>
      </c>
      <c r="DC12" s="1" t="s">
        <v>94</v>
      </c>
      <c r="DF12" s="1" t="s">
        <v>462</v>
      </c>
      <c r="DG12" s="110">
        <v>20</v>
      </c>
      <c r="DH12" s="1" t="s">
        <v>463</v>
      </c>
      <c r="DJ12" s="1" t="s">
        <v>41</v>
      </c>
      <c r="DK12" s="9"/>
      <c r="DL12" s="1" t="s">
        <v>42</v>
      </c>
      <c r="DN12" s="1" t="s">
        <v>10</v>
      </c>
      <c r="DO12" s="4">
        <v>264.85000000000002</v>
      </c>
      <c r="DP12" s="109">
        <v>45342</v>
      </c>
      <c r="DR12" s="1" t="s">
        <v>24</v>
      </c>
      <c r="DS12" s="107">
        <v>134</v>
      </c>
      <c r="DT12" s="1" t="s">
        <v>25</v>
      </c>
      <c r="DW12" s="1" t="s">
        <v>33</v>
      </c>
      <c r="DX12" s="110">
        <v>150</v>
      </c>
      <c r="DY12" s="1" t="s">
        <v>19</v>
      </c>
      <c r="EB12" s="1" t="s">
        <v>534</v>
      </c>
      <c r="EC12" s="4">
        <v>25</v>
      </c>
      <c r="ED12" s="1">
        <f>20.1</f>
        <v>20.100000000000001</v>
      </c>
      <c r="EG12" s="1" t="s">
        <v>10</v>
      </c>
      <c r="EH12" s="4">
        <v>264.85000000000002</v>
      </c>
      <c r="EI12" s="34">
        <v>45342</v>
      </c>
      <c r="EK12" s="129" t="s">
        <v>2</v>
      </c>
      <c r="EL12" s="110"/>
      <c r="EM12" s="129" t="s">
        <v>409</v>
      </c>
      <c r="EN12" s="129"/>
      <c r="EO12" s="1" t="s">
        <v>38</v>
      </c>
      <c r="EP12" s="4">
        <v>100</v>
      </c>
      <c r="EQ12" s="1" t="s">
        <v>19</v>
      </c>
      <c r="ET12" s="1" t="s">
        <v>554</v>
      </c>
      <c r="EU12" s="4">
        <v>40</v>
      </c>
      <c r="EW12" s="1" t="s">
        <v>8</v>
      </c>
      <c r="EX12" s="1">
        <v>92.18</v>
      </c>
      <c r="EY12" s="1" t="s">
        <v>21</v>
      </c>
      <c r="EZ12" s="1" t="s">
        <v>460</v>
      </c>
      <c r="FA12" s="4">
        <v>186</v>
      </c>
      <c r="FB12" s="1" t="s">
        <v>25</v>
      </c>
      <c r="FJ12" s="110" t="s">
        <v>34</v>
      </c>
      <c r="FK12" s="110">
        <v>81</v>
      </c>
      <c r="FL12" s="1" t="s">
        <v>30</v>
      </c>
      <c r="FO12" s="129" t="s">
        <v>8</v>
      </c>
      <c r="FP12" s="110">
        <v>79.97</v>
      </c>
      <c r="FQ12" s="109">
        <v>45459</v>
      </c>
      <c r="FR12" s="129" t="s">
        <v>797</v>
      </c>
      <c r="FS12" s="110">
        <v>299</v>
      </c>
      <c r="FT12" s="1" t="s">
        <v>73</v>
      </c>
      <c r="FW12" s="1" t="s">
        <v>2</v>
      </c>
      <c r="FX12" s="4">
        <v>2741.43</v>
      </c>
      <c r="GA12" s="1" t="s">
        <v>74</v>
      </c>
      <c r="GB12" s="4">
        <v>262</v>
      </c>
      <c r="GC12" s="1" t="s">
        <v>19</v>
      </c>
      <c r="GF12" s="106" t="s">
        <v>8</v>
      </c>
      <c r="GG12" s="190">
        <v>111.44</v>
      </c>
      <c r="GH12" s="109">
        <v>45491</v>
      </c>
      <c r="GI12" s="1" t="s">
        <v>29</v>
      </c>
      <c r="GJ12" s="189">
        <v>82</v>
      </c>
      <c r="GK12" s="1" t="s">
        <v>27</v>
      </c>
      <c r="GL12" s="1" t="s">
        <v>5</v>
      </c>
      <c r="GM12" s="4">
        <v>20</v>
      </c>
      <c r="GO12" s="129" t="s">
        <v>18</v>
      </c>
      <c r="GP12" s="110">
        <v>259.42</v>
      </c>
      <c r="GQ12" s="1" t="s">
        <v>19</v>
      </c>
      <c r="GS12" s="129" t="s">
        <v>29</v>
      </c>
      <c r="GT12" s="110">
        <v>77</v>
      </c>
      <c r="GU12" s="1" t="s">
        <v>93</v>
      </c>
      <c r="GW12" s="129" t="s">
        <v>763</v>
      </c>
      <c r="GX12" s="110">
        <v>281.35000000000002</v>
      </c>
      <c r="GY12" s="129" t="s">
        <v>817</v>
      </c>
      <c r="GZ12" s="129"/>
      <c r="HB12" s="1" t="s">
        <v>460</v>
      </c>
      <c r="HC12" s="4">
        <v>194</v>
      </c>
      <c r="HD12" s="1" t="s">
        <v>25</v>
      </c>
      <c r="HF12" s="1" t="s">
        <v>9</v>
      </c>
      <c r="HG12" s="4">
        <v>445.45</v>
      </c>
      <c r="HH12" s="1" t="s">
        <v>4</v>
      </c>
      <c r="HK12" s="1" t="s">
        <v>34</v>
      </c>
      <c r="HL12" s="4">
        <v>90</v>
      </c>
      <c r="HM12" s="1" t="s">
        <v>30</v>
      </c>
      <c r="HN12" s="1" t="s">
        <v>8</v>
      </c>
      <c r="HO12" s="4"/>
      <c r="HP12" s="34">
        <v>45490</v>
      </c>
      <c r="HR12" s="1" t="s">
        <v>55</v>
      </c>
      <c r="HS12" s="4">
        <v>40</v>
      </c>
      <c r="HV12" s="1" t="s">
        <v>833</v>
      </c>
      <c r="HW12" s="4">
        <v>30</v>
      </c>
      <c r="IA12" s="1" t="s">
        <v>29</v>
      </c>
      <c r="IB12" s="4">
        <v>77</v>
      </c>
      <c r="IC12" s="1" t="s">
        <v>93</v>
      </c>
      <c r="IE12" s="129" t="s">
        <v>8</v>
      </c>
      <c r="IF12" s="110">
        <v>102.1</v>
      </c>
      <c r="IG12" s="200">
        <v>45583</v>
      </c>
      <c r="II12" s="1" t="s">
        <v>833</v>
      </c>
      <c r="IJ12" s="4">
        <v>30</v>
      </c>
      <c r="IK12" s="34"/>
      <c r="IL12" s="1" t="s">
        <v>833</v>
      </c>
      <c r="IM12" s="4">
        <v>30</v>
      </c>
      <c r="IQ12" s="1" t="s">
        <v>833</v>
      </c>
      <c r="IR12" s="4">
        <v>30</v>
      </c>
      <c r="IU12" s="1" t="s">
        <v>833</v>
      </c>
      <c r="IV12" s="4">
        <v>30</v>
      </c>
      <c r="IX12" s="1" t="s">
        <v>833</v>
      </c>
      <c r="IY12" s="4">
        <v>40</v>
      </c>
      <c r="JB12" s="1" t="s">
        <v>833</v>
      </c>
      <c r="JC12" s="4">
        <v>40</v>
      </c>
      <c r="JE12" s="1" t="s">
        <v>833</v>
      </c>
      <c r="JF12" s="4">
        <v>40</v>
      </c>
      <c r="JG12" s="1">
        <v>20</v>
      </c>
      <c r="JI12" s="1" t="s">
        <v>833</v>
      </c>
      <c r="JJ12" s="4">
        <v>40</v>
      </c>
      <c r="JV12" s="1" t="s">
        <v>372</v>
      </c>
      <c r="JW12" s="4">
        <v>110</v>
      </c>
      <c r="JX12" s="1">
        <f>15.18+78.35</f>
        <v>93.53</v>
      </c>
      <c r="KA12" s="1" t="s">
        <v>104</v>
      </c>
      <c r="KB12" s="4">
        <v>38.06</v>
      </c>
      <c r="KC12" s="4">
        <v>150</v>
      </c>
      <c r="KE12" s="1" t="s">
        <v>104</v>
      </c>
      <c r="KF12" s="4">
        <v>150</v>
      </c>
      <c r="KK12" s="1" t="s">
        <v>903</v>
      </c>
      <c r="KL12" s="1">
        <v>174.22</v>
      </c>
      <c r="KM12" s="105" t="s">
        <v>984</v>
      </c>
      <c r="KN12" s="1" t="s">
        <v>9</v>
      </c>
      <c r="KO12" s="4">
        <v>445.45</v>
      </c>
      <c r="KP12" s="1" t="s">
        <v>950</v>
      </c>
      <c r="KQ12" s="106" t="s">
        <v>24</v>
      </c>
      <c r="KR12" s="106">
        <v>146.12</v>
      </c>
      <c r="KS12" s="1" t="s">
        <v>1002</v>
      </c>
      <c r="KT12" s="93" t="s">
        <v>44</v>
      </c>
      <c r="KU12" s="95">
        <f>SUM(KU8:KU11)</f>
        <v>270</v>
      </c>
      <c r="KX12" s="1" t="s">
        <v>34</v>
      </c>
      <c r="KY12" s="4">
        <v>105</v>
      </c>
      <c r="KZ12" s="1" t="s">
        <v>30</v>
      </c>
    </row>
    <row r="13" spans="1:314" x14ac:dyDescent="0.25">
      <c r="H13" s="1" t="s">
        <v>60</v>
      </c>
      <c r="I13" s="5">
        <v>318.25</v>
      </c>
      <c r="J13" s="4"/>
      <c r="L13" s="4"/>
      <c r="M13" s="4"/>
      <c r="N13" s="45" t="s">
        <v>153</v>
      </c>
      <c r="O13" s="46">
        <v>93.15</v>
      </c>
      <c r="P13" s="4"/>
      <c r="Q13" s="1" t="s">
        <v>193</v>
      </c>
      <c r="R13" s="4">
        <v>445.45</v>
      </c>
      <c r="S13" s="4"/>
      <c r="T13" s="1" t="s">
        <v>207</v>
      </c>
      <c r="U13" s="4"/>
      <c r="W13" s="1" t="s">
        <v>34</v>
      </c>
      <c r="X13" s="5">
        <v>69</v>
      </c>
      <c r="Z13" s="45" t="s">
        <v>243</v>
      </c>
      <c r="AA13" s="46">
        <v>51.98</v>
      </c>
      <c r="AC13" s="45" t="s">
        <v>265</v>
      </c>
      <c r="AD13" s="46">
        <v>3.99</v>
      </c>
      <c r="AF13" s="1" t="s">
        <v>269</v>
      </c>
      <c r="AG13" s="5">
        <v>27.15</v>
      </c>
      <c r="AI13" s="45" t="s">
        <v>271</v>
      </c>
      <c r="AJ13" s="46">
        <v>129.25</v>
      </c>
      <c r="AL13" s="1" t="s">
        <v>28</v>
      </c>
      <c r="AM13" s="4">
        <v>18.989999999999998</v>
      </c>
      <c r="AO13" s="1" t="s">
        <v>41</v>
      </c>
      <c r="AP13" s="4">
        <v>99</v>
      </c>
      <c r="AR13" s="1" t="s">
        <v>380</v>
      </c>
      <c r="AS13" s="4">
        <v>161</v>
      </c>
      <c r="AT13" s="91">
        <v>45189</v>
      </c>
      <c r="AV13" s="1" t="s">
        <v>10</v>
      </c>
      <c r="AW13" s="5">
        <v>246.52</v>
      </c>
      <c r="AY13" s="1" t="s">
        <v>363</v>
      </c>
      <c r="AZ13" s="4">
        <v>50</v>
      </c>
      <c r="BB13" s="1" t="s">
        <v>397</v>
      </c>
      <c r="BC13" s="4">
        <v>1090</v>
      </c>
      <c r="BE13" s="1" t="s">
        <v>54</v>
      </c>
      <c r="BF13" s="102">
        <v>154.57</v>
      </c>
      <c r="BH13" s="26" t="s">
        <v>420</v>
      </c>
      <c r="BI13" s="104">
        <v>271</v>
      </c>
      <c r="BJ13" s="25" t="s">
        <v>73</v>
      </c>
      <c r="BK13" s="1" t="s">
        <v>363</v>
      </c>
      <c r="BL13" s="4">
        <v>50</v>
      </c>
      <c r="BN13" s="1" t="s">
        <v>363</v>
      </c>
      <c r="BO13" s="4"/>
      <c r="BQ13" s="1" t="s">
        <v>372</v>
      </c>
      <c r="BR13" s="4">
        <v>0</v>
      </c>
      <c r="BT13" s="1" t="s">
        <v>7</v>
      </c>
      <c r="BU13" s="4">
        <v>50</v>
      </c>
      <c r="BW13" s="24" t="s">
        <v>74</v>
      </c>
      <c r="BX13" s="4">
        <v>262</v>
      </c>
      <c r="BY13" s="1" t="s">
        <v>19</v>
      </c>
      <c r="CA13" s="106" t="s">
        <v>20</v>
      </c>
      <c r="CB13" s="108">
        <v>836.51</v>
      </c>
      <c r="CC13" s="1" t="s">
        <v>21</v>
      </c>
      <c r="CD13" s="105"/>
      <c r="CE13" s="24" t="s">
        <v>74</v>
      </c>
      <c r="CF13" s="107">
        <v>262</v>
      </c>
      <c r="CG13" s="1" t="s">
        <v>19</v>
      </c>
      <c r="CI13" s="1" t="s">
        <v>10</v>
      </c>
      <c r="CJ13" s="107">
        <v>264.85000000000002</v>
      </c>
      <c r="CM13" s="106" t="s">
        <v>18</v>
      </c>
      <c r="CN13" s="107">
        <v>251.36</v>
      </c>
      <c r="CO13" s="106" t="s">
        <v>19</v>
      </c>
      <c r="CR13" s="1" t="s">
        <v>467</v>
      </c>
      <c r="CS13" s="4">
        <v>143.56</v>
      </c>
      <c r="CV13" s="1" t="s">
        <v>26</v>
      </c>
      <c r="CW13" s="110">
        <v>43.99</v>
      </c>
      <c r="CX13" s="1" t="s">
        <v>27</v>
      </c>
      <c r="DA13" s="1" t="s">
        <v>5</v>
      </c>
      <c r="DB13" s="110">
        <v>18.96</v>
      </c>
      <c r="DC13" s="1" t="s">
        <v>434</v>
      </c>
      <c r="DF13" s="1" t="s">
        <v>18</v>
      </c>
      <c r="DG13" s="110">
        <v>259.42</v>
      </c>
      <c r="DH13" s="1" t="s">
        <v>19</v>
      </c>
      <c r="DJ13" s="1" t="s">
        <v>497</v>
      </c>
      <c r="DK13" s="4">
        <v>110</v>
      </c>
      <c r="DN13" s="1" t="s">
        <v>26</v>
      </c>
      <c r="DO13" s="107">
        <v>43.99</v>
      </c>
      <c r="DP13" s="1" t="s">
        <v>27</v>
      </c>
      <c r="DR13" s="1" t="s">
        <v>32</v>
      </c>
      <c r="DS13" s="107">
        <v>100.59</v>
      </c>
      <c r="DT13" s="1" t="s">
        <v>94</v>
      </c>
      <c r="DW13" s="1" t="s">
        <v>38</v>
      </c>
      <c r="DX13" s="110">
        <v>100</v>
      </c>
      <c r="DY13" s="1" t="s">
        <v>19</v>
      </c>
      <c r="EB13" s="1" t="s">
        <v>535</v>
      </c>
      <c r="EC13" s="4">
        <v>115</v>
      </c>
      <c r="ED13" s="1">
        <f>102.88+18.49+17.14</f>
        <v>138.51</v>
      </c>
      <c r="EG13" s="129" t="s">
        <v>489</v>
      </c>
      <c r="EH13" s="110">
        <v>112</v>
      </c>
      <c r="EI13" s="1" t="s">
        <v>490</v>
      </c>
      <c r="EJ13" s="1" t="s">
        <v>544</v>
      </c>
      <c r="EK13" s="129" t="s">
        <v>9</v>
      </c>
      <c r="EL13" s="110">
        <v>445.45</v>
      </c>
      <c r="EM13" s="129" t="s">
        <v>4</v>
      </c>
      <c r="EO13" s="1" t="s">
        <v>43</v>
      </c>
      <c r="EP13" s="4">
        <v>600</v>
      </c>
      <c r="EQ13" s="1" t="s">
        <v>19</v>
      </c>
      <c r="ET13" s="1" t="s">
        <v>555</v>
      </c>
      <c r="EU13" s="4">
        <v>120</v>
      </c>
      <c r="EW13" s="177" t="s">
        <v>20</v>
      </c>
      <c r="EX13" s="178">
        <v>836.51</v>
      </c>
      <c r="EY13" s="1" t="s">
        <v>21</v>
      </c>
      <c r="EZ13" s="1" t="s">
        <v>24</v>
      </c>
      <c r="FA13" s="4">
        <v>134</v>
      </c>
      <c r="FB13" s="1" t="s">
        <v>25</v>
      </c>
      <c r="FJ13" s="1" t="s">
        <v>41</v>
      </c>
      <c r="FL13" s="1" t="s">
        <v>42</v>
      </c>
      <c r="FO13" s="129" t="s">
        <v>20</v>
      </c>
      <c r="FP13" s="110">
        <v>836.51</v>
      </c>
      <c r="FQ13" s="1" t="s">
        <v>21</v>
      </c>
      <c r="FR13" s="129" t="s">
        <v>798</v>
      </c>
      <c r="FS13" s="110">
        <v>241</v>
      </c>
      <c r="FT13" s="1" t="s">
        <v>25</v>
      </c>
      <c r="FW13" s="1" t="s">
        <v>9</v>
      </c>
      <c r="FX13" s="4">
        <v>445.45</v>
      </c>
      <c r="FY13" s="1" t="s">
        <v>4</v>
      </c>
      <c r="GA13" s="1" t="s">
        <v>33</v>
      </c>
      <c r="GB13" s="4">
        <v>150</v>
      </c>
      <c r="GC13" s="1" t="s">
        <v>19</v>
      </c>
      <c r="GF13" s="106" t="s">
        <v>20</v>
      </c>
      <c r="GG13" s="190">
        <v>836.51</v>
      </c>
      <c r="GH13" s="106" t="s">
        <v>21</v>
      </c>
      <c r="GI13" s="1" t="s">
        <v>797</v>
      </c>
      <c r="GJ13" s="193">
        <v>287</v>
      </c>
      <c r="GK13" s="1" t="s">
        <v>73</v>
      </c>
      <c r="GL13" s="129" t="s">
        <v>2</v>
      </c>
      <c r="GM13" s="110">
        <v>2741.43</v>
      </c>
      <c r="GN13" s="1" t="s">
        <v>825</v>
      </c>
      <c r="GO13" s="1" t="s">
        <v>74</v>
      </c>
      <c r="GP13" s="4">
        <v>262</v>
      </c>
      <c r="GQ13" s="1" t="s">
        <v>19</v>
      </c>
      <c r="GS13" s="129" t="s">
        <v>34</v>
      </c>
      <c r="GT13" s="110">
        <v>90</v>
      </c>
      <c r="GU13" s="1" t="s">
        <v>30</v>
      </c>
      <c r="GW13" s="129" t="s">
        <v>35</v>
      </c>
      <c r="GX13" s="110">
        <v>251</v>
      </c>
      <c r="GY13" s="129" t="s">
        <v>73</v>
      </c>
      <c r="GZ13" s="129"/>
      <c r="HB13" s="1" t="s">
        <v>24</v>
      </c>
      <c r="HC13" s="1">
        <v>146.12</v>
      </c>
      <c r="HD13" s="1" t="s">
        <v>25</v>
      </c>
      <c r="HF13" s="1" t="s">
        <v>28</v>
      </c>
      <c r="HG13" s="4">
        <v>20</v>
      </c>
      <c r="HH13" s="1" t="s">
        <v>14</v>
      </c>
      <c r="HK13" s="1" t="s">
        <v>41</v>
      </c>
      <c r="HL13" s="4">
        <v>0</v>
      </c>
      <c r="HM13" s="1" t="s">
        <v>42</v>
      </c>
      <c r="HN13" s="106" t="s">
        <v>20</v>
      </c>
      <c r="HO13" s="107">
        <v>836.51</v>
      </c>
      <c r="HP13" s="1" t="s">
        <v>21</v>
      </c>
      <c r="HR13" s="1" t="s">
        <v>811</v>
      </c>
      <c r="HS13" s="4">
        <v>49.95</v>
      </c>
      <c r="HV13" s="1" t="s">
        <v>104</v>
      </c>
      <c r="HW13" s="4">
        <v>150</v>
      </c>
      <c r="IA13" s="1" t="s">
        <v>34</v>
      </c>
      <c r="IB13" s="4">
        <v>90</v>
      </c>
      <c r="IC13" s="1" t="s">
        <v>30</v>
      </c>
      <c r="IE13" s="1" t="s">
        <v>372</v>
      </c>
      <c r="IF13" s="4">
        <v>110</v>
      </c>
      <c r="II13" s="1" t="s">
        <v>104</v>
      </c>
      <c r="IJ13" s="4">
        <v>250</v>
      </c>
      <c r="IL13" s="1" t="s">
        <v>104</v>
      </c>
      <c r="IM13" s="4">
        <v>250</v>
      </c>
      <c r="IQ13" s="1" t="s">
        <v>104</v>
      </c>
      <c r="IR13" s="4">
        <v>400</v>
      </c>
      <c r="IU13" s="1" t="s">
        <v>104</v>
      </c>
      <c r="IV13" s="4">
        <v>200.39</v>
      </c>
      <c r="IX13" s="1" t="s">
        <v>104</v>
      </c>
      <c r="IY13" s="4">
        <v>500</v>
      </c>
      <c r="IZ13" s="1" t="s">
        <v>869</v>
      </c>
      <c r="JB13" s="1" t="s">
        <v>104</v>
      </c>
      <c r="JC13" s="4">
        <v>300</v>
      </c>
      <c r="JE13" s="1" t="s">
        <v>104</v>
      </c>
      <c r="JF13" s="4">
        <v>241.01</v>
      </c>
      <c r="JG13" s="1">
        <f>2.75+6.53+2.75+2.75+3+2.75+2.75+26.65+24.7+5.38+161</f>
        <v>241.01</v>
      </c>
      <c r="JH13" s="1">
        <f>JG13-400</f>
        <v>-158.99</v>
      </c>
      <c r="JI13" s="1" t="s">
        <v>104</v>
      </c>
      <c r="JJ13" s="4">
        <v>600</v>
      </c>
      <c r="JP13" s="1" t="s">
        <v>372</v>
      </c>
      <c r="JQ13" s="4">
        <v>120</v>
      </c>
      <c r="JS13" s="1" t="s">
        <v>372</v>
      </c>
      <c r="JT13" s="4">
        <v>110</v>
      </c>
      <c r="JU13" s="4"/>
      <c r="JV13" s="1" t="s">
        <v>833</v>
      </c>
      <c r="JW13" s="4">
        <v>40</v>
      </c>
      <c r="KA13" s="1" t="s">
        <v>5</v>
      </c>
      <c r="KB13" s="4">
        <v>25.68</v>
      </c>
      <c r="KC13" s="4" t="s">
        <v>434</v>
      </c>
      <c r="KE13" s="1" t="s">
        <v>18</v>
      </c>
      <c r="KF13" s="4">
        <v>259.42</v>
      </c>
      <c r="KG13" s="1" t="s">
        <v>982</v>
      </c>
      <c r="KJ13" s="4"/>
      <c r="KK13" s="1" t="s">
        <v>878</v>
      </c>
      <c r="KL13" s="1">
        <v>131</v>
      </c>
      <c r="KM13" s="1" t="s">
        <v>879</v>
      </c>
      <c r="KN13" s="1" t="s">
        <v>28</v>
      </c>
      <c r="KO13" s="4">
        <v>20</v>
      </c>
      <c r="KQ13" s="106" t="s">
        <v>35</v>
      </c>
      <c r="KR13" s="107">
        <v>210</v>
      </c>
      <c r="KS13" s="1" t="s">
        <v>73</v>
      </c>
      <c r="KT13" s="96" t="s">
        <v>383</v>
      </c>
      <c r="KU13" s="97">
        <f>KU6-KU12</f>
        <v>2243.4699999999998</v>
      </c>
      <c r="KX13" s="246" t="s">
        <v>811</v>
      </c>
      <c r="KY13" s="246">
        <v>211.41</v>
      </c>
      <c r="KZ13" s="246" t="s">
        <v>1017</v>
      </c>
      <c r="LA13" s="246"/>
      <c r="LB13" s="246"/>
    </row>
    <row r="14" spans="1:314" x14ac:dyDescent="0.25">
      <c r="A14" s="1" t="s">
        <v>20</v>
      </c>
      <c r="B14" s="1" t="s">
        <v>21</v>
      </c>
      <c r="C14" s="9">
        <v>836.51</v>
      </c>
      <c r="D14" s="4">
        <v>360</v>
      </c>
      <c r="H14" s="1" t="s">
        <v>144</v>
      </c>
      <c r="I14" s="5">
        <v>107.5</v>
      </c>
      <c r="J14" s="5"/>
      <c r="L14" s="5"/>
      <c r="M14" s="5"/>
      <c r="N14" s="1" t="s">
        <v>150</v>
      </c>
      <c r="O14" s="4">
        <v>18.989999999999998</v>
      </c>
      <c r="P14" s="5"/>
      <c r="Q14" s="1" t="s">
        <v>192</v>
      </c>
      <c r="R14" s="4">
        <v>3.99</v>
      </c>
      <c r="S14" s="5"/>
      <c r="T14" s="45" t="s">
        <v>209</v>
      </c>
      <c r="U14" s="46">
        <v>41.91</v>
      </c>
      <c r="W14" s="1" t="s">
        <v>41</v>
      </c>
      <c r="X14" s="5">
        <v>0</v>
      </c>
      <c r="Z14" s="45" t="s">
        <v>239</v>
      </c>
      <c r="AA14" s="46">
        <v>60</v>
      </c>
      <c r="AC14" s="1" t="s">
        <v>31</v>
      </c>
      <c r="AD14" s="4">
        <f>27.11*2</f>
        <v>54.22</v>
      </c>
      <c r="AF14" s="45" t="s">
        <v>92</v>
      </c>
      <c r="AG14" s="46">
        <v>15.01</v>
      </c>
      <c r="AI14" s="1" t="s">
        <v>274</v>
      </c>
      <c r="AJ14" s="4">
        <v>25</v>
      </c>
      <c r="AL14" s="80" t="s">
        <v>74</v>
      </c>
      <c r="AM14" s="81">
        <v>29</v>
      </c>
      <c r="AR14" s="1" t="s">
        <v>10</v>
      </c>
      <c r="AS14" s="4">
        <v>246.52</v>
      </c>
      <c r="AV14" s="1" t="s">
        <v>24</v>
      </c>
      <c r="AW14" s="9">
        <v>150.43</v>
      </c>
      <c r="AX14" s="1" t="s">
        <v>25</v>
      </c>
      <c r="AY14" s="1" t="s">
        <v>372</v>
      </c>
      <c r="AZ14" s="4">
        <v>150</v>
      </c>
      <c r="BB14" s="1" t="s">
        <v>54</v>
      </c>
      <c r="BC14" s="4">
        <v>125</v>
      </c>
      <c r="BE14" s="1" t="s">
        <v>363</v>
      </c>
      <c r="BF14" s="102"/>
      <c r="BG14" s="1" t="s">
        <v>404</v>
      </c>
      <c r="BH14" s="1" t="s">
        <v>406</v>
      </c>
      <c r="BI14" s="4">
        <v>166.34</v>
      </c>
      <c r="BK14" s="1" t="s">
        <v>372</v>
      </c>
      <c r="BL14" s="4">
        <v>100</v>
      </c>
      <c r="BN14" s="1" t="s">
        <v>372</v>
      </c>
      <c r="BO14" s="4">
        <v>0</v>
      </c>
      <c r="BQ14" s="24" t="s">
        <v>74</v>
      </c>
      <c r="BR14" s="4">
        <v>262</v>
      </c>
      <c r="BS14" s="1" t="s">
        <v>19</v>
      </c>
      <c r="BT14" s="1" t="s">
        <v>20</v>
      </c>
      <c r="BU14" s="9">
        <v>836.51</v>
      </c>
      <c r="BW14" s="1" t="s">
        <v>33</v>
      </c>
      <c r="BX14" s="4">
        <v>250</v>
      </c>
      <c r="BY14" s="1" t="s">
        <v>4</v>
      </c>
      <c r="CA14" s="106" t="s">
        <v>26</v>
      </c>
      <c r="CB14" s="108">
        <v>43.99</v>
      </c>
      <c r="CC14" s="1" t="s">
        <v>27</v>
      </c>
      <c r="CE14" s="1" t="s">
        <v>33</v>
      </c>
      <c r="CF14" s="107">
        <v>200</v>
      </c>
      <c r="CG14" s="1" t="s">
        <v>19</v>
      </c>
      <c r="CI14" s="1" t="s">
        <v>20</v>
      </c>
      <c r="CJ14" s="110">
        <v>838.31</v>
      </c>
      <c r="CK14" s="1" t="s">
        <v>21</v>
      </c>
      <c r="CM14" s="24" t="s">
        <v>74</v>
      </c>
      <c r="CN14" s="4">
        <v>262</v>
      </c>
      <c r="CO14" s="1" t="s">
        <v>19</v>
      </c>
      <c r="CR14" s="1" t="s">
        <v>468</v>
      </c>
      <c r="CS14" s="4">
        <v>50</v>
      </c>
      <c r="CV14" s="1" t="s">
        <v>35</v>
      </c>
      <c r="CW14" s="110">
        <v>256</v>
      </c>
      <c r="CX14" s="1" t="s">
        <v>73</v>
      </c>
      <c r="DA14" s="1" t="s">
        <v>481</v>
      </c>
      <c r="DB14" s="4">
        <v>112.8</v>
      </c>
      <c r="DF14" s="1" t="s">
        <v>74</v>
      </c>
      <c r="DG14" s="4">
        <v>262</v>
      </c>
      <c r="DH14" s="1" t="s">
        <v>19</v>
      </c>
      <c r="DJ14" s="1" t="s">
        <v>498</v>
      </c>
      <c r="DK14" s="4">
        <v>50</v>
      </c>
      <c r="DN14" s="1" t="s">
        <v>35</v>
      </c>
      <c r="DO14" s="107">
        <v>243</v>
      </c>
      <c r="DP14" s="1" t="s">
        <v>73</v>
      </c>
      <c r="DR14" s="1" t="s">
        <v>5</v>
      </c>
      <c r="DS14" s="110">
        <v>22.69</v>
      </c>
      <c r="DT14" s="1" t="s">
        <v>434</v>
      </c>
      <c r="DW14" s="1" t="s">
        <v>43</v>
      </c>
      <c r="DX14" s="110">
        <v>600</v>
      </c>
      <c r="DY14" s="1" t="s">
        <v>19</v>
      </c>
      <c r="EB14" s="1" t="s">
        <v>440</v>
      </c>
      <c r="EC14" s="4">
        <v>125</v>
      </c>
      <c r="ED14" s="5">
        <f>30.48+4.24</f>
        <v>34.72</v>
      </c>
      <c r="EG14" s="129" t="s">
        <v>460</v>
      </c>
      <c r="EH14" s="110">
        <v>178</v>
      </c>
      <c r="EI14" s="1" t="s">
        <v>25</v>
      </c>
      <c r="EK14" s="129" t="s">
        <v>462</v>
      </c>
      <c r="EL14" s="110">
        <v>14.22</v>
      </c>
      <c r="EM14" s="129" t="s">
        <v>463</v>
      </c>
      <c r="EN14" s="129"/>
      <c r="EO14" s="1" t="s">
        <v>554</v>
      </c>
      <c r="EP14" s="4">
        <v>30</v>
      </c>
      <c r="ET14" s="1" t="s">
        <v>440</v>
      </c>
      <c r="EU14" s="4">
        <v>250</v>
      </c>
      <c r="EW14" s="1" t="s">
        <v>29</v>
      </c>
      <c r="EX14" s="4">
        <v>82</v>
      </c>
      <c r="EY14" s="1" t="s">
        <v>27</v>
      </c>
      <c r="EZ14" s="1" t="s">
        <v>32</v>
      </c>
      <c r="FA14" s="4">
        <v>100.59</v>
      </c>
      <c r="FB14" s="1" t="s">
        <v>94</v>
      </c>
      <c r="FJ14" s="1" t="s">
        <v>478</v>
      </c>
      <c r="FK14" s="4">
        <v>150</v>
      </c>
      <c r="FL14" s="1">
        <f>47.8+82.17+85.8</f>
        <v>215.76999999999998</v>
      </c>
      <c r="FO14" s="1" t="s">
        <v>29</v>
      </c>
      <c r="FP14" s="4">
        <v>82</v>
      </c>
      <c r="FQ14" s="1" t="s">
        <v>27</v>
      </c>
      <c r="FR14" s="129" t="s">
        <v>460</v>
      </c>
      <c r="FS14" s="110">
        <v>188</v>
      </c>
      <c r="FT14" s="1" t="s">
        <v>25</v>
      </c>
      <c r="FW14" s="1" t="s">
        <v>440</v>
      </c>
      <c r="FX14" s="4">
        <v>200</v>
      </c>
      <c r="FY14" s="1">
        <f>14</f>
        <v>14</v>
      </c>
      <c r="GA14" s="1" t="s">
        <v>38</v>
      </c>
      <c r="GB14" s="4">
        <v>100</v>
      </c>
      <c r="GC14" s="1" t="s">
        <v>19</v>
      </c>
      <c r="GI14" s="1" t="s">
        <v>798</v>
      </c>
      <c r="GJ14" s="189">
        <v>241</v>
      </c>
      <c r="GK14" s="1" t="s">
        <v>25</v>
      </c>
      <c r="GL14" s="129" t="s">
        <v>9</v>
      </c>
      <c r="GM14" s="110">
        <v>445.45</v>
      </c>
      <c r="GN14" s="1" t="s">
        <v>4</v>
      </c>
      <c r="GO14" s="129" t="s">
        <v>33</v>
      </c>
      <c r="GP14" s="110">
        <v>150</v>
      </c>
      <c r="GQ14" s="1" t="s">
        <v>19</v>
      </c>
      <c r="GS14" s="196" t="s">
        <v>41</v>
      </c>
      <c r="GT14" s="197">
        <v>0</v>
      </c>
      <c r="GU14" s="196" t="s">
        <v>42</v>
      </c>
      <c r="GV14" s="196" t="s">
        <v>832</v>
      </c>
      <c r="GW14" s="129" t="s">
        <v>797</v>
      </c>
      <c r="GX14" s="110">
        <v>295</v>
      </c>
      <c r="GY14" s="129" t="s">
        <v>73</v>
      </c>
      <c r="GZ14" s="129"/>
      <c r="HB14" s="1" t="s">
        <v>5</v>
      </c>
      <c r="HC14" s="4">
        <v>40</v>
      </c>
      <c r="HD14" s="1" t="s">
        <v>434</v>
      </c>
      <c r="HF14" s="1" t="s">
        <v>18</v>
      </c>
      <c r="HG14" s="1">
        <v>259.42</v>
      </c>
      <c r="HH14" s="1" t="s">
        <v>19</v>
      </c>
      <c r="HM14" s="34"/>
      <c r="HN14" s="106" t="s">
        <v>26</v>
      </c>
      <c r="HO14" s="107">
        <v>49.99</v>
      </c>
      <c r="HP14" s="1" t="s">
        <v>27</v>
      </c>
      <c r="HR14" s="129" t="s">
        <v>8</v>
      </c>
      <c r="HS14" s="110">
        <v>160.69</v>
      </c>
      <c r="HV14" s="1" t="s">
        <v>2</v>
      </c>
      <c r="HW14" s="4">
        <v>2741.43</v>
      </c>
      <c r="HX14" s="1" t="s">
        <v>4</v>
      </c>
      <c r="IA14" s="196" t="s">
        <v>41</v>
      </c>
      <c r="IB14" s="197"/>
      <c r="IC14" s="196" t="s">
        <v>42</v>
      </c>
      <c r="ID14" s="196"/>
      <c r="IE14" s="1" t="s">
        <v>833</v>
      </c>
      <c r="IF14" s="4">
        <v>30</v>
      </c>
      <c r="IG14" s="196"/>
      <c r="II14" s="1" t="s">
        <v>32</v>
      </c>
      <c r="IJ14" s="4">
        <v>128.94</v>
      </c>
      <c r="IK14" s="1" t="s">
        <v>94</v>
      </c>
      <c r="IL14" s="1" t="s">
        <v>2</v>
      </c>
      <c r="IM14" s="4">
        <v>2741.43</v>
      </c>
      <c r="IN14" s="1" t="s">
        <v>4</v>
      </c>
      <c r="IQ14" s="2" t="s">
        <v>13</v>
      </c>
      <c r="IR14" s="4">
        <v>792.65</v>
      </c>
      <c r="IU14" s="1" t="s">
        <v>8</v>
      </c>
      <c r="IV14" s="4">
        <v>92.6</v>
      </c>
      <c r="IW14" s="34">
        <v>45583</v>
      </c>
      <c r="IX14" s="1" t="s">
        <v>32</v>
      </c>
      <c r="IY14" s="4">
        <v>128.94</v>
      </c>
      <c r="IZ14" s="34" t="s">
        <v>94</v>
      </c>
      <c r="JB14" s="2" t="s">
        <v>13</v>
      </c>
      <c r="JC14" s="4">
        <v>792.65</v>
      </c>
      <c r="JE14" s="206" t="s">
        <v>13</v>
      </c>
      <c r="JF14" s="107">
        <v>792.65</v>
      </c>
      <c r="JI14" s="1" t="s">
        <v>35</v>
      </c>
      <c r="JJ14" s="4">
        <v>236</v>
      </c>
      <c r="JK14" s="1" t="s">
        <v>73</v>
      </c>
      <c r="JP14" s="1" t="s">
        <v>833</v>
      </c>
      <c r="JQ14" s="4">
        <v>40</v>
      </c>
      <c r="JS14" s="1" t="s">
        <v>833</v>
      </c>
      <c r="JT14" s="4">
        <v>30</v>
      </c>
      <c r="JU14" s="4"/>
      <c r="JV14" s="1" t="s">
        <v>104</v>
      </c>
      <c r="JW14" s="4">
        <v>150</v>
      </c>
      <c r="JX14" s="1">
        <v>41.88</v>
      </c>
      <c r="KA14" s="1" t="s">
        <v>980</v>
      </c>
      <c r="KB14" s="4">
        <v>39</v>
      </c>
      <c r="KC14" s="1" t="s">
        <v>979</v>
      </c>
      <c r="KE14" s="1" t="s">
        <v>74</v>
      </c>
      <c r="KF14" s="4">
        <v>262</v>
      </c>
      <c r="KK14" s="1" t="s">
        <v>20</v>
      </c>
      <c r="KL14" s="1">
        <v>836.51</v>
      </c>
      <c r="KM14" s="1" t="s">
        <v>21</v>
      </c>
      <c r="KN14" s="2" t="s">
        <v>992</v>
      </c>
      <c r="KO14" s="4">
        <v>259.42</v>
      </c>
      <c r="KQ14" s="106" t="s">
        <v>797</v>
      </c>
      <c r="KR14" s="107">
        <v>288</v>
      </c>
      <c r="KS14" s="1" t="s">
        <v>73</v>
      </c>
      <c r="KX14" s="246" t="s">
        <v>903</v>
      </c>
      <c r="KY14" s="246">
        <v>109.66</v>
      </c>
      <c r="KZ14" s="246" t="s">
        <v>1017</v>
      </c>
      <c r="LA14" s="246"/>
      <c r="LB14" s="246"/>
    </row>
    <row r="15" spans="1:314" x14ac:dyDescent="0.25">
      <c r="H15" s="43" t="s">
        <v>146</v>
      </c>
      <c r="I15" s="44">
        <v>27.15</v>
      </c>
      <c r="J15" s="5"/>
      <c r="L15" s="5"/>
      <c r="M15" s="5"/>
      <c r="N15" s="1" t="s">
        <v>87</v>
      </c>
      <c r="O15" s="4">
        <v>55</v>
      </c>
      <c r="P15" s="5"/>
      <c r="Q15" s="1" t="s">
        <v>116</v>
      </c>
      <c r="R15" s="9">
        <v>270.23</v>
      </c>
      <c r="S15" s="5"/>
      <c r="T15" s="60" t="s">
        <v>199</v>
      </c>
      <c r="U15" s="61">
        <v>200</v>
      </c>
      <c r="W15" s="45" t="s">
        <v>236</v>
      </c>
      <c r="X15" s="46">
        <v>5.42</v>
      </c>
      <c r="Z15" s="45" t="s">
        <v>240</v>
      </c>
      <c r="AA15" s="46">
        <v>37.1</v>
      </c>
      <c r="AC15" s="1" t="s">
        <v>83</v>
      </c>
      <c r="AD15" s="4">
        <v>270</v>
      </c>
      <c r="AF15" s="1" t="s">
        <v>5</v>
      </c>
      <c r="AG15" s="4">
        <v>23.57</v>
      </c>
      <c r="AI15" s="45" t="s">
        <v>270</v>
      </c>
      <c r="AJ15" s="46">
        <v>20</v>
      </c>
      <c r="AL15" s="1" t="s">
        <v>33</v>
      </c>
      <c r="AM15" s="4">
        <v>100</v>
      </c>
      <c r="AP15" s="4"/>
      <c r="AR15" s="1" t="s">
        <v>20</v>
      </c>
      <c r="AS15" s="9">
        <f>836.51</f>
        <v>836.51</v>
      </c>
      <c r="AT15" s="1" t="s">
        <v>21</v>
      </c>
      <c r="AV15" s="1" t="s">
        <v>32</v>
      </c>
      <c r="AW15" s="4">
        <v>100</v>
      </c>
      <c r="AX15" s="1" t="s">
        <v>94</v>
      </c>
      <c r="AY15" s="24" t="s">
        <v>74</v>
      </c>
      <c r="AZ15" s="4">
        <v>29</v>
      </c>
      <c r="BA15" s="1" t="s">
        <v>394</v>
      </c>
      <c r="BB15" s="1" t="s">
        <v>363</v>
      </c>
      <c r="BC15" s="4">
        <v>50</v>
      </c>
      <c r="BE15" s="1" t="s">
        <v>401</v>
      </c>
      <c r="BF15" s="4">
        <v>68.25</v>
      </c>
      <c r="BH15" s="1" t="s">
        <v>54</v>
      </c>
      <c r="BI15" s="4">
        <v>125</v>
      </c>
      <c r="BK15" s="24" t="s">
        <v>74</v>
      </c>
      <c r="BL15" s="4">
        <v>0</v>
      </c>
      <c r="BN15" s="24" t="s">
        <v>74</v>
      </c>
      <c r="BO15" s="4"/>
      <c r="BQ15" s="1" t="s">
        <v>33</v>
      </c>
      <c r="BR15" s="4">
        <v>250</v>
      </c>
      <c r="BS15" s="1" t="s">
        <v>4</v>
      </c>
      <c r="BT15" s="1" t="s">
        <v>26</v>
      </c>
      <c r="BU15" s="9">
        <v>39.99</v>
      </c>
      <c r="BW15" s="1" t="s">
        <v>38</v>
      </c>
      <c r="BX15" s="4">
        <v>200</v>
      </c>
      <c r="BY15" s="1" t="s">
        <v>4</v>
      </c>
      <c r="CA15" s="1" t="s">
        <v>35</v>
      </c>
      <c r="CB15" s="4">
        <v>290</v>
      </c>
      <c r="CC15" s="1" t="s">
        <v>73</v>
      </c>
      <c r="CE15" s="1" t="s">
        <v>38</v>
      </c>
      <c r="CF15" s="107">
        <v>150</v>
      </c>
      <c r="CG15" s="1" t="s">
        <v>19</v>
      </c>
      <c r="CI15" s="1" t="s">
        <v>26</v>
      </c>
      <c r="CJ15" s="107">
        <v>43.99</v>
      </c>
      <c r="CK15" s="1" t="s">
        <v>27</v>
      </c>
      <c r="CM15" s="106" t="s">
        <v>33</v>
      </c>
      <c r="CN15" s="107">
        <v>200</v>
      </c>
      <c r="CO15" s="106" t="s">
        <v>19</v>
      </c>
      <c r="CR15" s="1" t="s">
        <v>440</v>
      </c>
      <c r="CS15" s="4">
        <v>377.5</v>
      </c>
      <c r="CV15" s="1" t="s">
        <v>20</v>
      </c>
      <c r="CW15" s="110">
        <v>838.31</v>
      </c>
      <c r="CX15" s="1" t="s">
        <v>21</v>
      </c>
      <c r="DA15" s="1" t="s">
        <v>482</v>
      </c>
      <c r="DB15" s="4">
        <v>30.16</v>
      </c>
      <c r="DF15" s="1" t="s">
        <v>33</v>
      </c>
      <c r="DG15" s="110">
        <v>100</v>
      </c>
      <c r="DH15" s="1" t="s">
        <v>19</v>
      </c>
      <c r="DJ15" s="1" t="s">
        <v>499</v>
      </c>
      <c r="DK15" s="4">
        <v>100</v>
      </c>
      <c r="DN15" s="1" t="s">
        <v>20</v>
      </c>
      <c r="DO15" s="107">
        <v>838.31</v>
      </c>
      <c r="DP15" s="1" t="s">
        <v>21</v>
      </c>
      <c r="DR15" s="1" t="s">
        <v>508</v>
      </c>
      <c r="DS15" s="4">
        <v>20</v>
      </c>
      <c r="DW15" s="1" t="s">
        <v>529</v>
      </c>
      <c r="DX15" s="4">
        <v>20</v>
      </c>
      <c r="EB15" s="93" t="s">
        <v>44</v>
      </c>
      <c r="EC15" s="95">
        <f>SUM(EC10:EC14)</f>
        <v>265</v>
      </c>
      <c r="EG15" s="129" t="s">
        <v>24</v>
      </c>
      <c r="EH15" s="110">
        <v>134</v>
      </c>
      <c r="EI15" s="1" t="s">
        <v>25</v>
      </c>
      <c r="EK15" s="129" t="s">
        <v>18</v>
      </c>
      <c r="EL15" s="110">
        <v>259.42</v>
      </c>
      <c r="EM15" s="129" t="s">
        <v>19</v>
      </c>
      <c r="EN15" s="129"/>
      <c r="EO15" s="1" t="s">
        <v>555</v>
      </c>
      <c r="EP15" s="4">
        <v>120</v>
      </c>
      <c r="EU15" s="4"/>
      <c r="EW15" s="1" t="s">
        <v>34</v>
      </c>
      <c r="EX15" s="4">
        <v>69</v>
      </c>
      <c r="EZ15" s="1" t="s">
        <v>5</v>
      </c>
      <c r="FA15" s="4">
        <v>21</v>
      </c>
      <c r="FB15" s="1" t="s">
        <v>434</v>
      </c>
      <c r="FO15" s="129" t="s">
        <v>26</v>
      </c>
      <c r="FP15" s="110">
        <v>43.99</v>
      </c>
      <c r="FQ15" s="1" t="s">
        <v>27</v>
      </c>
      <c r="FR15" s="129" t="s">
        <v>24</v>
      </c>
      <c r="FS15" s="110">
        <v>146.66</v>
      </c>
      <c r="FT15" s="1" t="s">
        <v>25</v>
      </c>
      <c r="FW15" s="1" t="s">
        <v>773</v>
      </c>
      <c r="FX15" s="4">
        <v>110</v>
      </c>
      <c r="GA15" s="1" t="s">
        <v>43</v>
      </c>
      <c r="GB15" s="4">
        <v>600</v>
      </c>
      <c r="GC15" s="1" t="s">
        <v>19</v>
      </c>
      <c r="GF15" s="106" t="s">
        <v>26</v>
      </c>
      <c r="GG15" s="190">
        <v>43.99</v>
      </c>
      <c r="GH15" s="106" t="s">
        <v>27</v>
      </c>
      <c r="GI15" s="1" t="s">
        <v>460</v>
      </c>
      <c r="GJ15" s="194">
        <v>194</v>
      </c>
      <c r="GK15" s="1" t="s">
        <v>25</v>
      </c>
      <c r="GL15" s="1" t="s">
        <v>812</v>
      </c>
      <c r="GM15" s="4">
        <v>40</v>
      </c>
      <c r="GO15" s="129" t="s">
        <v>38</v>
      </c>
      <c r="GP15" s="110">
        <v>100</v>
      </c>
      <c r="GQ15" s="1" t="s">
        <v>19</v>
      </c>
      <c r="GS15" s="129" t="s">
        <v>811</v>
      </c>
      <c r="GT15" s="110">
        <v>35.83</v>
      </c>
      <c r="GU15" s="34">
        <v>45520</v>
      </c>
      <c r="GV15" s="34" t="s">
        <v>834</v>
      </c>
      <c r="GW15" s="1" t="s">
        <v>798</v>
      </c>
      <c r="GX15" s="4">
        <v>241</v>
      </c>
      <c r="GY15" s="1" t="s">
        <v>25</v>
      </c>
      <c r="HB15" s="1" t="s">
        <v>13</v>
      </c>
      <c r="HC15" s="1">
        <v>792.65</v>
      </c>
      <c r="HF15" s="1" t="s">
        <v>74</v>
      </c>
      <c r="HG15" s="1">
        <v>262</v>
      </c>
      <c r="HH15" s="1" t="s">
        <v>19</v>
      </c>
      <c r="HM15" s="34"/>
      <c r="HN15" s="106" t="s">
        <v>489</v>
      </c>
      <c r="HO15" s="107">
        <v>141</v>
      </c>
      <c r="HP15" s="1" t="s">
        <v>490</v>
      </c>
      <c r="HR15" s="1" t="s">
        <v>763</v>
      </c>
      <c r="HS15" s="4">
        <v>281.35000000000002</v>
      </c>
      <c r="HT15" s="1" t="s">
        <v>817</v>
      </c>
      <c r="HV15" s="1" t="s">
        <v>9</v>
      </c>
      <c r="HW15" s="4">
        <v>445.45</v>
      </c>
      <c r="HX15" s="1" t="s">
        <v>4</v>
      </c>
      <c r="IA15" s="1" t="s">
        <v>811</v>
      </c>
      <c r="IB15" s="4">
        <v>49.95</v>
      </c>
      <c r="IC15" s="34">
        <v>45578</v>
      </c>
      <c r="ID15" s="34"/>
      <c r="IE15" s="1" t="s">
        <v>104</v>
      </c>
      <c r="IF15" s="4">
        <v>200</v>
      </c>
      <c r="II15" s="1" t="s">
        <v>5</v>
      </c>
      <c r="IJ15" s="4">
        <v>20.2</v>
      </c>
      <c r="IK15" s="1" t="s">
        <v>434</v>
      </c>
      <c r="IL15" s="1" t="s">
        <v>9</v>
      </c>
      <c r="IM15" s="4">
        <v>445.45</v>
      </c>
      <c r="IN15" s="1" t="s">
        <v>4</v>
      </c>
      <c r="IQ15" s="1" t="s">
        <v>29</v>
      </c>
      <c r="IR15" s="4">
        <v>77</v>
      </c>
      <c r="IS15" s="1" t="s">
        <v>93</v>
      </c>
      <c r="IU15" s="1" t="s">
        <v>20</v>
      </c>
      <c r="IV15" s="4">
        <v>836.51</v>
      </c>
      <c r="IW15" s="1" t="s">
        <v>21</v>
      </c>
      <c r="IX15" s="1" t="s">
        <v>5</v>
      </c>
      <c r="IY15" s="4">
        <v>21.22</v>
      </c>
      <c r="IZ15" s="1" t="s">
        <v>434</v>
      </c>
      <c r="JB15" s="1" t="s">
        <v>29</v>
      </c>
      <c r="JC15" s="4">
        <v>77</v>
      </c>
      <c r="JE15" s="106" t="s">
        <v>20</v>
      </c>
      <c r="JF15" s="107">
        <v>838.31</v>
      </c>
      <c r="JG15" s="1" t="s">
        <v>21</v>
      </c>
      <c r="JI15" s="1" t="s">
        <v>797</v>
      </c>
      <c r="JJ15" s="4">
        <v>301</v>
      </c>
      <c r="JK15" s="1" t="s">
        <v>73</v>
      </c>
      <c r="JP15" s="1" t="s">
        <v>104</v>
      </c>
      <c r="JQ15" s="4">
        <v>500</v>
      </c>
      <c r="JS15" s="1" t="s">
        <v>104</v>
      </c>
      <c r="JT15" s="4">
        <v>200</v>
      </c>
      <c r="JU15" s="4"/>
      <c r="JV15" s="141" t="s">
        <v>877</v>
      </c>
      <c r="JW15" s="102">
        <v>269.02999999999997</v>
      </c>
      <c r="JX15" s="1" t="s">
        <v>817</v>
      </c>
      <c r="KE15" s="1" t="s">
        <v>33</v>
      </c>
      <c r="KF15" s="4">
        <v>135</v>
      </c>
      <c r="KG15" s="1" t="s">
        <v>19</v>
      </c>
      <c r="KN15" s="1" t="s">
        <v>980</v>
      </c>
      <c r="KO15" s="4">
        <v>39</v>
      </c>
      <c r="KP15" s="1" t="s">
        <v>979</v>
      </c>
      <c r="KQ15" s="106" t="s">
        <v>1003</v>
      </c>
      <c r="KR15" s="107">
        <v>181</v>
      </c>
      <c r="KS15" s="1" t="s">
        <v>1002</v>
      </c>
      <c r="KT15" s="24" t="s">
        <v>373</v>
      </c>
      <c r="KU15" s="82">
        <f>KU13+504</f>
        <v>2747.47</v>
      </c>
      <c r="KV15" s="2" t="s">
        <v>1006</v>
      </c>
      <c r="KX15" s="1" t="s">
        <v>1020</v>
      </c>
      <c r="KY15" s="1">
        <v>69</v>
      </c>
    </row>
    <row r="16" spans="1:314" x14ac:dyDescent="0.25">
      <c r="I16" s="5"/>
      <c r="J16" s="5"/>
      <c r="L16" s="5"/>
      <c r="M16" s="5"/>
      <c r="N16" s="1" t="s">
        <v>38</v>
      </c>
      <c r="O16" s="4">
        <v>53</v>
      </c>
      <c r="P16" s="5"/>
      <c r="Q16" s="60" t="s">
        <v>195</v>
      </c>
      <c r="R16" s="61">
        <v>25</v>
      </c>
      <c r="S16" s="5"/>
      <c r="T16" s="60" t="s">
        <v>200</v>
      </c>
      <c r="U16" s="61">
        <v>1592.21</v>
      </c>
      <c r="X16" s="5"/>
      <c r="Z16" s="60" t="s">
        <v>195</v>
      </c>
      <c r="AA16" s="61">
        <v>200</v>
      </c>
      <c r="AC16" s="1" t="s">
        <v>84</v>
      </c>
      <c r="AD16" s="4">
        <v>351.46</v>
      </c>
      <c r="AI16" s="6" t="s">
        <v>2</v>
      </c>
      <c r="AJ16" s="77">
        <v>2721.13</v>
      </c>
      <c r="AL16" s="1" t="s">
        <v>38</v>
      </c>
      <c r="AM16" s="4">
        <v>54</v>
      </c>
      <c r="AP16" s="4"/>
      <c r="AR16" s="1" t="s">
        <v>26</v>
      </c>
      <c r="AS16" s="9">
        <v>39.99</v>
      </c>
      <c r="AV16" s="1" t="s">
        <v>390</v>
      </c>
      <c r="AW16" s="4">
        <v>100</v>
      </c>
      <c r="AY16" s="1" t="s">
        <v>33</v>
      </c>
      <c r="AZ16" s="4">
        <v>250</v>
      </c>
      <c r="BB16" s="1" t="s">
        <v>390</v>
      </c>
      <c r="BC16" s="4">
        <v>200</v>
      </c>
      <c r="BE16" s="1" t="s">
        <v>390</v>
      </c>
      <c r="BF16" s="4">
        <f>54.33+57.5+100+55.95+27.44</f>
        <v>295.21999999999997</v>
      </c>
      <c r="BH16" s="1" t="s">
        <v>403</v>
      </c>
      <c r="BI16" s="4">
        <v>200</v>
      </c>
      <c r="BJ16" s="5"/>
      <c r="BK16" s="1" t="s">
        <v>33</v>
      </c>
      <c r="BL16" s="4">
        <v>0</v>
      </c>
      <c r="BN16" s="1" t="s">
        <v>33</v>
      </c>
      <c r="BO16" s="4"/>
      <c r="BP16" s="1" t="s">
        <v>4</v>
      </c>
      <c r="BQ16" s="1" t="s">
        <v>38</v>
      </c>
      <c r="BR16" s="4">
        <v>200</v>
      </c>
      <c r="BS16" s="1" t="s">
        <v>4</v>
      </c>
      <c r="BT16" s="26" t="s">
        <v>29</v>
      </c>
      <c r="BU16" s="27">
        <v>82</v>
      </c>
      <c r="BW16" s="1" t="s">
        <v>43</v>
      </c>
      <c r="BX16" s="4">
        <v>600</v>
      </c>
      <c r="BY16" s="1" t="s">
        <v>19</v>
      </c>
      <c r="CA16" s="1" t="s">
        <v>83</v>
      </c>
      <c r="CB16" s="4">
        <v>270</v>
      </c>
      <c r="CC16" s="1" t="s">
        <v>25</v>
      </c>
      <c r="CE16" s="1" t="s">
        <v>43</v>
      </c>
      <c r="CF16" s="107">
        <v>600</v>
      </c>
      <c r="CG16" s="1" t="s">
        <v>19</v>
      </c>
      <c r="CI16" s="1" t="s">
        <v>451</v>
      </c>
      <c r="CJ16" s="110">
        <v>120</v>
      </c>
      <c r="CK16" s="5">
        <f>CJ16-15.46-68.18</f>
        <v>36.359999999999985</v>
      </c>
      <c r="CM16" s="106" t="s">
        <v>38</v>
      </c>
      <c r="CN16" s="107">
        <v>100</v>
      </c>
      <c r="CO16" s="106" t="s">
        <v>19</v>
      </c>
      <c r="CR16" s="1" t="s">
        <v>466</v>
      </c>
      <c r="CS16" s="4">
        <v>120</v>
      </c>
      <c r="CV16" s="1" t="s">
        <v>476</v>
      </c>
      <c r="CW16" s="4">
        <v>112.91</v>
      </c>
      <c r="DA16" s="1" t="s">
        <v>440</v>
      </c>
      <c r="DB16" s="4">
        <v>200</v>
      </c>
      <c r="DC16" s="5">
        <f>DB16-55.68</f>
        <v>144.32</v>
      </c>
      <c r="DF16" s="1" t="s">
        <v>38</v>
      </c>
      <c r="DG16" s="110">
        <v>100</v>
      </c>
      <c r="DH16" s="1" t="s">
        <v>19</v>
      </c>
      <c r="DJ16" s="1" t="s">
        <v>440</v>
      </c>
      <c r="DK16" s="4">
        <v>300</v>
      </c>
      <c r="DN16" s="1" t="s">
        <v>504</v>
      </c>
      <c r="DO16" s="4">
        <v>110</v>
      </c>
      <c r="DR16" s="1" t="s">
        <v>509</v>
      </c>
      <c r="DS16" s="4">
        <v>110</v>
      </c>
      <c r="DW16" s="1" t="s">
        <v>530</v>
      </c>
      <c r="DX16" s="4">
        <v>115</v>
      </c>
      <c r="DY16" s="1">
        <f>119.55-40+35.27</f>
        <v>114.82</v>
      </c>
      <c r="DZ16" s="5">
        <f>DX16-DY16</f>
        <v>0.18000000000000682</v>
      </c>
      <c r="EB16" s="96" t="s">
        <v>383</v>
      </c>
      <c r="EC16" s="97">
        <f>EC7-EC15</f>
        <v>272</v>
      </c>
      <c r="EG16" s="1" t="s">
        <v>546</v>
      </c>
      <c r="EH16" s="4">
        <v>30</v>
      </c>
      <c r="EK16" s="93" t="s">
        <v>44</v>
      </c>
      <c r="EL16" s="95">
        <f>SUM(EL10:EL15)</f>
        <v>840.68000000000006</v>
      </c>
      <c r="EO16" s="1" t="s">
        <v>440</v>
      </c>
      <c r="EP16" s="4">
        <v>250</v>
      </c>
      <c r="ET16" s="93" t="s">
        <v>44</v>
      </c>
      <c r="EU16" s="95">
        <f>SUM(EU10:EU15)</f>
        <v>560</v>
      </c>
      <c r="EW16" s="177" t="s">
        <v>26</v>
      </c>
      <c r="EX16" s="179">
        <v>43.99</v>
      </c>
      <c r="EZ16" s="1" t="s">
        <v>440</v>
      </c>
      <c r="FA16" s="4">
        <v>250</v>
      </c>
      <c r="FK16" s="5"/>
      <c r="FO16" s="1" t="s">
        <v>763</v>
      </c>
      <c r="FP16" s="4">
        <v>246.52</v>
      </c>
      <c r="FQ16" s="1" t="s">
        <v>764</v>
      </c>
      <c r="FR16" s="1" t="s">
        <v>32</v>
      </c>
      <c r="FS16" s="4">
        <v>100.59</v>
      </c>
      <c r="FT16" s="1" t="s">
        <v>94</v>
      </c>
      <c r="FW16" s="1" t="s">
        <v>774</v>
      </c>
      <c r="FX16" s="4">
        <v>45</v>
      </c>
      <c r="GA16" s="1" t="s">
        <v>28</v>
      </c>
      <c r="GB16" s="4">
        <v>20</v>
      </c>
      <c r="GC16" s="1" t="s">
        <v>14</v>
      </c>
      <c r="GF16" s="106" t="s">
        <v>763</v>
      </c>
      <c r="GG16" s="190">
        <v>281.35000000000002</v>
      </c>
      <c r="GH16" s="106" t="s">
        <v>817</v>
      </c>
      <c r="GI16" s="1" t="s">
        <v>24</v>
      </c>
      <c r="GJ16" s="193">
        <v>146.12</v>
      </c>
      <c r="GK16" s="1" t="s">
        <v>25</v>
      </c>
      <c r="GL16" s="1" t="s">
        <v>810</v>
      </c>
      <c r="GM16" s="4">
        <v>100</v>
      </c>
      <c r="GO16" s="129" t="s">
        <v>43</v>
      </c>
      <c r="GP16" s="110">
        <v>500</v>
      </c>
      <c r="GQ16" s="1" t="s">
        <v>19</v>
      </c>
      <c r="GS16" s="129" t="s">
        <v>8</v>
      </c>
      <c r="GT16" s="110">
        <v>160</v>
      </c>
      <c r="GU16" s="34">
        <v>45490</v>
      </c>
      <c r="GV16" s="34" t="s">
        <v>834</v>
      </c>
      <c r="GW16" s="1" t="s">
        <v>460</v>
      </c>
      <c r="GX16" s="4">
        <v>194</v>
      </c>
      <c r="GY16" s="1" t="s">
        <v>25</v>
      </c>
      <c r="HB16" s="129" t="s">
        <v>32</v>
      </c>
      <c r="HC16" s="129">
        <v>128.94</v>
      </c>
      <c r="HD16" s="1" t="s">
        <v>94</v>
      </c>
      <c r="HF16" s="1" t="s">
        <v>33</v>
      </c>
      <c r="HG16" s="1">
        <v>150</v>
      </c>
      <c r="HH16" s="1" t="s">
        <v>19</v>
      </c>
      <c r="HN16" s="1" t="s">
        <v>763</v>
      </c>
      <c r="HO16" s="4">
        <v>281.35000000000002</v>
      </c>
      <c r="HP16" s="1" t="s">
        <v>817</v>
      </c>
      <c r="HR16" s="1" t="s">
        <v>35</v>
      </c>
      <c r="HS16" s="4">
        <v>251</v>
      </c>
      <c r="HT16" s="1" t="s">
        <v>73</v>
      </c>
      <c r="HV16" s="1" t="s">
        <v>28</v>
      </c>
      <c r="HW16" s="4">
        <v>20</v>
      </c>
      <c r="HX16" s="1" t="s">
        <v>14</v>
      </c>
      <c r="IA16" s="1" t="s">
        <v>8</v>
      </c>
      <c r="IB16" s="4">
        <v>102.1</v>
      </c>
      <c r="IC16" s="34">
        <v>45583</v>
      </c>
      <c r="ID16" s="34"/>
      <c r="IF16" s="4"/>
      <c r="IJ16" s="4"/>
      <c r="IL16" s="1" t="s">
        <v>28</v>
      </c>
      <c r="IM16" s="4">
        <v>20</v>
      </c>
      <c r="IN16" s="1" t="s">
        <v>14</v>
      </c>
      <c r="IQ16" s="1" t="s">
        <v>34</v>
      </c>
      <c r="IR16" s="4">
        <v>90</v>
      </c>
      <c r="IS16" s="1" t="s">
        <v>30</v>
      </c>
      <c r="IU16" s="196" t="s">
        <v>41</v>
      </c>
      <c r="IW16" s="196" t="s">
        <v>42</v>
      </c>
      <c r="IX16" s="196"/>
      <c r="IZ16" s="196"/>
      <c r="JB16" s="106" t="s">
        <v>34</v>
      </c>
      <c r="JC16" s="107">
        <v>102</v>
      </c>
      <c r="JE16" s="106" t="s">
        <v>866</v>
      </c>
      <c r="JF16" s="207">
        <v>40</v>
      </c>
      <c r="JG16" s="1" t="s">
        <v>876</v>
      </c>
      <c r="JI16" s="1" t="s">
        <v>32</v>
      </c>
      <c r="JJ16" s="4">
        <v>128.94</v>
      </c>
      <c r="JK16" s="34" t="s">
        <v>94</v>
      </c>
      <c r="JP16" s="177" t="s">
        <v>32</v>
      </c>
      <c r="JQ16" s="179">
        <v>180.02</v>
      </c>
      <c r="JR16" s="34" t="s">
        <v>94</v>
      </c>
      <c r="JS16" s="1" t="s">
        <v>28</v>
      </c>
      <c r="JT16" s="4">
        <v>20</v>
      </c>
      <c r="JU16" s="4"/>
      <c r="JV16" s="141" t="s">
        <v>878</v>
      </c>
      <c r="JW16" s="102">
        <v>131</v>
      </c>
      <c r="JX16" s="1" t="s">
        <v>879</v>
      </c>
      <c r="KE16" s="1" t="s">
        <v>38</v>
      </c>
      <c r="KF16" s="4">
        <v>54</v>
      </c>
      <c r="KG16" s="1" t="s">
        <v>19</v>
      </c>
      <c r="KK16" s="93" t="s">
        <v>44</v>
      </c>
      <c r="KL16" s="95">
        <f>SUM(KL9:KL14)</f>
        <v>1381.73</v>
      </c>
      <c r="KN16" s="93" t="s">
        <v>44</v>
      </c>
      <c r="KO16" s="95">
        <f>SUM(KO11:KO15)</f>
        <v>3505.2999999999997</v>
      </c>
      <c r="KQ16" s="93" t="s">
        <v>44</v>
      </c>
      <c r="KR16" s="95">
        <f>SUM(KR9:KR15)</f>
        <v>1214.1500000000001</v>
      </c>
      <c r="KT16" s="234" t="s">
        <v>1007</v>
      </c>
      <c r="KU16" s="234"/>
      <c r="KX16" s="93" t="s">
        <v>44</v>
      </c>
      <c r="KY16" s="95">
        <f>SUM(KY8:KY15)</f>
        <v>984.06999999999994</v>
      </c>
    </row>
    <row r="17" spans="1:312" x14ac:dyDescent="0.25">
      <c r="A17" s="6" t="s">
        <v>23</v>
      </c>
      <c r="E17" s="1" t="s">
        <v>486</v>
      </c>
      <c r="I17" s="5"/>
      <c r="J17" s="5"/>
      <c r="L17" s="5"/>
      <c r="M17" s="5"/>
      <c r="N17" s="1" t="s">
        <v>43</v>
      </c>
      <c r="O17" s="9">
        <v>150</v>
      </c>
      <c r="P17" s="5"/>
      <c r="Q17" s="45" t="s">
        <v>196</v>
      </c>
      <c r="R17" s="46">
        <v>3.2450000000000001</v>
      </c>
      <c r="S17" s="5"/>
      <c r="T17" s="45" t="s">
        <v>210</v>
      </c>
      <c r="U17" s="46">
        <v>5.42</v>
      </c>
      <c r="X17" s="4"/>
      <c r="Z17" s="45" t="s">
        <v>242</v>
      </c>
      <c r="AA17" s="46">
        <v>4.58</v>
      </c>
      <c r="AC17" s="1" t="s">
        <v>92</v>
      </c>
      <c r="AD17" s="4">
        <v>15.05</v>
      </c>
      <c r="AI17" s="78" t="s">
        <v>272</v>
      </c>
      <c r="AJ17" s="79">
        <f>3+1.65</f>
        <v>4.6500000000000004</v>
      </c>
      <c r="AL17" s="1" t="s">
        <v>43</v>
      </c>
      <c r="AM17" s="4">
        <v>480</v>
      </c>
      <c r="AP17" s="4"/>
      <c r="AR17" s="26" t="s">
        <v>35</v>
      </c>
      <c r="AS17" s="4">
        <v>290</v>
      </c>
      <c r="AT17" s="1" t="s">
        <v>381</v>
      </c>
      <c r="AV17" s="93" t="s">
        <v>44</v>
      </c>
      <c r="AW17" s="81">
        <f>SUM(AW9:AW16)</f>
        <v>927.95</v>
      </c>
      <c r="AY17" s="1" t="s">
        <v>38</v>
      </c>
      <c r="AZ17" s="4">
        <v>200</v>
      </c>
      <c r="BB17" s="1" t="s">
        <v>399</v>
      </c>
      <c r="BC17" s="4">
        <v>200</v>
      </c>
      <c r="BE17" s="1" t="s">
        <v>26</v>
      </c>
      <c r="BF17" s="102">
        <v>39.99</v>
      </c>
      <c r="BG17" s="1" t="s">
        <v>27</v>
      </c>
      <c r="BH17" s="1" t="s">
        <v>408</v>
      </c>
      <c r="BI17" s="4">
        <v>50</v>
      </c>
      <c r="BK17" s="1" t="s">
        <v>38</v>
      </c>
      <c r="BL17" s="4">
        <v>0</v>
      </c>
      <c r="BN17" s="1" t="s">
        <v>38</v>
      </c>
      <c r="BO17" s="4"/>
      <c r="BP17" s="1" t="s">
        <v>4</v>
      </c>
      <c r="BR17" s="4"/>
      <c r="BT17" s="1" t="s">
        <v>34</v>
      </c>
      <c r="BU17" s="9">
        <v>69</v>
      </c>
      <c r="BW17" s="1" t="s">
        <v>423</v>
      </c>
      <c r="BX17" s="4">
        <v>120</v>
      </c>
      <c r="CA17" s="1" t="s">
        <v>24</v>
      </c>
      <c r="CB17" s="4">
        <v>134</v>
      </c>
      <c r="CC17" s="1" t="s">
        <v>25</v>
      </c>
      <c r="CE17" s="1" t="s">
        <v>446</v>
      </c>
      <c r="CF17" s="4">
        <v>150</v>
      </c>
      <c r="CG17" s="5">
        <f>CF17-8.99-13.5-98.15-136.69</f>
        <v>-107.33000000000001</v>
      </c>
      <c r="CH17" s="5">
        <f>107.33-CG18-CG19</f>
        <v>28.14</v>
      </c>
      <c r="CI17" s="1" t="s">
        <v>452</v>
      </c>
      <c r="CJ17" s="110">
        <v>50</v>
      </c>
      <c r="CK17" s="5">
        <f>CJ17-20-30</f>
        <v>0</v>
      </c>
      <c r="CM17" s="106" t="s">
        <v>43</v>
      </c>
      <c r="CN17" s="107">
        <v>468</v>
      </c>
      <c r="CO17" s="106" t="s">
        <v>19</v>
      </c>
      <c r="CR17" s="93" t="s">
        <v>44</v>
      </c>
      <c r="CS17" s="95">
        <f>SUM(CS10:CS16)</f>
        <v>838.06</v>
      </c>
      <c r="CV17" s="1" t="s">
        <v>477</v>
      </c>
      <c r="CW17" s="4">
        <v>64</v>
      </c>
      <c r="DF17" s="1" t="s">
        <v>43</v>
      </c>
      <c r="DG17" s="110">
        <v>466</v>
      </c>
      <c r="DH17" s="1" t="s">
        <v>19</v>
      </c>
      <c r="DN17" s="1" t="s">
        <v>505</v>
      </c>
      <c r="DO17" s="4">
        <v>50</v>
      </c>
      <c r="DP17" s="5"/>
      <c r="DR17" s="1" t="s">
        <v>440</v>
      </c>
      <c r="DS17" s="4">
        <v>250</v>
      </c>
      <c r="DT17" s="4">
        <v>2142.6</v>
      </c>
      <c r="DW17" s="1" t="s">
        <v>440</v>
      </c>
      <c r="DX17" s="4">
        <v>250</v>
      </c>
      <c r="DY17" s="5">
        <f>40+195+11.55+29.35</f>
        <v>275.90000000000003</v>
      </c>
      <c r="DZ17" s="5">
        <f>DX17-DY17</f>
        <v>-25.900000000000034</v>
      </c>
      <c r="EG17" s="1" t="s">
        <v>547</v>
      </c>
      <c r="EH17" s="4">
        <v>120</v>
      </c>
      <c r="EI17" s="1">
        <f>43.46+28.59+11.44+12.19</f>
        <v>95.679999999999993</v>
      </c>
      <c r="EK17" s="96" t="s">
        <v>383</v>
      </c>
      <c r="EL17" s="97">
        <f>EL7-EL16</f>
        <v>350.17999999999984</v>
      </c>
      <c r="EO17" s="93" t="s">
        <v>44</v>
      </c>
      <c r="EP17" s="95">
        <f>SUM(EP10:EP16)</f>
        <v>1279</v>
      </c>
      <c r="ET17" s="96" t="s">
        <v>383</v>
      </c>
      <c r="EU17" s="97">
        <f>EU7-EU16</f>
        <v>763.46</v>
      </c>
      <c r="EW17" s="1" t="s">
        <v>763</v>
      </c>
      <c r="EX17" s="4">
        <v>246.52</v>
      </c>
      <c r="EY17" s="1" t="s">
        <v>764</v>
      </c>
      <c r="EZ17" s="93" t="s">
        <v>44</v>
      </c>
      <c r="FA17" s="95">
        <f>SUM(FA11:FA16)</f>
        <v>934.59</v>
      </c>
      <c r="FO17" s="1" t="s">
        <v>35</v>
      </c>
      <c r="FP17" s="4">
        <v>251</v>
      </c>
      <c r="FQ17" s="1" t="s">
        <v>73</v>
      </c>
      <c r="FW17" s="93" t="s">
        <v>44</v>
      </c>
      <c r="FX17" s="95">
        <f>SUM(FX11:FX16)</f>
        <v>3560.1299999999997</v>
      </c>
      <c r="GA17" s="93" t="s">
        <v>44</v>
      </c>
      <c r="GB17" s="95">
        <f>SUM(GB11:GB16)</f>
        <v>1391.42</v>
      </c>
      <c r="GF17" s="1" t="s">
        <v>808</v>
      </c>
      <c r="GG17" s="63">
        <v>100</v>
      </c>
      <c r="GI17" s="1" t="s">
        <v>818</v>
      </c>
      <c r="GJ17" s="4">
        <v>100</v>
      </c>
      <c r="GK17" s="4">
        <f>15.97+15.67+84.57</f>
        <v>116.21</v>
      </c>
      <c r="GL17" s="1" t="s">
        <v>813</v>
      </c>
      <c r="GM17" s="4">
        <v>100</v>
      </c>
      <c r="GO17" s="1" t="s">
        <v>814</v>
      </c>
      <c r="GP17" s="4">
        <v>180</v>
      </c>
      <c r="GS17" s="1" t="s">
        <v>20</v>
      </c>
      <c r="GT17" s="4">
        <v>836.51</v>
      </c>
      <c r="GU17" s="1" t="s">
        <v>21</v>
      </c>
      <c r="GW17" s="1" t="s">
        <v>24</v>
      </c>
      <c r="GX17" s="1">
        <v>146.12</v>
      </c>
      <c r="GY17" s="1" t="s">
        <v>25</v>
      </c>
      <c r="HB17" s="1" t="s">
        <v>372</v>
      </c>
      <c r="HC17" s="4">
        <v>100</v>
      </c>
      <c r="HF17" s="1" t="s">
        <v>38</v>
      </c>
      <c r="HG17" s="1">
        <v>100</v>
      </c>
      <c r="HH17" s="1" t="s">
        <v>19</v>
      </c>
      <c r="HN17" s="1" t="s">
        <v>35</v>
      </c>
      <c r="HO17" s="4">
        <v>251</v>
      </c>
      <c r="HP17" s="1" t="s">
        <v>73</v>
      </c>
      <c r="HR17" s="129" t="s">
        <v>797</v>
      </c>
      <c r="HS17" s="110">
        <v>295</v>
      </c>
      <c r="HT17" s="129" t="s">
        <v>73</v>
      </c>
      <c r="HV17" s="1" t="s">
        <v>18</v>
      </c>
      <c r="HW17" s="1">
        <v>259.42</v>
      </c>
      <c r="HX17" s="1" t="s">
        <v>19</v>
      </c>
      <c r="IA17" s="1" t="s">
        <v>20</v>
      </c>
      <c r="IB17" s="4">
        <v>836.51</v>
      </c>
      <c r="IC17" s="1" t="s">
        <v>21</v>
      </c>
      <c r="IE17" s="1" t="s">
        <v>35</v>
      </c>
      <c r="IF17" s="4">
        <v>251</v>
      </c>
      <c r="IG17" s="1" t="s">
        <v>73</v>
      </c>
      <c r="IJ17" s="4"/>
      <c r="IL17" s="1" t="s">
        <v>18</v>
      </c>
      <c r="IM17" s="1">
        <v>259.42</v>
      </c>
      <c r="IN17" s="1" t="s">
        <v>19</v>
      </c>
      <c r="IQ17" s="196" t="s">
        <v>41</v>
      </c>
      <c r="IR17" s="197"/>
      <c r="IS17" s="196" t="s">
        <v>42</v>
      </c>
      <c r="IU17" s="1" t="s">
        <v>866</v>
      </c>
      <c r="IV17" s="4">
        <v>9.0299999999999994</v>
      </c>
      <c r="IW17" s="1" t="s">
        <v>27</v>
      </c>
      <c r="IY17" s="4"/>
      <c r="JB17" s="196" t="s">
        <v>41</v>
      </c>
      <c r="JC17" s="197">
        <v>0</v>
      </c>
      <c r="JE17" s="106" t="s">
        <v>8</v>
      </c>
      <c r="JF17" s="107">
        <v>95.54</v>
      </c>
      <c r="JG17" s="34">
        <v>45580</v>
      </c>
      <c r="JI17" s="1" t="s">
        <v>5</v>
      </c>
      <c r="JJ17" s="4">
        <v>21.84</v>
      </c>
      <c r="JK17" s="1" t="s">
        <v>434</v>
      </c>
      <c r="JP17" s="177" t="s">
        <v>5</v>
      </c>
      <c r="JQ17" s="179">
        <v>21.22</v>
      </c>
      <c r="JR17" s="1" t="s">
        <v>434</v>
      </c>
      <c r="JS17" s="177" t="s">
        <v>18</v>
      </c>
      <c r="JT17" s="179">
        <v>259.42</v>
      </c>
      <c r="JU17" s="1" t="s">
        <v>19</v>
      </c>
      <c r="JV17" s="1" t="s">
        <v>20</v>
      </c>
      <c r="JW17" s="4">
        <v>836.51</v>
      </c>
      <c r="JX17" s="1" t="s">
        <v>21</v>
      </c>
      <c r="KE17" s="1" t="s">
        <v>43</v>
      </c>
      <c r="KF17" s="4">
        <v>500</v>
      </c>
      <c r="KG17" s="1" t="s">
        <v>19</v>
      </c>
      <c r="KK17" s="96" t="s">
        <v>383</v>
      </c>
      <c r="KL17" s="97">
        <f>KL6-KL16</f>
        <v>846.38000000000011</v>
      </c>
      <c r="KM17" s="230" t="s">
        <v>996</v>
      </c>
      <c r="KN17" s="96" t="s">
        <v>383</v>
      </c>
      <c r="KO17" s="97">
        <f>KO6-KO16</f>
        <v>-341.75999999999976</v>
      </c>
      <c r="KT17" s="231" t="s">
        <v>2</v>
      </c>
      <c r="KU17" s="232">
        <v>2831.43</v>
      </c>
      <c r="KV17" s="231" t="s">
        <v>6</v>
      </c>
      <c r="KX17" s="96" t="s">
        <v>383</v>
      </c>
      <c r="KY17" s="97">
        <f>KY6-KY16</f>
        <v>2113.3100000000004</v>
      </c>
    </row>
    <row r="18" spans="1:312" x14ac:dyDescent="0.25">
      <c r="A18" s="1" t="s">
        <v>867</v>
      </c>
      <c r="B18" s="1" t="s">
        <v>941</v>
      </c>
      <c r="C18" s="9">
        <v>40</v>
      </c>
      <c r="D18" s="9">
        <f>C18</f>
        <v>40</v>
      </c>
      <c r="I18" s="5"/>
      <c r="J18" s="5"/>
      <c r="L18" s="5"/>
      <c r="M18" s="5"/>
      <c r="N18" s="1" t="s">
        <v>152</v>
      </c>
      <c r="P18" s="5"/>
      <c r="Q18" s="45" t="s">
        <v>197</v>
      </c>
      <c r="R18" s="46">
        <v>33.19</v>
      </c>
      <c r="S18" s="5"/>
      <c r="U18" s="4"/>
      <c r="Z18" s="1" t="s">
        <v>26</v>
      </c>
      <c r="AA18" s="4">
        <v>39.99</v>
      </c>
      <c r="AC18" s="1" t="s">
        <v>262</v>
      </c>
      <c r="AD18" s="4">
        <v>241.53</v>
      </c>
      <c r="AI18" s="78" t="s">
        <v>273</v>
      </c>
      <c r="AJ18" s="79">
        <v>33.659999999999997</v>
      </c>
      <c r="AL18" s="60" t="s">
        <v>195</v>
      </c>
      <c r="AM18" s="61">
        <v>100</v>
      </c>
      <c r="AP18" s="4"/>
      <c r="AR18" s="1" t="s">
        <v>382</v>
      </c>
      <c r="AS18" s="4">
        <v>250</v>
      </c>
      <c r="AV18" s="92" t="s">
        <v>383</v>
      </c>
      <c r="AW18" s="5">
        <f>AW7-AW17</f>
        <v>1069.1299999999999</v>
      </c>
      <c r="AY18" s="1" t="s">
        <v>390</v>
      </c>
      <c r="AZ18" s="4">
        <v>200</v>
      </c>
      <c r="BB18" s="93" t="s">
        <v>44</v>
      </c>
      <c r="BC18" s="95">
        <f>SUM(BC10:BC17)</f>
        <v>1816</v>
      </c>
      <c r="BD18" s="5"/>
      <c r="BE18" s="1" t="s">
        <v>402</v>
      </c>
      <c r="BF18" s="102">
        <v>100</v>
      </c>
      <c r="BH18" s="1" t="s">
        <v>363</v>
      </c>
      <c r="BI18" s="4">
        <v>50</v>
      </c>
      <c r="BJ18" s="5"/>
      <c r="BK18" s="1" t="s">
        <v>390</v>
      </c>
      <c r="BL18" s="4">
        <v>0</v>
      </c>
      <c r="BN18" s="1" t="s">
        <v>390</v>
      </c>
      <c r="BO18" s="4">
        <v>100</v>
      </c>
      <c r="BQ18" s="1" t="s">
        <v>43</v>
      </c>
      <c r="BR18" s="4">
        <v>600</v>
      </c>
      <c r="BS18" s="1" t="s">
        <v>19</v>
      </c>
      <c r="BT18" s="1" t="s">
        <v>41</v>
      </c>
      <c r="BU18" s="9"/>
      <c r="BW18" s="1" t="s">
        <v>424</v>
      </c>
      <c r="BX18" s="4">
        <v>50</v>
      </c>
      <c r="CA18" s="1" t="s">
        <v>32</v>
      </c>
      <c r="CB18" s="4">
        <v>109</v>
      </c>
      <c r="CC18" s="1" t="s">
        <v>94</v>
      </c>
      <c r="CE18" s="1" t="s">
        <v>447</v>
      </c>
      <c r="CF18" s="4">
        <v>50</v>
      </c>
      <c r="CG18" s="5">
        <f>CF18-20.1-21.6</f>
        <v>8.2999999999999972</v>
      </c>
      <c r="CI18" s="1" t="s">
        <v>440</v>
      </c>
      <c r="CJ18" s="110">
        <v>450</v>
      </c>
      <c r="CK18" s="5">
        <f>CJ18-50.5-87.5-130.2</f>
        <v>181.8</v>
      </c>
      <c r="CM18" s="106" t="s">
        <v>446</v>
      </c>
      <c r="CN18" s="107">
        <v>146.37</v>
      </c>
      <c r="CR18" s="96" t="s">
        <v>383</v>
      </c>
      <c r="CS18" s="97">
        <f>CS7-CS17</f>
        <v>1611.94</v>
      </c>
      <c r="CV18" s="1" t="s">
        <v>440</v>
      </c>
      <c r="CW18" s="4">
        <f>117.1+25</f>
        <v>142.1</v>
      </c>
      <c r="CX18" s="5"/>
      <c r="DF18" s="1" t="s">
        <v>446</v>
      </c>
      <c r="DG18" s="4">
        <f>112.26+13.5</f>
        <v>125.76</v>
      </c>
      <c r="DN18" s="1" t="s">
        <v>440</v>
      </c>
      <c r="DO18" s="4">
        <v>250</v>
      </c>
      <c r="DT18" s="5">
        <f>DT17-950</f>
        <v>1192.5999999999999</v>
      </c>
      <c r="DU18" s="5">
        <f>DS11+DS12+DS13+DS14</f>
        <v>443.28000000000003</v>
      </c>
      <c r="DW18" s="93" t="s">
        <v>44</v>
      </c>
      <c r="DX18" s="95">
        <f>SUM(DX10:DX17)</f>
        <v>1523.42</v>
      </c>
      <c r="EB18" s="2" t="s">
        <v>373</v>
      </c>
      <c r="EC18" s="5">
        <f>EC16+500</f>
        <v>772</v>
      </c>
      <c r="ED18" s="1" t="s">
        <v>539</v>
      </c>
      <c r="EG18" s="1" t="s">
        <v>440</v>
      </c>
      <c r="EH18" s="4">
        <v>250</v>
      </c>
      <c r="EI18" s="5">
        <f>4.24+4.24+4.24+5.05+200+41.54</f>
        <v>259.31</v>
      </c>
      <c r="EO18" s="96" t="s">
        <v>383</v>
      </c>
      <c r="EP18" s="97">
        <f>EP7-EP17</f>
        <v>220.77999999999997</v>
      </c>
      <c r="ET18" s="111" t="s">
        <v>518</v>
      </c>
      <c r="EU18" s="4">
        <v>500</v>
      </c>
      <c r="EV18" s="120">
        <f>EU18/EU17</f>
        <v>0.65491315851518084</v>
      </c>
      <c r="EW18" s="1" t="s">
        <v>35</v>
      </c>
      <c r="EX18" s="4">
        <v>251</v>
      </c>
      <c r="EY18" s="1" t="s">
        <v>73</v>
      </c>
      <c r="EZ18" s="96" t="s">
        <v>383</v>
      </c>
      <c r="FA18" s="97">
        <f>FA8-FA17</f>
        <v>388.87</v>
      </c>
      <c r="FO18" s="129" t="s">
        <v>489</v>
      </c>
      <c r="FP18" s="110">
        <v>126</v>
      </c>
      <c r="FQ18" s="1" t="s">
        <v>490</v>
      </c>
      <c r="FR18" s="1" t="s">
        <v>440</v>
      </c>
      <c r="FS18" s="4">
        <v>200</v>
      </c>
      <c r="FT18" s="1">
        <f>12.92+25+15.26+29</f>
        <v>82.18</v>
      </c>
      <c r="FW18" s="96" t="s">
        <v>383</v>
      </c>
      <c r="FX18" s="97">
        <f>FX8-FX17</f>
        <v>372.99000000000024</v>
      </c>
      <c r="GA18" s="96" t="s">
        <v>383</v>
      </c>
      <c r="GB18" s="97">
        <f>GB8-GB17</f>
        <v>-291.42000000000007</v>
      </c>
      <c r="GF18" s="1" t="s">
        <v>809</v>
      </c>
      <c r="GG18" s="189">
        <v>30</v>
      </c>
      <c r="GI18" s="1" t="s">
        <v>819</v>
      </c>
      <c r="GJ18" s="4">
        <v>20</v>
      </c>
      <c r="GL18" s="93" t="s">
        <v>44</v>
      </c>
      <c r="GM18" s="95">
        <f>SUM(GM11:GM17)</f>
        <v>3547.47</v>
      </c>
      <c r="GO18" s="93" t="s">
        <v>44</v>
      </c>
      <c r="GP18" s="95">
        <f>SUM(GP11:GP17)</f>
        <v>1471.42</v>
      </c>
      <c r="GS18" s="196" t="s">
        <v>319</v>
      </c>
      <c r="GT18" s="197">
        <v>0</v>
      </c>
      <c r="GU18" s="196" t="s">
        <v>42</v>
      </c>
      <c r="GV18" s="196" t="s">
        <v>831</v>
      </c>
      <c r="GW18" s="1" t="s">
        <v>372</v>
      </c>
      <c r="GX18" s="4">
        <v>100</v>
      </c>
      <c r="HB18" s="1" t="s">
        <v>833</v>
      </c>
      <c r="HC18" s="4">
        <v>30</v>
      </c>
      <c r="HF18" s="1" t="s">
        <v>43</v>
      </c>
      <c r="HG18" s="1">
        <v>500</v>
      </c>
      <c r="HH18" s="1" t="s">
        <v>19</v>
      </c>
      <c r="HN18" s="1" t="s">
        <v>797</v>
      </c>
      <c r="HO18" s="4">
        <v>295</v>
      </c>
      <c r="HP18" s="1" t="s">
        <v>73</v>
      </c>
      <c r="HR18" s="129" t="s">
        <v>798</v>
      </c>
      <c r="HS18" s="110">
        <v>241</v>
      </c>
      <c r="HT18" s="129" t="s">
        <v>25</v>
      </c>
      <c r="HV18" s="1" t="s">
        <v>74</v>
      </c>
      <c r="HW18" s="1">
        <v>262</v>
      </c>
      <c r="HX18" s="1" t="s">
        <v>19</v>
      </c>
      <c r="IA18" s="196" t="s">
        <v>319</v>
      </c>
      <c r="IB18" s="197">
        <v>0</v>
      </c>
      <c r="IC18" s="196" t="s">
        <v>42</v>
      </c>
      <c r="ID18" s="196"/>
      <c r="IE18" s="129" t="s">
        <v>797</v>
      </c>
      <c r="IF18" s="110">
        <v>295</v>
      </c>
      <c r="IG18" s="129" t="s">
        <v>73</v>
      </c>
      <c r="IJ18" s="4"/>
      <c r="IL18" s="1" t="s">
        <v>74</v>
      </c>
      <c r="IM18" s="1">
        <v>262</v>
      </c>
      <c r="IN18" s="1" t="s">
        <v>19</v>
      </c>
      <c r="IQ18" s="1" t="s">
        <v>811</v>
      </c>
      <c r="IR18" s="4">
        <v>49.95</v>
      </c>
      <c r="IS18" s="34">
        <v>45578</v>
      </c>
      <c r="IU18" s="1" t="s">
        <v>35</v>
      </c>
      <c r="IV18" s="4">
        <v>236</v>
      </c>
      <c r="IW18" s="1" t="s">
        <v>73</v>
      </c>
      <c r="IY18" s="4"/>
      <c r="JB18" s="1" t="s">
        <v>420</v>
      </c>
      <c r="JC18" s="197">
        <v>29</v>
      </c>
      <c r="JE18" s="106" t="s">
        <v>877</v>
      </c>
      <c r="JF18" s="106">
        <v>269.02999999999997</v>
      </c>
      <c r="JG18" s="1" t="s">
        <v>817</v>
      </c>
      <c r="JP18" s="177" t="s">
        <v>2</v>
      </c>
      <c r="JQ18" s="179">
        <v>2741.43</v>
      </c>
      <c r="JS18" s="1" t="s">
        <v>74</v>
      </c>
      <c r="JT18" s="4">
        <v>262</v>
      </c>
      <c r="JV18" s="93" t="s">
        <v>44</v>
      </c>
      <c r="JW18" s="95">
        <f>SUM(JW12:JW17)</f>
        <v>1536.54</v>
      </c>
      <c r="KA18" s="93" t="s">
        <v>44</v>
      </c>
      <c r="KB18" s="95">
        <f>SUM(KB12:KB17)</f>
        <v>102.74000000000001</v>
      </c>
      <c r="KE18" s="1" t="s">
        <v>901</v>
      </c>
      <c r="KF18" s="4">
        <v>29</v>
      </c>
      <c r="KG18" s="1" t="s">
        <v>902</v>
      </c>
      <c r="KQ18" s="24" t="s">
        <v>373</v>
      </c>
      <c r="KR18" s="72">
        <v>651</v>
      </c>
      <c r="KS18" s="1" t="s">
        <v>999</v>
      </c>
      <c r="KT18" s="141" t="s">
        <v>9</v>
      </c>
      <c r="KU18" s="102">
        <v>445.45</v>
      </c>
      <c r="KV18" s="141"/>
    </row>
    <row r="19" spans="1:312" x14ac:dyDescent="0.25">
      <c r="I19" s="5"/>
      <c r="J19" s="5"/>
      <c r="L19" s="5"/>
      <c r="M19" s="5"/>
      <c r="N19" s="1" t="s">
        <v>191</v>
      </c>
      <c r="P19" s="5"/>
      <c r="Q19" s="5"/>
      <c r="R19" s="4"/>
      <c r="S19" s="5"/>
      <c r="U19" s="4"/>
      <c r="Z19" s="45" t="s">
        <v>244</v>
      </c>
      <c r="AA19" s="46">
        <v>169.46</v>
      </c>
      <c r="AC19" s="1" t="s">
        <v>267</v>
      </c>
      <c r="AD19" s="5">
        <v>0</v>
      </c>
      <c r="AI19" s="1" t="s">
        <v>9</v>
      </c>
      <c r="AJ19" s="4">
        <v>445.45</v>
      </c>
      <c r="AL19" s="1" t="s">
        <v>317</v>
      </c>
      <c r="AM19" s="4">
        <v>93.99</v>
      </c>
      <c r="AR19" s="93" t="s">
        <v>44</v>
      </c>
      <c r="AS19" s="81">
        <f>SUM(AS9:AS18)</f>
        <v>2789.0199999999995</v>
      </c>
      <c r="AT19" s="80"/>
      <c r="AV19" s="1" t="s">
        <v>384</v>
      </c>
      <c r="AW19" s="5">
        <v>215</v>
      </c>
      <c r="AY19" s="1" t="s">
        <v>43</v>
      </c>
      <c r="AZ19" s="4">
        <v>500</v>
      </c>
      <c r="BB19" s="96" t="s">
        <v>383</v>
      </c>
      <c r="BC19" s="97">
        <f>BC7-BC18</f>
        <v>1103.48</v>
      </c>
      <c r="BE19" s="93" t="s">
        <v>44</v>
      </c>
      <c r="BF19" s="95">
        <f>SUM(BF9:BF18)</f>
        <v>1494.54</v>
      </c>
      <c r="BH19" s="93" t="s">
        <v>44</v>
      </c>
      <c r="BI19" s="95">
        <f>SUM(BI9:BI18)</f>
        <v>1354.3400000000001</v>
      </c>
      <c r="BK19" s="1" t="s">
        <v>43</v>
      </c>
      <c r="BL19" s="4">
        <v>0</v>
      </c>
      <c r="BN19" s="1" t="s">
        <v>43</v>
      </c>
      <c r="BO19" s="4"/>
      <c r="BP19" s="1" t="s">
        <v>19</v>
      </c>
      <c r="BQ19" s="93" t="s">
        <v>44</v>
      </c>
      <c r="BR19" s="95">
        <f>SUM(BR9:BR18)</f>
        <v>2008.81</v>
      </c>
      <c r="BT19" s="93" t="s">
        <v>44</v>
      </c>
      <c r="BU19" s="95">
        <f>SUM(BU9:BU18)</f>
        <v>2247.5</v>
      </c>
      <c r="BW19" s="1" t="s">
        <v>428</v>
      </c>
      <c r="BX19" s="4">
        <v>250</v>
      </c>
      <c r="CA19" s="1" t="s">
        <v>5</v>
      </c>
      <c r="CB19" s="4">
        <v>100</v>
      </c>
      <c r="CC19" s="1" t="s">
        <v>434</v>
      </c>
      <c r="CE19" s="1" t="s">
        <v>440</v>
      </c>
      <c r="CF19" s="4">
        <v>250</v>
      </c>
      <c r="CG19" s="5">
        <f>CF19-2.75-20.1-40.31-27.55-10.85-27.55-25-25</f>
        <v>70.89</v>
      </c>
      <c r="CI19" s="93" t="s">
        <v>44</v>
      </c>
      <c r="CJ19" s="95">
        <f>SUM(CJ12:CJ18)</f>
        <v>2530.2200000000003</v>
      </c>
      <c r="CM19" s="106" t="s">
        <v>447</v>
      </c>
      <c r="CN19" s="107">
        <v>21.5</v>
      </c>
      <c r="CR19" s="111"/>
      <c r="CS19" s="5"/>
      <c r="CV19" s="1" t="s">
        <v>489</v>
      </c>
      <c r="CW19" s="4">
        <v>72</v>
      </c>
      <c r="CX19" s="1" t="s">
        <v>490</v>
      </c>
      <c r="DA19" s="93" t="s">
        <v>44</v>
      </c>
      <c r="DB19" s="95">
        <f>SUM(DB10:DB18)</f>
        <v>782.51</v>
      </c>
      <c r="DF19" s="1" t="s">
        <v>447</v>
      </c>
      <c r="DG19" s="4">
        <v>45</v>
      </c>
      <c r="DH19" s="5">
        <f>DG19-20</f>
        <v>25</v>
      </c>
      <c r="DN19" s="1" t="s">
        <v>489</v>
      </c>
      <c r="DO19" s="107">
        <v>93</v>
      </c>
      <c r="DP19" s="1" t="s">
        <v>490</v>
      </c>
      <c r="DU19" s="5">
        <f>DT18-DU18</f>
        <v>749.31999999999994</v>
      </c>
      <c r="DW19" s="96" t="s">
        <v>383</v>
      </c>
      <c r="DX19" s="97">
        <f>DX7-DX18</f>
        <v>1433.4</v>
      </c>
      <c r="DY19" s="5">
        <f>DX19/3</f>
        <v>477.8</v>
      </c>
      <c r="DZ19" s="5">
        <f>DX23+$DY$19</f>
        <v>5682.8</v>
      </c>
      <c r="EC19" s="5">
        <f>EC18+EB40</f>
        <v>1529.7399999999998</v>
      </c>
      <c r="EG19" s="1" t="s">
        <v>545</v>
      </c>
      <c r="EH19" s="4">
        <v>100</v>
      </c>
      <c r="EI19" s="1">
        <v>100</v>
      </c>
      <c r="ET19" s="111" t="s">
        <v>145</v>
      </c>
      <c r="EU19" s="4">
        <v>131.22999999999999</v>
      </c>
      <c r="EV19" s="118">
        <f>EU19/EU17</f>
        <v>0.17188850758389435</v>
      </c>
      <c r="EW19" s="1" t="s">
        <v>489</v>
      </c>
      <c r="EX19" s="4">
        <v>112</v>
      </c>
      <c r="EY19" s="1" t="s">
        <v>490</v>
      </c>
      <c r="FE19" s="1" t="s">
        <v>770</v>
      </c>
      <c r="FF19" s="4">
        <v>110</v>
      </c>
      <c r="FO19" s="129" t="s">
        <v>773</v>
      </c>
      <c r="FP19" s="186">
        <v>93.78</v>
      </c>
      <c r="FQ19" s="1">
        <f>13.63+80.15</f>
        <v>93.78</v>
      </c>
      <c r="FR19" s="1" t="s">
        <v>773</v>
      </c>
      <c r="FS19" s="63">
        <v>110</v>
      </c>
      <c r="FT19" s="1">
        <v>97.1</v>
      </c>
      <c r="FX19" s="4"/>
      <c r="GF19" s="1" t="s">
        <v>478</v>
      </c>
      <c r="GG19" s="189">
        <v>100</v>
      </c>
      <c r="GH19" s="5"/>
      <c r="GI19" s="1" t="s">
        <v>478</v>
      </c>
      <c r="GJ19" s="4">
        <v>150</v>
      </c>
      <c r="GL19" s="96" t="s">
        <v>383</v>
      </c>
      <c r="GM19" s="97"/>
      <c r="GO19" s="96" t="s">
        <v>383</v>
      </c>
      <c r="GP19" s="97">
        <f>GP8-GP18</f>
        <v>-971.42000000000007</v>
      </c>
      <c r="GS19" s="1" t="s">
        <v>26</v>
      </c>
      <c r="GT19" s="4">
        <v>43.99</v>
      </c>
      <c r="GU19" s="1" t="s">
        <v>27</v>
      </c>
      <c r="GW19" s="1" t="s">
        <v>833</v>
      </c>
      <c r="GX19" s="4">
        <v>30</v>
      </c>
      <c r="HB19" s="1" t="s">
        <v>104</v>
      </c>
      <c r="HC19" s="4">
        <v>150</v>
      </c>
      <c r="HF19" s="93" t="s">
        <v>44</v>
      </c>
      <c r="HG19" s="95">
        <f>SUM(HG11:HG18)</f>
        <v>4478.2999999999993</v>
      </c>
      <c r="HK19" s="93" t="s">
        <v>44</v>
      </c>
      <c r="HL19" s="95">
        <f>SUM(HL11:HL18)</f>
        <v>167</v>
      </c>
      <c r="HN19" s="1" t="s">
        <v>372</v>
      </c>
      <c r="HO19" s="4">
        <v>110</v>
      </c>
      <c r="HR19" s="129" t="s">
        <v>460</v>
      </c>
      <c r="HS19" s="110">
        <v>194</v>
      </c>
      <c r="HT19" s="129" t="s">
        <v>25</v>
      </c>
      <c r="HV19" s="1" t="s">
        <v>33</v>
      </c>
      <c r="HW19" s="1">
        <v>150</v>
      </c>
      <c r="HX19" s="1" t="s">
        <v>19</v>
      </c>
      <c r="IA19" s="1" t="s">
        <v>26</v>
      </c>
      <c r="IB19" s="4">
        <v>43.99</v>
      </c>
      <c r="IC19" s="1" t="s">
        <v>27</v>
      </c>
      <c r="IE19" s="1" t="s">
        <v>798</v>
      </c>
      <c r="IF19" s="4">
        <v>241</v>
      </c>
      <c r="IG19" s="1" t="s">
        <v>25</v>
      </c>
      <c r="IJ19" s="4"/>
      <c r="IL19" s="1" t="s">
        <v>33</v>
      </c>
      <c r="IM19" s="1">
        <v>150</v>
      </c>
      <c r="IN19" s="1" t="s">
        <v>19</v>
      </c>
      <c r="IQ19" s="1" t="s">
        <v>8</v>
      </c>
      <c r="IR19" s="4">
        <v>102.1</v>
      </c>
      <c r="IS19" s="34">
        <v>45583</v>
      </c>
      <c r="IU19" s="1" t="s">
        <v>797</v>
      </c>
      <c r="IV19" s="179">
        <v>301</v>
      </c>
      <c r="IW19" s="1" t="s">
        <v>73</v>
      </c>
      <c r="IY19" s="4"/>
      <c r="JB19" s="106" t="s">
        <v>811</v>
      </c>
      <c r="JC19" s="107">
        <v>144.49</v>
      </c>
      <c r="JE19" s="106" t="s">
        <v>878</v>
      </c>
      <c r="JF19" s="106">
        <v>130</v>
      </c>
      <c r="JG19" s="1" t="s">
        <v>879</v>
      </c>
      <c r="JP19" s="177" t="s">
        <v>9</v>
      </c>
      <c r="JQ19" s="179">
        <v>445.45</v>
      </c>
      <c r="JS19" s="1" t="s">
        <v>33</v>
      </c>
      <c r="JT19" s="4"/>
      <c r="JU19" s="1" t="s">
        <v>898</v>
      </c>
      <c r="JV19" s="96" t="s">
        <v>383</v>
      </c>
      <c r="JW19" s="97">
        <f>JW9-JW18</f>
        <v>1114.17</v>
      </c>
      <c r="KA19" s="96" t="s">
        <v>383</v>
      </c>
      <c r="KB19" s="97">
        <f>KB9-KB18</f>
        <v>729.06</v>
      </c>
      <c r="KC19" s="5"/>
      <c r="KE19" s="93" t="s">
        <v>44</v>
      </c>
      <c r="KF19" s="95">
        <f>SUM(KF12:KF18)</f>
        <v>1389.42</v>
      </c>
      <c r="KQ19" s="234" t="s">
        <v>1000</v>
      </c>
      <c r="KR19" s="234"/>
      <c r="KT19" s="1" t="s">
        <v>28</v>
      </c>
      <c r="KU19" s="4">
        <v>20</v>
      </c>
      <c r="KV19" s="1" t="s">
        <v>14</v>
      </c>
      <c r="KX19" s="24" t="s">
        <v>373</v>
      </c>
      <c r="KY19" s="82">
        <v>504</v>
      </c>
      <c r="KZ19" s="2" t="s">
        <v>1006</v>
      </c>
    </row>
    <row r="20" spans="1:312" x14ac:dyDescent="0.25">
      <c r="A20" s="1" t="s">
        <v>24</v>
      </c>
      <c r="B20" s="1" t="s">
        <v>25</v>
      </c>
      <c r="C20" s="9">
        <v>150.43</v>
      </c>
      <c r="D20" s="9">
        <f t="shared" ref="D20:D21" si="1">C20</f>
        <v>150.43</v>
      </c>
      <c r="I20" s="5"/>
      <c r="J20" s="5"/>
      <c r="L20" s="5"/>
      <c r="M20" s="5"/>
      <c r="P20" s="5"/>
      <c r="R20" s="4"/>
      <c r="S20" s="5"/>
      <c r="U20" s="4"/>
      <c r="AA20" s="4"/>
      <c r="AC20" s="1" t="s">
        <v>24</v>
      </c>
      <c r="AD20" s="4">
        <v>154.77000000000001</v>
      </c>
      <c r="AJ20" s="4"/>
      <c r="AL20" s="1" t="s">
        <v>319</v>
      </c>
      <c r="AM20" s="4">
        <v>36.6</v>
      </c>
      <c r="AR20" s="92" t="s">
        <v>383</v>
      </c>
      <c r="AS20" s="4">
        <f>AS2-AS19</f>
        <v>2686.8300000000008</v>
      </c>
      <c r="AV20" s="92" t="s">
        <v>385</v>
      </c>
      <c r="AW20" s="5">
        <f>AW18-AW19</f>
        <v>854.12999999999988</v>
      </c>
      <c r="AY20" s="1" t="s">
        <v>395</v>
      </c>
      <c r="AZ20" s="4">
        <v>100</v>
      </c>
      <c r="BB20" s="1" t="s">
        <v>384</v>
      </c>
      <c r="BC20" s="4">
        <v>300</v>
      </c>
      <c r="BE20" s="96" t="s">
        <v>383</v>
      </c>
      <c r="BF20" s="97">
        <f>BF7-BF19</f>
        <v>1895.35</v>
      </c>
      <c r="BG20" s="5"/>
      <c r="BH20" s="96" t="s">
        <v>383</v>
      </c>
      <c r="BI20" s="97">
        <f>BI7-BI19</f>
        <v>1476.7599999999998</v>
      </c>
      <c r="BK20" s="93" t="s">
        <v>44</v>
      </c>
      <c r="BL20" s="95">
        <f>SUM(BL10:BL19)</f>
        <v>150</v>
      </c>
      <c r="BN20" s="93" t="s">
        <v>44</v>
      </c>
      <c r="BO20" s="95">
        <f>SUM(BO10:BO19)</f>
        <v>845.45</v>
      </c>
      <c r="BQ20" s="96" t="s">
        <v>383</v>
      </c>
      <c r="BR20" s="97">
        <f>BR7-BR19</f>
        <v>-23.160000000000082</v>
      </c>
      <c r="BT20" s="96" t="s">
        <v>383</v>
      </c>
      <c r="BU20" s="97">
        <f>BU7-BU19</f>
        <v>-3170.66</v>
      </c>
      <c r="BW20" s="1" t="s">
        <v>425</v>
      </c>
      <c r="BX20" s="4">
        <v>120</v>
      </c>
      <c r="CA20" s="106" t="s">
        <v>436</v>
      </c>
      <c r="CB20" s="107">
        <v>180</v>
      </c>
      <c r="CC20" s="5">
        <f>CB20-15.32-21.31-31.41-107.51</f>
        <v>4.4500000000000028</v>
      </c>
      <c r="CE20" s="93" t="s">
        <v>44</v>
      </c>
      <c r="CF20" s="95">
        <f>SUM(CF10:CF19)</f>
        <v>5079.9400000000005</v>
      </c>
      <c r="CI20" s="96" t="s">
        <v>383</v>
      </c>
      <c r="CJ20" s="97">
        <f>CJ7-CJ19</f>
        <v>3121.3899999999994</v>
      </c>
      <c r="CM20" s="1" t="s">
        <v>440</v>
      </c>
      <c r="CN20" s="4">
        <v>250</v>
      </c>
      <c r="CO20" s="5">
        <f>103.5+35.86+20+50.85</f>
        <v>210.21</v>
      </c>
      <c r="CP20" s="5">
        <f>CN20-CO20</f>
        <v>39.789999999999992</v>
      </c>
      <c r="CV20" s="1" t="s">
        <v>83</v>
      </c>
      <c r="CW20" s="110">
        <v>284</v>
      </c>
      <c r="CX20" s="1" t="s">
        <v>25</v>
      </c>
      <c r="DA20" s="96" t="s">
        <v>383</v>
      </c>
      <c r="DB20" s="97">
        <f>DB7-DB19</f>
        <v>2134.6999999999998</v>
      </c>
      <c r="DC20" s="5">
        <f>DB20-134-134-134</f>
        <v>1732.6999999999998</v>
      </c>
      <c r="DF20" s="1" t="s">
        <v>440</v>
      </c>
      <c r="DG20" s="4">
        <v>250</v>
      </c>
      <c r="DH20" s="5">
        <f>DG20-49.49-25-75-21.09-49.49</f>
        <v>29.929999999999986</v>
      </c>
      <c r="DU20" s="5"/>
      <c r="DZ20" s="5">
        <f>DX24+$DY$19</f>
        <v>3983.3100000000004</v>
      </c>
      <c r="EB20" s="234" t="s">
        <v>538</v>
      </c>
      <c r="EC20" s="234"/>
      <c r="EG20" s="1" t="s">
        <v>548</v>
      </c>
      <c r="EH20" s="4">
        <v>700</v>
      </c>
      <c r="EO20" s="2" t="s">
        <v>117</v>
      </c>
      <c r="ET20" s="111" t="s">
        <v>519</v>
      </c>
      <c r="EU20" s="4">
        <v>131.22999999999999</v>
      </c>
      <c r="EV20" s="118">
        <f>EU20/EU17</f>
        <v>0.17188850758389435</v>
      </c>
      <c r="EW20" s="1" t="s">
        <v>761</v>
      </c>
      <c r="EX20" s="4">
        <v>30</v>
      </c>
      <c r="FE20" s="1" t="s">
        <v>771</v>
      </c>
      <c r="FF20" s="4">
        <v>30</v>
      </c>
      <c r="FG20" s="5">
        <f>FF20-10.15</f>
        <v>19.850000000000001</v>
      </c>
      <c r="FO20" s="129" t="s">
        <v>774</v>
      </c>
      <c r="FP20" s="110">
        <v>45.5</v>
      </c>
      <c r="FR20" s="1" t="s">
        <v>774</v>
      </c>
      <c r="FS20" s="4">
        <v>45</v>
      </c>
      <c r="FT20" s="1">
        <f>25.15</f>
        <v>25.15</v>
      </c>
      <c r="GF20" s="106" t="s">
        <v>489</v>
      </c>
      <c r="GG20" s="190">
        <v>139</v>
      </c>
      <c r="GH20" s="106" t="s">
        <v>490</v>
      </c>
      <c r="GI20" s="106"/>
      <c r="GJ20" s="106"/>
      <c r="GK20" s="106"/>
      <c r="GM20" s="4"/>
      <c r="GP20" s="4"/>
      <c r="GS20" s="1" t="s">
        <v>372</v>
      </c>
      <c r="GT20" s="4">
        <v>110</v>
      </c>
      <c r="GU20" s="1">
        <v>76.78</v>
      </c>
      <c r="GW20" s="1" t="s">
        <v>104</v>
      </c>
      <c r="GX20" s="4">
        <v>150</v>
      </c>
      <c r="HB20" s="93" t="s">
        <v>44</v>
      </c>
      <c r="HC20" s="95">
        <f>SUM(HC11:HC19)</f>
        <v>1822.71</v>
      </c>
      <c r="HF20" s="96" t="s">
        <v>383</v>
      </c>
      <c r="HG20" s="97">
        <f>HG8-HG19</f>
        <v>-2720.8499999999995</v>
      </c>
      <c r="HK20" s="96" t="s">
        <v>383</v>
      </c>
      <c r="HL20" s="97">
        <f>HL8-HL19</f>
        <v>-167</v>
      </c>
      <c r="HN20" s="1" t="s">
        <v>55</v>
      </c>
      <c r="HO20" s="4">
        <v>30</v>
      </c>
      <c r="HR20" s="129" t="s">
        <v>24</v>
      </c>
      <c r="HS20" s="110">
        <v>146.12</v>
      </c>
      <c r="HT20" s="129" t="s">
        <v>25</v>
      </c>
      <c r="HV20" s="1" t="s">
        <v>38</v>
      </c>
      <c r="HW20" s="1">
        <v>100</v>
      </c>
      <c r="HX20" s="1" t="s">
        <v>19</v>
      </c>
      <c r="IA20" s="1" t="s">
        <v>372</v>
      </c>
      <c r="IB20" s="4">
        <v>110</v>
      </c>
      <c r="IE20" s="129" t="s">
        <v>460</v>
      </c>
      <c r="IF20" s="110">
        <v>194</v>
      </c>
      <c r="IG20" s="129" t="s">
        <v>25</v>
      </c>
      <c r="IJ20" s="4"/>
      <c r="IL20" s="1" t="s">
        <v>38</v>
      </c>
      <c r="IM20" s="1">
        <v>100</v>
      </c>
      <c r="IN20" s="1" t="s">
        <v>19</v>
      </c>
      <c r="IQ20" s="1" t="s">
        <v>20</v>
      </c>
      <c r="IR20" s="4">
        <v>836.51</v>
      </c>
      <c r="IS20" s="1" t="s">
        <v>21</v>
      </c>
      <c r="IV20" s="4"/>
      <c r="IY20" s="4"/>
      <c r="JB20" s="106" t="s">
        <v>33</v>
      </c>
      <c r="JC20" s="107">
        <v>120</v>
      </c>
      <c r="JP20" s="1" t="s">
        <v>28</v>
      </c>
      <c r="JQ20" s="4">
        <v>20</v>
      </c>
      <c r="JS20" s="177" t="s">
        <v>38</v>
      </c>
      <c r="JT20" s="179">
        <v>150</v>
      </c>
      <c r="KE20" s="96" t="s">
        <v>383</v>
      </c>
      <c r="KF20" s="97">
        <f>KF9-KF19</f>
        <v>-885.42000000000007</v>
      </c>
      <c r="KK20" s="234" t="s">
        <v>986</v>
      </c>
      <c r="KL20" s="234"/>
      <c r="KN20" s="234" t="s">
        <v>994</v>
      </c>
      <c r="KO20" s="234"/>
      <c r="KQ20" s="1" t="s">
        <v>32</v>
      </c>
      <c r="KR20" s="4">
        <v>237.88</v>
      </c>
      <c r="KS20" s="34" t="s">
        <v>94</v>
      </c>
      <c r="KT20" s="6" t="s">
        <v>992</v>
      </c>
      <c r="KV20" s="77">
        <v>259.42</v>
      </c>
      <c r="KX20" s="234" t="s">
        <v>1012</v>
      </c>
      <c r="KY20" s="234"/>
    </row>
    <row r="21" spans="1:312" x14ac:dyDescent="0.25">
      <c r="A21" s="1" t="s">
        <v>31</v>
      </c>
      <c r="B21" s="1" t="s">
        <v>25</v>
      </c>
      <c r="D21" s="9">
        <f t="shared" si="1"/>
        <v>0</v>
      </c>
      <c r="I21" s="5"/>
      <c r="J21" s="5"/>
      <c r="L21" s="5"/>
      <c r="M21" s="5"/>
      <c r="P21" s="5"/>
      <c r="R21" s="4"/>
      <c r="S21" s="5"/>
      <c r="U21" s="4"/>
      <c r="AA21" s="4"/>
      <c r="AC21" s="1" t="s">
        <v>266</v>
      </c>
      <c r="AD21" s="1">
        <v>69</v>
      </c>
      <c r="AJ21" s="4"/>
      <c r="AL21" s="60" t="s">
        <v>325</v>
      </c>
      <c r="AM21" s="61">
        <v>25</v>
      </c>
      <c r="AR21" s="1" t="s">
        <v>384</v>
      </c>
      <c r="AS21" s="5">
        <v>1400</v>
      </c>
      <c r="AV21" s="1" t="s">
        <v>386</v>
      </c>
      <c r="AW21" s="1">
        <v>200</v>
      </c>
      <c r="AY21" s="93" t="s">
        <v>44</v>
      </c>
      <c r="AZ21" s="95">
        <f>SUM(AZ10:AZ20)</f>
        <v>2175.81</v>
      </c>
      <c r="BB21" s="98" t="s">
        <v>385</v>
      </c>
      <c r="BC21" s="99">
        <f>BC19-BC20</f>
        <v>803.48</v>
      </c>
      <c r="BE21" s="1" t="s">
        <v>384</v>
      </c>
      <c r="BF21" s="4">
        <v>1000</v>
      </c>
      <c r="BH21" s="1" t="s">
        <v>384</v>
      </c>
      <c r="BI21" s="4">
        <v>900</v>
      </c>
      <c r="BK21" s="96" t="s">
        <v>383</v>
      </c>
      <c r="BL21" s="97">
        <f>BL7-BL20</f>
        <v>-150</v>
      </c>
      <c r="BN21" s="96" t="s">
        <v>383</v>
      </c>
      <c r="BO21" s="97">
        <f>BO7-BO20</f>
        <v>-845.45</v>
      </c>
      <c r="BQ21" s="103" t="s">
        <v>384</v>
      </c>
      <c r="BR21" s="86">
        <v>600</v>
      </c>
      <c r="BT21" s="103" t="s">
        <v>384</v>
      </c>
      <c r="BU21" s="86">
        <v>750</v>
      </c>
      <c r="BW21" s="1" t="s">
        <v>426</v>
      </c>
      <c r="BX21" s="4">
        <v>50</v>
      </c>
      <c r="CA21" s="106" t="s">
        <v>435</v>
      </c>
      <c r="CB21" s="107">
        <v>20</v>
      </c>
      <c r="CE21" s="96" t="s">
        <v>383</v>
      </c>
      <c r="CF21" s="97">
        <f>CF7-CF20</f>
        <v>450.57999999999993</v>
      </c>
      <c r="CG21" s="5">
        <f>CF21-CH17</f>
        <v>422.43999999999994</v>
      </c>
      <c r="CM21" s="93" t="s">
        <v>44</v>
      </c>
      <c r="CN21" s="95">
        <f>SUM(CN10:CN20)</f>
        <v>4885.8100000000004</v>
      </c>
      <c r="CV21" s="93" t="s">
        <v>44</v>
      </c>
      <c r="CW21" s="95">
        <f>SUM(CW10:CW20)</f>
        <v>2474.2600000000002</v>
      </c>
      <c r="CX21" s="5"/>
      <c r="DF21" s="93" t="s">
        <v>44</v>
      </c>
      <c r="DG21" s="95">
        <f>SUM(DG10:DG20)</f>
        <v>4794.76</v>
      </c>
      <c r="DJ21" s="93" t="s">
        <v>44</v>
      </c>
      <c r="DK21" s="95">
        <f>SUM(DK10:DK20)</f>
        <v>707</v>
      </c>
      <c r="DN21" s="93" t="s">
        <v>44</v>
      </c>
      <c r="DO21" s="95">
        <f>SUM(DO10:DO20)</f>
        <v>2248.14</v>
      </c>
      <c r="DR21" s="93" t="s">
        <v>44</v>
      </c>
      <c r="DS21" s="95">
        <f>SUM(DS10:DS20)</f>
        <v>1066.2800000000002</v>
      </c>
      <c r="DW21" s="234" t="s">
        <v>528</v>
      </c>
      <c r="DX21" s="234"/>
      <c r="DZ21" s="5">
        <f>DX25+$DY$19</f>
        <v>38876.810000000005</v>
      </c>
      <c r="EC21" s="4"/>
      <c r="ED21" s="105"/>
      <c r="EG21" s="93" t="s">
        <v>44</v>
      </c>
      <c r="EH21" s="95">
        <f>SUM(EH10:EH20)</f>
        <v>2286.5299999999997</v>
      </c>
      <c r="EO21" s="1" t="s">
        <v>556</v>
      </c>
      <c r="EU21" s="4">
        <f>SUM(EU18:EU20)</f>
        <v>762.46</v>
      </c>
      <c r="EV21" s="118">
        <f>SUM(EV18:EV20)</f>
        <v>0.99869017368296942</v>
      </c>
      <c r="EW21" s="1" t="s">
        <v>762</v>
      </c>
      <c r="EX21" s="4">
        <v>120</v>
      </c>
      <c r="FE21" s="1" t="s">
        <v>478</v>
      </c>
      <c r="FF21" s="4">
        <v>150</v>
      </c>
      <c r="FG21" s="5">
        <f>FF21-3.9</f>
        <v>146.1</v>
      </c>
      <c r="FO21" s="129" t="s">
        <v>478</v>
      </c>
      <c r="FP21" s="110">
        <v>175.44</v>
      </c>
      <c r="FQ21" s="1">
        <f>25+25+25.44+100</f>
        <v>175.44</v>
      </c>
      <c r="FR21" s="1" t="s">
        <v>791</v>
      </c>
      <c r="FS21" s="4">
        <v>30</v>
      </c>
      <c r="GF21" s="111"/>
      <c r="GG21" s="119"/>
      <c r="GI21" s="93" t="s">
        <v>44</v>
      </c>
      <c r="GJ21" s="95">
        <f>SUM(GJ11:GJ20)</f>
        <v>1471.12</v>
      </c>
      <c r="GO21" s="1" t="s">
        <v>826</v>
      </c>
      <c r="GP21" s="5">
        <f>GP19/2</f>
        <v>-485.71000000000004</v>
      </c>
      <c r="GQ21" s="5">
        <f>GP21+GN4</f>
        <v>5164.8599999999997</v>
      </c>
      <c r="GS21" s="1" t="s">
        <v>833</v>
      </c>
      <c r="GT21" s="4">
        <v>30</v>
      </c>
      <c r="GW21" s="93" t="s">
        <v>44</v>
      </c>
      <c r="GX21" s="95">
        <f>SUM(GX11:GX20)</f>
        <v>1829.4699999999998</v>
      </c>
      <c r="HB21" s="96" t="s">
        <v>383</v>
      </c>
      <c r="HC21" s="97">
        <f>HC8-HC20</f>
        <v>597.75999999999976</v>
      </c>
      <c r="HN21" s="93" t="s">
        <v>44</v>
      </c>
      <c r="HO21" s="95">
        <f>SUM(HO13:HO20)</f>
        <v>1994.85</v>
      </c>
      <c r="HR21" s="129" t="s">
        <v>32</v>
      </c>
      <c r="HS21" s="110">
        <v>128.94</v>
      </c>
      <c r="HT21" s="1" t="s">
        <v>94</v>
      </c>
      <c r="HV21" s="1" t="s">
        <v>43</v>
      </c>
      <c r="HW21" s="1">
        <v>500</v>
      </c>
      <c r="HX21" s="1" t="s">
        <v>19</v>
      </c>
      <c r="IA21" s="1" t="s">
        <v>833</v>
      </c>
      <c r="IB21" s="4">
        <v>30</v>
      </c>
      <c r="IE21" s="129" t="s">
        <v>24</v>
      </c>
      <c r="IF21" s="110">
        <v>152.19999999999999</v>
      </c>
      <c r="IG21" s="129" t="s">
        <v>25</v>
      </c>
      <c r="IJ21" s="4"/>
      <c r="IL21" s="1" t="s">
        <v>43</v>
      </c>
      <c r="IM21" s="1">
        <v>600</v>
      </c>
      <c r="IN21" s="1" t="s">
        <v>19</v>
      </c>
      <c r="IQ21" s="196" t="s">
        <v>319</v>
      </c>
      <c r="IR21" s="197">
        <v>0</v>
      </c>
      <c r="IS21" s="196" t="s">
        <v>42</v>
      </c>
      <c r="IV21" s="4"/>
      <c r="IY21" s="4"/>
      <c r="JB21" s="106" t="s">
        <v>38</v>
      </c>
      <c r="JC21" s="107">
        <v>100</v>
      </c>
      <c r="JP21" s="1" t="s">
        <v>18</v>
      </c>
      <c r="JQ21" s="4">
        <v>259.42</v>
      </c>
      <c r="JS21" s="1" t="s">
        <v>43</v>
      </c>
      <c r="JT21" s="4">
        <v>610</v>
      </c>
      <c r="JV21" s="24" t="s">
        <v>373</v>
      </c>
      <c r="JW21" s="72">
        <f>1223.74</f>
        <v>1223.74</v>
      </c>
      <c r="JX21" s="1" t="s">
        <v>952</v>
      </c>
      <c r="KA21" s="220" t="s">
        <v>953</v>
      </c>
      <c r="KB21" s="45"/>
      <c r="KQ21" s="1" t="s">
        <v>5</v>
      </c>
      <c r="KR21" s="4">
        <v>33</v>
      </c>
      <c r="KS21" s="4" t="s">
        <v>434</v>
      </c>
      <c r="KT21" s="1" t="s">
        <v>74</v>
      </c>
      <c r="KU21" s="4">
        <v>262</v>
      </c>
      <c r="KV21" s="1" t="s">
        <v>19</v>
      </c>
      <c r="KX21" s="1" t="s">
        <v>878</v>
      </c>
      <c r="KY21" s="4">
        <v>131</v>
      </c>
      <c r="KZ21" s="1" t="s">
        <v>879</v>
      </c>
    </row>
    <row r="22" spans="1:312" x14ac:dyDescent="0.25">
      <c r="A22" s="1" t="s">
        <v>54</v>
      </c>
      <c r="D22" s="9">
        <v>400</v>
      </c>
      <c r="I22" s="5"/>
      <c r="J22" s="5"/>
      <c r="L22" s="5"/>
      <c r="M22" s="5"/>
      <c r="N22" s="1" t="s">
        <v>155</v>
      </c>
      <c r="P22" s="5"/>
      <c r="R22" s="4"/>
      <c r="S22" s="5"/>
      <c r="U22" s="4"/>
      <c r="AA22" s="4"/>
      <c r="AJ22" s="4"/>
      <c r="AL22" s="45" t="s">
        <v>321</v>
      </c>
      <c r="AM22" s="46">
        <v>8.9700000000000006</v>
      </c>
      <c r="AR22" s="92" t="s">
        <v>385</v>
      </c>
      <c r="AS22" s="5">
        <f>AS20-AS21</f>
        <v>1286.8300000000008</v>
      </c>
      <c r="AV22" s="92" t="s">
        <v>391</v>
      </c>
      <c r="AW22" s="5">
        <f>AW20-AW21</f>
        <v>654.12999999999988</v>
      </c>
      <c r="AY22" s="96" t="s">
        <v>383</v>
      </c>
      <c r="AZ22" s="97">
        <f>AZ7-AZ21</f>
        <v>1262.8200000000002</v>
      </c>
      <c r="BB22" s="100" t="s">
        <v>386</v>
      </c>
      <c r="BC22" s="5">
        <v>200</v>
      </c>
      <c r="BE22" s="98" t="s">
        <v>385</v>
      </c>
      <c r="BF22" s="99">
        <f>BF20-BF21</f>
        <v>895.34999999999991</v>
      </c>
      <c r="BH22" s="98" t="s">
        <v>385</v>
      </c>
      <c r="BI22" s="99">
        <f>BI20-BI21</f>
        <v>576.75999999999976</v>
      </c>
      <c r="BK22" s="103" t="s">
        <v>384</v>
      </c>
      <c r="BL22" s="86"/>
      <c r="BN22" s="1" t="s">
        <v>384</v>
      </c>
      <c r="BO22" s="4"/>
      <c r="BQ22" s="98" t="s">
        <v>385</v>
      </c>
      <c r="BR22" s="99">
        <f>BR20-BR21</f>
        <v>-623.16000000000008</v>
      </c>
      <c r="BT22" s="98" t="s">
        <v>385</v>
      </c>
      <c r="BU22" s="99">
        <f>BU20-BU21</f>
        <v>-3920.66</v>
      </c>
      <c r="BW22" s="1" t="s">
        <v>427</v>
      </c>
      <c r="BX22" s="4">
        <v>750</v>
      </c>
      <c r="CA22" s="1" t="s">
        <v>437</v>
      </c>
      <c r="CB22" s="4">
        <v>150</v>
      </c>
      <c r="CI22" s="2" t="s">
        <v>373</v>
      </c>
      <c r="CJ22" s="4">
        <v>2099.17</v>
      </c>
      <c r="CM22" s="96" t="s">
        <v>383</v>
      </c>
      <c r="CN22" s="97">
        <f>CN7-CN21</f>
        <v>215.61999999999989</v>
      </c>
      <c r="CV22" s="96" t="s">
        <v>383</v>
      </c>
      <c r="CW22" s="97">
        <f>CW7-CW21</f>
        <v>1676.0999999999995</v>
      </c>
      <c r="CX22" s="5">
        <f>CW22-700-190-190</f>
        <v>596.09999999999945</v>
      </c>
      <c r="CY22" s="5"/>
      <c r="DA22" s="1" t="s">
        <v>491</v>
      </c>
      <c r="DB22" s="5">
        <f>DB20*0.8</f>
        <v>1707.76</v>
      </c>
      <c r="DF22" s="96" t="s">
        <v>383</v>
      </c>
      <c r="DG22" s="97">
        <f>DG7-DG21</f>
        <v>313.82999999999993</v>
      </c>
      <c r="DJ22" s="96" t="s">
        <v>383</v>
      </c>
      <c r="DK22" s="97">
        <f>DK7-DK21</f>
        <v>1911.71</v>
      </c>
      <c r="DL22" s="5">
        <f>DK22/3</f>
        <v>637.23666666666668</v>
      </c>
      <c r="DN22" s="96" t="s">
        <v>383</v>
      </c>
      <c r="DO22" s="97">
        <f>DO7-DO21</f>
        <v>1401.25</v>
      </c>
      <c r="DP22" s="5"/>
      <c r="DR22" s="96" t="s">
        <v>383</v>
      </c>
      <c r="DS22" s="97">
        <f>DS7-DS21</f>
        <v>1268.8899999999999</v>
      </c>
      <c r="DW22" s="2" t="s">
        <v>532</v>
      </c>
      <c r="DX22" s="4">
        <v>500</v>
      </c>
      <c r="EB22" s="1" t="s">
        <v>8</v>
      </c>
      <c r="EC22" s="110">
        <v>132.76</v>
      </c>
      <c r="ED22" s="105" t="s">
        <v>541</v>
      </c>
      <c r="EG22" s="96" t="s">
        <v>383</v>
      </c>
      <c r="EH22" s="97">
        <f>EH7-EH21</f>
        <v>244.18000000000029</v>
      </c>
      <c r="EO22" s="1" t="s">
        <v>739</v>
      </c>
      <c r="EW22" s="1" t="s">
        <v>440</v>
      </c>
      <c r="EX22" s="4">
        <v>250</v>
      </c>
      <c r="FE22" s="93" t="s">
        <v>44</v>
      </c>
      <c r="FF22" s="95">
        <f>SUM(FF13:FF21)</f>
        <v>290</v>
      </c>
      <c r="FJ22" s="93" t="s">
        <v>44</v>
      </c>
      <c r="FK22" s="95">
        <f>SUM(FK11:FK21)</f>
        <v>304</v>
      </c>
      <c r="FO22" s="129" t="s">
        <v>776</v>
      </c>
      <c r="FP22" s="110">
        <v>100</v>
      </c>
      <c r="GI22" s="96" t="s">
        <v>383</v>
      </c>
      <c r="GJ22" s="97">
        <f>GJ8-GJ21</f>
        <v>866.76000000000022</v>
      </c>
      <c r="GO22" s="1" t="s">
        <v>377</v>
      </c>
      <c r="GP22" s="1">
        <f>478.86/2</f>
        <v>239.43</v>
      </c>
      <c r="GQ22" s="5">
        <f>GP22+GM6</f>
        <v>40441.9</v>
      </c>
      <c r="GS22" s="1" t="s">
        <v>104</v>
      </c>
      <c r="GT22" s="4">
        <v>150</v>
      </c>
      <c r="GU22" s="1">
        <f>22.05+8.68+9.45</f>
        <v>40.18</v>
      </c>
      <c r="GW22" s="96" t="s">
        <v>383</v>
      </c>
      <c r="GX22" s="97">
        <f>GX8-GX21</f>
        <v>-681.59999999999991</v>
      </c>
      <c r="HN22" s="96" t="s">
        <v>383</v>
      </c>
      <c r="HO22" s="97">
        <f>HO10-HO21</f>
        <v>-1994.85</v>
      </c>
      <c r="HR22" s="1" t="s">
        <v>5</v>
      </c>
      <c r="HS22" s="4">
        <v>20.66</v>
      </c>
      <c r="HT22" s="1" t="s">
        <v>434</v>
      </c>
      <c r="HV22" s="93" t="s">
        <v>44</v>
      </c>
      <c r="HW22" s="95">
        <f>SUM(HW11:HW21)</f>
        <v>4768.2999999999993</v>
      </c>
      <c r="IA22" s="1" t="s">
        <v>104</v>
      </c>
      <c r="IB22" s="4">
        <v>200</v>
      </c>
      <c r="IQ22" s="1" t="s">
        <v>26</v>
      </c>
      <c r="IR22" s="4">
        <v>43.99</v>
      </c>
      <c r="IS22" s="1" t="s">
        <v>27</v>
      </c>
      <c r="IV22" s="4"/>
      <c r="IY22" s="4"/>
      <c r="JB22" s="106" t="s">
        <v>43</v>
      </c>
      <c r="JC22" s="107">
        <v>600</v>
      </c>
      <c r="JP22" s="1" t="s">
        <v>74</v>
      </c>
      <c r="JQ22" s="4">
        <v>262</v>
      </c>
      <c r="JS22" s="177" t="s">
        <v>899</v>
      </c>
      <c r="JT22" s="179">
        <v>100</v>
      </c>
      <c r="JV22" s="234" t="s">
        <v>944</v>
      </c>
      <c r="JW22" s="234"/>
      <c r="KA22" s="24" t="s">
        <v>373</v>
      </c>
      <c r="KB22" s="72">
        <v>3023.92</v>
      </c>
      <c r="KE22" s="234" t="s">
        <v>955</v>
      </c>
      <c r="KF22" s="234"/>
      <c r="KK22" s="24" t="s">
        <v>373</v>
      </c>
      <c r="KL22" s="72">
        <f>KL17+KM22</f>
        <v>1350.38</v>
      </c>
      <c r="KM22" s="229">
        <v>504</v>
      </c>
      <c r="KN22" s="24" t="s">
        <v>373</v>
      </c>
      <c r="KO22" s="72">
        <v>504</v>
      </c>
      <c r="KQ22" s="1" t="s">
        <v>1004</v>
      </c>
      <c r="KR22" s="4">
        <v>251.9</v>
      </c>
      <c r="KT22" s="141" t="s">
        <v>33</v>
      </c>
      <c r="KU22" s="102">
        <v>140</v>
      </c>
      <c r="KV22" s="141" t="s">
        <v>19</v>
      </c>
      <c r="KX22" s="1" t="s">
        <v>20</v>
      </c>
      <c r="KY22" s="4">
        <v>836.51</v>
      </c>
      <c r="KZ22" s="1" t="s">
        <v>21</v>
      </c>
    </row>
    <row r="23" spans="1:312" x14ac:dyDescent="0.25">
      <c r="A23" s="1" t="s">
        <v>55</v>
      </c>
      <c r="D23" s="9">
        <v>80</v>
      </c>
      <c r="H23" s="7" t="s">
        <v>44</v>
      </c>
      <c r="I23" s="5">
        <f>SUM(I10:I22)</f>
        <v>703.67</v>
      </c>
      <c r="J23" s="5"/>
      <c r="K23" s="7" t="s">
        <v>44</v>
      </c>
      <c r="L23" s="5">
        <f>SUM(L10:L22)</f>
        <v>18.23</v>
      </c>
      <c r="M23" s="5"/>
      <c r="N23" s="1" t="s">
        <v>44</v>
      </c>
      <c r="O23" s="4">
        <f>SUM(O10:O22)</f>
        <v>3171.77</v>
      </c>
      <c r="P23" s="5"/>
      <c r="Q23" s="7" t="s">
        <v>44</v>
      </c>
      <c r="R23" s="4">
        <f>SUM(R10:R22)</f>
        <v>1061.4649999999999</v>
      </c>
      <c r="S23" s="5"/>
      <c r="T23" s="7" t="s">
        <v>44</v>
      </c>
      <c r="U23" s="4">
        <f>SUM(U10:U22)</f>
        <v>1971.25</v>
      </c>
      <c r="W23" s="7" t="s">
        <v>44</v>
      </c>
      <c r="X23" s="4">
        <f>SUM(X10:X22)</f>
        <v>228.23999999999998</v>
      </c>
      <c r="Z23" s="7" t="s">
        <v>44</v>
      </c>
      <c r="AA23" s="4">
        <f>SUM(AA10:AA22)</f>
        <v>669.06</v>
      </c>
      <c r="AC23" s="7" t="s">
        <v>44</v>
      </c>
      <c r="AD23" s="4">
        <f>SUM(AD10:AD22)</f>
        <v>1447.02</v>
      </c>
      <c r="AF23" s="7" t="s">
        <v>44</v>
      </c>
      <c r="AG23" s="4">
        <f>SUM(AG10:AG22)</f>
        <v>571.7700000000001</v>
      </c>
      <c r="AI23" s="7" t="s">
        <v>44</v>
      </c>
      <c r="AJ23" s="4">
        <f>SUM(AJ10:AJ22)-AJ16</f>
        <v>824.06</v>
      </c>
      <c r="AL23" s="45" t="s">
        <v>320</v>
      </c>
      <c r="AM23" s="46">
        <v>21.23</v>
      </c>
      <c r="AO23" s="7" t="s">
        <v>44</v>
      </c>
      <c r="AP23" s="4">
        <f>SUM(AP10:AP22)</f>
        <v>245</v>
      </c>
      <c r="AR23" s="1" t="s">
        <v>386</v>
      </c>
      <c r="AS23" s="4">
        <v>800</v>
      </c>
      <c r="AV23" s="1" t="s">
        <v>387</v>
      </c>
      <c r="AW23" s="1">
        <v>250</v>
      </c>
      <c r="AY23" s="1" t="s">
        <v>384</v>
      </c>
      <c r="AZ23" s="4">
        <v>200</v>
      </c>
      <c r="BB23" s="98" t="s">
        <v>391</v>
      </c>
      <c r="BC23" s="5">
        <f>BC21-BC22</f>
        <v>603.48</v>
      </c>
      <c r="BE23" s="100" t="s">
        <v>386</v>
      </c>
      <c r="BF23" s="5">
        <v>250</v>
      </c>
      <c r="BH23" s="100" t="s">
        <v>386</v>
      </c>
      <c r="BI23" s="5">
        <v>200</v>
      </c>
      <c r="BK23" s="98" t="s">
        <v>385</v>
      </c>
      <c r="BL23" s="99">
        <f>BL21-BL22</f>
        <v>-150</v>
      </c>
      <c r="BN23" s="98" t="s">
        <v>385</v>
      </c>
      <c r="BO23" s="99">
        <f>BO21-BO22</f>
        <v>-845.45</v>
      </c>
      <c r="BQ23" s="103" t="s">
        <v>386</v>
      </c>
      <c r="BR23" s="86">
        <v>200</v>
      </c>
      <c r="BT23" s="103" t="s">
        <v>386</v>
      </c>
      <c r="BU23" s="86">
        <v>400</v>
      </c>
      <c r="BW23" s="26" t="s">
        <v>29</v>
      </c>
      <c r="BX23" s="27">
        <v>82</v>
      </c>
      <c r="BY23" s="1" t="s">
        <v>93</v>
      </c>
      <c r="CA23" s="1" t="s">
        <v>438</v>
      </c>
      <c r="CB23" s="4">
        <v>50</v>
      </c>
      <c r="CE23" s="7" t="s">
        <v>445</v>
      </c>
      <c r="CI23" s="7" t="s">
        <v>453</v>
      </c>
      <c r="CV23" s="6" t="s">
        <v>97</v>
      </c>
      <c r="CW23" s="5"/>
      <c r="DA23" s="1" t="s">
        <v>492</v>
      </c>
      <c r="DB23" s="5">
        <f>DB20-DB22</f>
        <v>426.93999999999983</v>
      </c>
      <c r="DG23" s="5">
        <f>DG22/3</f>
        <v>104.60999999999997</v>
      </c>
      <c r="DR23" s="96"/>
      <c r="DS23" s="121" t="s">
        <v>520</v>
      </c>
      <c r="DT23" s="4">
        <v>950</v>
      </c>
      <c r="DU23" s="5">
        <f>DS22-DT23</f>
        <v>318.88999999999987</v>
      </c>
      <c r="DW23" s="2" t="s">
        <v>473</v>
      </c>
      <c r="DX23" s="4">
        <v>5205</v>
      </c>
      <c r="EB23" s="1" t="s">
        <v>26</v>
      </c>
      <c r="EC23" s="110">
        <v>43.99</v>
      </c>
      <c r="ED23" s="1" t="s">
        <v>27</v>
      </c>
      <c r="EG23" s="111" t="s">
        <v>518</v>
      </c>
      <c r="EH23" s="119">
        <f>EH22*EI23</f>
        <v>146.50800000000018</v>
      </c>
      <c r="EI23" s="120">
        <v>0.6</v>
      </c>
      <c r="EU23" s="5"/>
      <c r="EW23" s="93" t="s">
        <v>44</v>
      </c>
      <c r="EX23" s="95">
        <f>SUM(EX11:EX22)</f>
        <v>2279.9499999999998</v>
      </c>
      <c r="FE23" s="96" t="s">
        <v>383</v>
      </c>
      <c r="FF23" s="97">
        <f>FF8-FF22</f>
        <v>1488.62</v>
      </c>
      <c r="FJ23" s="96" t="s">
        <v>383</v>
      </c>
      <c r="FK23" s="97">
        <f>FK8-FK22</f>
        <v>240.80999999999995</v>
      </c>
      <c r="FO23" s="93" t="s">
        <v>44</v>
      </c>
      <c r="FP23" s="95">
        <f>SUM(FP11:FP22)</f>
        <v>2165.29</v>
      </c>
      <c r="GF23" s="2" t="s">
        <v>815</v>
      </c>
      <c r="GG23" s="189"/>
      <c r="GI23" s="191" t="s">
        <v>383</v>
      </c>
      <c r="GJ23" s="192">
        <f>GJ22-340</f>
        <v>526.76000000000022</v>
      </c>
      <c r="GM23" s="4"/>
      <c r="GO23" s="1" t="s">
        <v>145</v>
      </c>
      <c r="GP23" s="1">
        <v>239.43</v>
      </c>
      <c r="GQ23" s="5">
        <f>GP23+GM5</f>
        <v>3944.93</v>
      </c>
      <c r="GS23" s="93" t="s">
        <v>44</v>
      </c>
      <c r="GT23" s="95">
        <f>SUM(GT11:GT22)</f>
        <v>2325.98</v>
      </c>
      <c r="HR23" s="1" t="s">
        <v>478</v>
      </c>
      <c r="HS23" s="4">
        <v>200</v>
      </c>
      <c r="HV23" s="96" t="s">
        <v>383</v>
      </c>
      <c r="HW23" s="97">
        <f>HW8-HW22</f>
        <v>-3091.9599999999991</v>
      </c>
      <c r="HX23" s="5"/>
      <c r="IA23" s="1" t="s">
        <v>851</v>
      </c>
      <c r="IB23" s="4">
        <v>300</v>
      </c>
      <c r="IF23" s="4"/>
      <c r="IJ23" s="4"/>
      <c r="IM23" s="4"/>
      <c r="IR23" s="4"/>
      <c r="IU23" s="93" t="s">
        <v>44</v>
      </c>
      <c r="IV23" s="95">
        <f>SUM(IV11:IV22)</f>
        <v>1815.53</v>
      </c>
      <c r="IX23" s="93" t="s">
        <v>44</v>
      </c>
      <c r="IY23" s="95">
        <f>SUM(IY11:IY22)</f>
        <v>810.16000000000008</v>
      </c>
      <c r="JB23" s="93" t="s">
        <v>44</v>
      </c>
      <c r="JC23" s="95">
        <f>SUM(JC11:JC22)</f>
        <v>2415.1400000000003</v>
      </c>
      <c r="JE23" s="93" t="s">
        <v>44</v>
      </c>
      <c r="JF23" s="95">
        <f>SUM(JF11:JF22)</f>
        <v>2643.2199999999993</v>
      </c>
      <c r="JI23" s="93" t="s">
        <v>44</v>
      </c>
      <c r="JJ23" s="95">
        <f>SUM(JJ11:JJ22)</f>
        <v>1447.78</v>
      </c>
      <c r="JP23" s="1" t="s">
        <v>33</v>
      </c>
      <c r="JQ23" s="4">
        <v>150</v>
      </c>
      <c r="JS23" s="1" t="s">
        <v>901</v>
      </c>
      <c r="JT23" s="4">
        <v>29</v>
      </c>
      <c r="JU23" s="1" t="s">
        <v>902</v>
      </c>
      <c r="JV23" s="1" t="s">
        <v>372</v>
      </c>
      <c r="JW23" s="4">
        <v>110</v>
      </c>
      <c r="KA23" s="234" t="s">
        <v>946</v>
      </c>
      <c r="KB23" s="234"/>
      <c r="KE23" s="24" t="s">
        <v>373</v>
      </c>
      <c r="KF23" s="72"/>
      <c r="KN23" s="234" t="s">
        <v>994</v>
      </c>
      <c r="KO23" s="234"/>
      <c r="KQ23" s="1" t="s">
        <v>104</v>
      </c>
      <c r="KR23" s="4">
        <v>100</v>
      </c>
      <c r="KT23" s="141" t="s">
        <v>38</v>
      </c>
      <c r="KU23" s="102">
        <v>52</v>
      </c>
      <c r="KV23" s="141" t="s">
        <v>19</v>
      </c>
      <c r="KY23" s="4"/>
    </row>
    <row r="24" spans="1:312" x14ac:dyDescent="0.25">
      <c r="A24" s="1" t="s">
        <v>56</v>
      </c>
      <c r="D24" s="9">
        <v>60</v>
      </c>
      <c r="H24" s="1" t="s">
        <v>89</v>
      </c>
      <c r="K24" s="1" t="s">
        <v>89</v>
      </c>
      <c r="N24" s="1" t="s">
        <v>89</v>
      </c>
      <c r="O24" s="4">
        <v>0</v>
      </c>
      <c r="Q24" s="1" t="s">
        <v>89</v>
      </c>
      <c r="R24" s="4">
        <v>540.41</v>
      </c>
      <c r="T24" s="1" t="s">
        <v>89</v>
      </c>
      <c r="U24" s="4"/>
      <c r="W24" s="1" t="s">
        <v>89</v>
      </c>
      <c r="X24" s="4">
        <f>(X5-X23)*0.5</f>
        <v>270.71249999999975</v>
      </c>
      <c r="Z24" s="1" t="s">
        <v>89</v>
      </c>
      <c r="AA24" s="4">
        <v>1000</v>
      </c>
      <c r="AC24" s="1" t="s">
        <v>89</v>
      </c>
      <c r="AD24" s="4"/>
      <c r="AF24" s="1" t="s">
        <v>89</v>
      </c>
      <c r="AG24" s="4"/>
      <c r="AI24" s="1" t="s">
        <v>89</v>
      </c>
      <c r="AJ24" s="4"/>
      <c r="AL24" s="45" t="s">
        <v>318</v>
      </c>
      <c r="AM24" s="46">
        <v>25</v>
      </c>
      <c r="AO24" s="39" t="s">
        <v>89</v>
      </c>
      <c r="AP24" s="40">
        <v>205</v>
      </c>
      <c r="AR24" s="92" t="s">
        <v>385</v>
      </c>
      <c r="AS24" s="4">
        <f>AS22-AS23</f>
        <v>486.83000000000084</v>
      </c>
      <c r="AV24" s="92" t="s">
        <v>388</v>
      </c>
      <c r="AW24" s="5">
        <f>AW22-AW23</f>
        <v>404.12999999999988</v>
      </c>
      <c r="AY24" s="98" t="s">
        <v>385</v>
      </c>
      <c r="AZ24" s="99">
        <f>AZ22-AZ23</f>
        <v>1062.8200000000002</v>
      </c>
      <c r="BB24" s="1" t="s">
        <v>387</v>
      </c>
      <c r="BC24" s="4">
        <v>400</v>
      </c>
      <c r="BE24" s="98" t="s">
        <v>391</v>
      </c>
      <c r="BF24" s="5">
        <f>BF22-BF23</f>
        <v>645.34999999999991</v>
      </c>
      <c r="BH24" s="98" t="s">
        <v>391</v>
      </c>
      <c r="BI24" s="5">
        <f>BI22-BI23</f>
        <v>376.75999999999976</v>
      </c>
      <c r="BK24" s="103" t="s">
        <v>386</v>
      </c>
      <c r="BL24" s="86"/>
      <c r="BN24" s="100" t="s">
        <v>386</v>
      </c>
      <c r="BO24" s="5"/>
      <c r="BQ24" s="98" t="s">
        <v>391</v>
      </c>
      <c r="BR24" s="5">
        <f>BR22-BR23</f>
        <v>-823.16000000000008</v>
      </c>
      <c r="BT24" s="98" t="s">
        <v>391</v>
      </c>
      <c r="BU24" s="5">
        <f>BU22-BU23</f>
        <v>-4320.66</v>
      </c>
      <c r="BW24" s="1" t="s">
        <v>34</v>
      </c>
      <c r="BX24" s="9">
        <v>69</v>
      </c>
      <c r="BY24" s="1" t="s">
        <v>30</v>
      </c>
      <c r="CA24" s="1" t="s">
        <v>439</v>
      </c>
      <c r="CB24" s="4">
        <v>300</v>
      </c>
      <c r="CC24" s="5"/>
      <c r="CE24" s="26" t="s">
        <v>29</v>
      </c>
      <c r="CF24" s="107">
        <v>82</v>
      </c>
      <c r="CG24" s="1" t="s">
        <v>93</v>
      </c>
      <c r="CI24" s="1" t="s">
        <v>7</v>
      </c>
      <c r="CJ24" s="110">
        <v>147.43</v>
      </c>
      <c r="CK24" s="6" t="s">
        <v>457</v>
      </c>
      <c r="CV24" s="1" t="s">
        <v>487</v>
      </c>
      <c r="CW24" s="1">
        <v>763.07</v>
      </c>
      <c r="DB24" s="5">
        <v>134</v>
      </c>
      <c r="DK24" s="5"/>
      <c r="DO24" s="5" t="s">
        <v>510</v>
      </c>
      <c r="DP24" s="5" t="s">
        <v>511</v>
      </c>
      <c r="DQ24" s="5"/>
      <c r="DR24" s="111" t="s">
        <v>518</v>
      </c>
      <c r="DS24" s="119">
        <f>DT23*DT24</f>
        <v>665</v>
      </c>
      <c r="DT24" s="120">
        <v>0.7</v>
      </c>
      <c r="DW24" s="2" t="s">
        <v>376</v>
      </c>
      <c r="DX24" s="4">
        <v>3505.51</v>
      </c>
      <c r="EB24" s="1" t="s">
        <v>20</v>
      </c>
      <c r="EC24" s="110">
        <v>838.31</v>
      </c>
      <c r="ED24" s="1" t="s">
        <v>21</v>
      </c>
      <c r="EG24" s="111" t="s">
        <v>145</v>
      </c>
      <c r="EH24" s="119">
        <f>EH22*EI24</f>
        <v>48.836000000000062</v>
      </c>
      <c r="EI24" s="120">
        <v>0.2</v>
      </c>
      <c r="EU24" s="5"/>
      <c r="EW24" s="96" t="s">
        <v>383</v>
      </c>
      <c r="EX24" s="97">
        <f>EX8-EX23</f>
        <v>563.60000000000036</v>
      </c>
      <c r="EY24" s="5"/>
      <c r="FO24" s="96" t="s">
        <v>383</v>
      </c>
      <c r="FP24" s="97">
        <f>FP8-FP23</f>
        <v>269.88000000000011</v>
      </c>
      <c r="GF24" s="1" t="s">
        <v>816</v>
      </c>
      <c r="GJ24" s="5"/>
      <c r="GM24" s="4"/>
      <c r="GS24" s="96" t="s">
        <v>383</v>
      </c>
      <c r="GT24" s="97">
        <f>GT8-GT23</f>
        <v>860.86999999999989</v>
      </c>
      <c r="HR24" s="93" t="s">
        <v>44</v>
      </c>
      <c r="HS24" s="95">
        <f>SUM(HS12:HS23)</f>
        <v>2008.7100000000003</v>
      </c>
      <c r="IA24" s="93" t="s">
        <v>44</v>
      </c>
      <c r="IB24" s="95">
        <f>SUM(IB11:IB23)</f>
        <v>2632.2</v>
      </c>
      <c r="IE24" s="93" t="s">
        <v>44</v>
      </c>
      <c r="IF24" s="95">
        <f>SUM(IF11:IF23)</f>
        <v>1625.25</v>
      </c>
      <c r="II24" s="93" t="s">
        <v>44</v>
      </c>
      <c r="IJ24" s="95">
        <f>SUM(IJ11:IJ23)</f>
        <v>539.1400000000001</v>
      </c>
      <c r="IL24" s="93" t="s">
        <v>44</v>
      </c>
      <c r="IM24" s="95">
        <f>SUM(IM11:IM23)</f>
        <v>4968.2999999999993</v>
      </c>
      <c r="IQ24" s="93" t="s">
        <v>44</v>
      </c>
      <c r="IR24" s="95">
        <f>SUM(IR11:IR23)</f>
        <v>2532.1999999999998</v>
      </c>
      <c r="IU24" s="96" t="s">
        <v>383</v>
      </c>
      <c r="IV24" s="97">
        <f>IV8-IV23</f>
        <v>833.95999999999981</v>
      </c>
      <c r="IX24" s="96" t="s">
        <v>383</v>
      </c>
      <c r="IY24" s="97">
        <f>IY8-IY23</f>
        <v>1853.6499999999999</v>
      </c>
      <c r="IZ24" s="5">
        <f>IY24-IY25</f>
        <v>853.64999999999986</v>
      </c>
      <c r="JB24" s="96" t="s">
        <v>383</v>
      </c>
      <c r="JC24" s="97">
        <f>JC8-JC23</f>
        <v>405.66999999999962</v>
      </c>
      <c r="JE24" s="96" t="s">
        <v>383</v>
      </c>
      <c r="JF24" s="97">
        <f>JF8-JF23</f>
        <v>472.95000000000073</v>
      </c>
      <c r="JG24" s="5"/>
      <c r="JI24" s="96" t="s">
        <v>383</v>
      </c>
      <c r="JJ24" s="97">
        <f>JJ8-JJ23</f>
        <v>1482.74</v>
      </c>
      <c r="JK24" s="5"/>
      <c r="JL24" s="5"/>
      <c r="JP24" s="1" t="s">
        <v>38</v>
      </c>
      <c r="JQ24" s="4">
        <v>100</v>
      </c>
      <c r="JT24" s="4"/>
      <c r="JV24" s="1" t="s">
        <v>833</v>
      </c>
      <c r="JW24" s="4">
        <v>30</v>
      </c>
      <c r="KA24" s="1" t="s">
        <v>372</v>
      </c>
      <c r="KB24" s="4">
        <v>110</v>
      </c>
      <c r="KE24" s="237" t="s">
        <v>1</v>
      </c>
      <c r="KF24" s="237"/>
      <c r="KN24" s="1" t="s">
        <v>74</v>
      </c>
      <c r="KO24" s="4">
        <v>262</v>
      </c>
      <c r="KQ24" s="93" t="s">
        <v>44</v>
      </c>
      <c r="KR24" s="95">
        <f>SUM(KR20:KR23)</f>
        <v>622.78</v>
      </c>
      <c r="KT24" s="141" t="s">
        <v>43</v>
      </c>
      <c r="KU24" s="102">
        <v>530</v>
      </c>
      <c r="KV24" s="141" t="s">
        <v>19</v>
      </c>
      <c r="KX24" s="1" t="s">
        <v>35</v>
      </c>
      <c r="KY24" s="4">
        <v>229</v>
      </c>
      <c r="KZ24" s="1" t="s">
        <v>73</v>
      </c>
    </row>
    <row r="25" spans="1:312" x14ac:dyDescent="0.25">
      <c r="H25" s="31" t="s">
        <v>61</v>
      </c>
      <c r="I25" s="32">
        <f>(I4+I5)-I23</f>
        <v>26.419999999999732</v>
      </c>
      <c r="J25" s="17"/>
      <c r="K25" s="31" t="s">
        <v>61</v>
      </c>
      <c r="L25" s="32">
        <f>(L4+L5)-L23</f>
        <v>8.1899999999997313</v>
      </c>
      <c r="M25" s="17"/>
      <c r="N25" s="31" t="s">
        <v>61</v>
      </c>
      <c r="O25" s="33">
        <f>(O5-O23)+2400</f>
        <v>1542.5799999999995</v>
      </c>
      <c r="P25" s="17"/>
      <c r="Q25" s="31" t="s">
        <v>61</v>
      </c>
      <c r="R25" s="33">
        <f>R5-R23-R24</f>
        <v>444.70499999999959</v>
      </c>
      <c r="S25" s="17"/>
      <c r="T25" s="31" t="s">
        <v>61</v>
      </c>
      <c r="U25" s="33">
        <f>U5-U23-U24</f>
        <v>265.66499999999951</v>
      </c>
      <c r="W25" s="31" t="s">
        <v>61</v>
      </c>
      <c r="X25" s="33">
        <f>X5-X23-X24</f>
        <v>270.71249999999975</v>
      </c>
      <c r="Z25" s="31" t="s">
        <v>61</v>
      </c>
      <c r="AA25" s="33">
        <f>AA5-AA23-AA24</f>
        <v>907.80249999999978</v>
      </c>
      <c r="AC25" s="31" t="s">
        <v>61</v>
      </c>
      <c r="AD25" s="33">
        <f>AD5-AD23-AD24</f>
        <v>364.7824999999998</v>
      </c>
      <c r="AF25" s="31" t="s">
        <v>61</v>
      </c>
      <c r="AG25" s="33">
        <f>AG5-AG23-AG24</f>
        <v>297.0124999999997</v>
      </c>
      <c r="AI25" s="31" t="s">
        <v>61</v>
      </c>
      <c r="AJ25" s="33">
        <f>AJ5-AJ23-AJ24</f>
        <v>1811.5425</v>
      </c>
      <c r="AL25" s="45" t="s">
        <v>270</v>
      </c>
      <c r="AM25" s="46">
        <v>87.5</v>
      </c>
      <c r="AO25" s="39" t="s">
        <v>126</v>
      </c>
      <c r="AP25" s="40">
        <v>0</v>
      </c>
      <c r="AR25" s="1" t="s">
        <v>387</v>
      </c>
      <c r="AS25" s="4">
        <v>300</v>
      </c>
      <c r="AY25" s="100" t="s">
        <v>386</v>
      </c>
      <c r="AZ25" s="5">
        <v>200</v>
      </c>
      <c r="BB25" s="98" t="s">
        <v>388</v>
      </c>
      <c r="BC25" s="5">
        <f>BC23-BC24</f>
        <v>203.48000000000002</v>
      </c>
      <c r="BE25" s="1" t="s">
        <v>387</v>
      </c>
      <c r="BF25" s="4">
        <v>150</v>
      </c>
      <c r="BH25" s="1" t="s">
        <v>387</v>
      </c>
      <c r="BI25" s="4">
        <v>500</v>
      </c>
      <c r="BK25" s="98" t="s">
        <v>391</v>
      </c>
      <c r="BL25" s="5">
        <f>BL23-BL24</f>
        <v>-150</v>
      </c>
      <c r="BN25" s="98" t="s">
        <v>391</v>
      </c>
      <c r="BO25" s="5">
        <f>BO23-BO24</f>
        <v>-845.45</v>
      </c>
      <c r="BQ25" s="103" t="s">
        <v>387</v>
      </c>
      <c r="BR25" s="86">
        <v>100</v>
      </c>
      <c r="BT25" s="103" t="s">
        <v>387</v>
      </c>
      <c r="BU25" s="86">
        <v>100</v>
      </c>
      <c r="BW25" s="1" t="s">
        <v>428</v>
      </c>
      <c r="BX25" s="9">
        <v>250</v>
      </c>
      <c r="CA25" s="1" t="s">
        <v>440</v>
      </c>
      <c r="CB25" s="1">
        <v>500</v>
      </c>
      <c r="CE25" s="1" t="s">
        <v>34</v>
      </c>
      <c r="CF25" s="107">
        <v>69</v>
      </c>
      <c r="CG25" s="1" t="s">
        <v>30</v>
      </c>
      <c r="CI25" s="1" t="s">
        <v>8</v>
      </c>
      <c r="CJ25" s="110">
        <v>120.54</v>
      </c>
      <c r="CK25" s="6" t="s">
        <v>457</v>
      </c>
      <c r="DK25" s="5"/>
      <c r="DL25" s="5"/>
      <c r="DM25" s="5"/>
      <c r="DN25" s="1" t="s">
        <v>504</v>
      </c>
      <c r="DO25" s="4">
        <v>110</v>
      </c>
      <c r="DP25" s="4">
        <f>70.37+23.74+4.12</f>
        <v>98.23</v>
      </c>
      <c r="DQ25" s="5"/>
      <c r="DR25" s="111" t="s">
        <v>145</v>
      </c>
      <c r="DS25" s="119">
        <f>DT23*DT25</f>
        <v>171</v>
      </c>
      <c r="DT25" s="120">
        <v>0.18</v>
      </c>
      <c r="DW25" s="2" t="s">
        <v>474</v>
      </c>
      <c r="DX25" s="4">
        <v>38399.01</v>
      </c>
      <c r="EC25" s="4"/>
      <c r="EG25" s="111" t="s">
        <v>519</v>
      </c>
      <c r="EH25" s="119">
        <f>EH22*EI25</f>
        <v>48.836000000000062</v>
      </c>
      <c r="EI25" s="120">
        <v>0.2</v>
      </c>
      <c r="EU25" s="5"/>
      <c r="EW25" s="235"/>
      <c r="EX25" s="235"/>
      <c r="FR25" s="93" t="s">
        <v>44</v>
      </c>
      <c r="FS25" s="95">
        <f>SUM(FS11:FS24)</f>
        <v>1641.6</v>
      </c>
      <c r="GL25" s="7"/>
      <c r="GM25" s="3"/>
      <c r="HR25" s="96" t="s">
        <v>383</v>
      </c>
      <c r="HS25" s="97">
        <f>HS8-HS24</f>
        <v>1132.2299999999998</v>
      </c>
      <c r="HT25" s="5">
        <v>377</v>
      </c>
      <c r="HU25" s="4"/>
      <c r="IA25" s="96" t="s">
        <v>383</v>
      </c>
      <c r="IB25" s="97">
        <f>IB8-IB24</f>
        <v>952.29</v>
      </c>
      <c r="IE25" s="96" t="s">
        <v>383</v>
      </c>
      <c r="IF25" s="97">
        <f>IF8-IF24</f>
        <v>711.21</v>
      </c>
      <c r="II25" s="96" t="s">
        <v>383</v>
      </c>
      <c r="IJ25" s="97">
        <f>IJ8-IJ24</f>
        <v>2610.0100000000002</v>
      </c>
      <c r="IL25" s="96" t="s">
        <v>383</v>
      </c>
      <c r="IM25" s="97">
        <f>IM8-IM24</f>
        <v>-4968.2999999999993</v>
      </c>
      <c r="IQ25" s="96" t="s">
        <v>383</v>
      </c>
      <c r="IR25" s="97">
        <f>IR8-IR24</f>
        <v>-2532.1999999999998</v>
      </c>
      <c r="IX25" s="1" t="s">
        <v>422</v>
      </c>
      <c r="IY25" s="1">
        <v>1000</v>
      </c>
      <c r="JC25" s="4"/>
      <c r="JG25" s="5"/>
      <c r="JP25" s="1" t="s">
        <v>43</v>
      </c>
      <c r="JQ25" s="4">
        <v>600</v>
      </c>
      <c r="JT25" s="4"/>
      <c r="JV25" s="1" t="s">
        <v>104</v>
      </c>
      <c r="JW25" s="4">
        <v>100</v>
      </c>
      <c r="KA25" s="1" t="s">
        <v>833</v>
      </c>
      <c r="KB25" s="4">
        <v>30</v>
      </c>
      <c r="KE25" s="1" t="s">
        <v>811</v>
      </c>
      <c r="KF25" s="1">
        <v>194.61</v>
      </c>
      <c r="KG25" s="105" t="s">
        <v>956</v>
      </c>
      <c r="KK25" s="234" t="s">
        <v>987</v>
      </c>
      <c r="KL25" s="234"/>
      <c r="KN25" s="1" t="s">
        <v>33</v>
      </c>
      <c r="KO25" s="4">
        <v>145</v>
      </c>
      <c r="KQ25" s="96" t="s">
        <v>383</v>
      </c>
      <c r="KR25" s="97">
        <f>KR18-KR24</f>
        <v>28.220000000000027</v>
      </c>
      <c r="KU25" s="4"/>
      <c r="KW25" s="4"/>
      <c r="KX25" s="1" t="s">
        <v>797</v>
      </c>
      <c r="KY25" s="4">
        <v>298</v>
      </c>
      <c r="KZ25" s="1" t="s">
        <v>73</v>
      </c>
    </row>
    <row r="26" spans="1:312" ht="15.75" thickBot="1" x14ac:dyDescent="0.3">
      <c r="A26" s="6" t="s">
        <v>22</v>
      </c>
      <c r="L26" s="5"/>
      <c r="Q26" s="1" t="s">
        <v>124</v>
      </c>
      <c r="R26" s="5">
        <f>R25*0</f>
        <v>0</v>
      </c>
      <c r="T26" s="1" t="s">
        <v>124</v>
      </c>
      <c r="U26" s="5"/>
      <c r="W26" s="1" t="s">
        <v>124</v>
      </c>
      <c r="X26" s="5"/>
      <c r="Z26" s="1" t="s">
        <v>124</v>
      </c>
      <c r="AA26" s="5"/>
      <c r="AC26" s="1" t="s">
        <v>124</v>
      </c>
      <c r="AD26" s="5"/>
      <c r="AF26" s="1" t="s">
        <v>124</v>
      </c>
      <c r="AG26" s="5"/>
      <c r="AI26" s="1" t="s">
        <v>124</v>
      </c>
      <c r="AJ26" s="5"/>
      <c r="AL26" s="45" t="s">
        <v>270</v>
      </c>
      <c r="AM26" s="46">
        <v>122.5</v>
      </c>
      <c r="AO26" s="31" t="s">
        <v>61</v>
      </c>
      <c r="AP26" s="33">
        <f>AP5-AP23-AP24</f>
        <v>142.26999999999998</v>
      </c>
      <c r="AR26" s="92" t="s">
        <v>388</v>
      </c>
      <c r="AS26" s="5">
        <f>AS24-AS25</f>
        <v>186.83000000000084</v>
      </c>
      <c r="AY26" s="98" t="s">
        <v>391</v>
      </c>
      <c r="AZ26" s="5">
        <f>AZ24-AZ25</f>
        <v>862.82000000000016</v>
      </c>
      <c r="BE26" s="98" t="s">
        <v>388</v>
      </c>
      <c r="BF26" s="5">
        <f>BF24-BF25</f>
        <v>495.34999999999991</v>
      </c>
      <c r="BH26" s="98" t="s">
        <v>388</v>
      </c>
      <c r="BI26" s="5">
        <f>BI24-BI25</f>
        <v>-123.24000000000024</v>
      </c>
      <c r="BK26" s="103" t="s">
        <v>387</v>
      </c>
      <c r="BL26" s="86"/>
      <c r="BN26" s="1" t="s">
        <v>387</v>
      </c>
      <c r="BO26" s="4"/>
      <c r="BQ26" s="98" t="s">
        <v>388</v>
      </c>
      <c r="BR26" s="5">
        <f>BR24-BR25</f>
        <v>-923.16000000000008</v>
      </c>
      <c r="BT26" s="98" t="s">
        <v>388</v>
      </c>
      <c r="BU26" s="5">
        <f>BU24-BU25</f>
        <v>-4420.66</v>
      </c>
      <c r="BW26" s="93" t="s">
        <v>44</v>
      </c>
      <c r="BX26" s="95">
        <f>SUM(BX10:BX25)</f>
        <v>3749.81</v>
      </c>
      <c r="CA26" s="93" t="s">
        <v>44</v>
      </c>
      <c r="CB26" s="95">
        <f>SUM(CB9:CB25)</f>
        <v>4199.07</v>
      </c>
      <c r="CE26" s="1" t="s">
        <v>446</v>
      </c>
      <c r="CF26" s="4">
        <v>150</v>
      </c>
      <c r="CI26" s="1" t="s">
        <v>35</v>
      </c>
      <c r="CJ26" s="110">
        <v>250</v>
      </c>
      <c r="CK26" s="1" t="s">
        <v>73</v>
      </c>
      <c r="DN26" s="1" t="s">
        <v>505</v>
      </c>
      <c r="DO26" s="4">
        <v>50</v>
      </c>
      <c r="DP26" s="4">
        <f>DO26-40.1</f>
        <v>9.8999999999999986</v>
      </c>
      <c r="DR26" s="111" t="s">
        <v>519</v>
      </c>
      <c r="DS26" s="119">
        <f>DT23*DT26</f>
        <v>114</v>
      </c>
      <c r="DT26" s="120">
        <v>0.12</v>
      </c>
      <c r="DW26" s="2"/>
      <c r="DX26" s="4"/>
      <c r="EB26" s="1" t="s">
        <v>440</v>
      </c>
      <c r="EC26" s="4">
        <v>125</v>
      </c>
      <c r="EI26" s="118">
        <f>EI23+EI24+EI25</f>
        <v>1</v>
      </c>
      <c r="EU26" s="5"/>
      <c r="EX26" s="4"/>
      <c r="FJ26" s="2" t="s">
        <v>777</v>
      </c>
      <c r="FO26" s="6" t="s">
        <v>790</v>
      </c>
      <c r="FR26" s="96" t="s">
        <v>383</v>
      </c>
      <c r="FS26" s="97">
        <f>FS8-FS25</f>
        <v>37.5300000000002</v>
      </c>
      <c r="FT26" s="5"/>
      <c r="GL26" s="111"/>
      <c r="GM26" s="119"/>
      <c r="HS26" s="4"/>
      <c r="HT26" s="5"/>
      <c r="IV26" s="5">
        <v>263</v>
      </c>
      <c r="IX26" s="1" t="s">
        <v>870</v>
      </c>
      <c r="IY26" s="5">
        <f>IZ24/2</f>
        <v>426.82499999999993</v>
      </c>
      <c r="JC26" s="4"/>
      <c r="JI26" s="7" t="s">
        <v>892</v>
      </c>
      <c r="JJ26" s="5">
        <v>741</v>
      </c>
      <c r="JK26" s="5">
        <v>900</v>
      </c>
      <c r="JL26" s="5">
        <f>JK26+JJ4</f>
        <v>2061</v>
      </c>
      <c r="JS26" s="93" t="s">
        <v>44</v>
      </c>
      <c r="JT26" s="95">
        <f>SUM(JT12:JT24)</f>
        <v>1770.42</v>
      </c>
      <c r="JV26" s="141" t="s">
        <v>35</v>
      </c>
      <c r="JW26" s="102">
        <v>229</v>
      </c>
      <c r="JX26" s="1" t="s">
        <v>73</v>
      </c>
      <c r="KA26" s="1" t="s">
        <v>104</v>
      </c>
      <c r="KB26" s="4">
        <v>150</v>
      </c>
      <c r="KE26" s="1" t="s">
        <v>903</v>
      </c>
      <c r="KF26" s="1">
        <v>155.5</v>
      </c>
      <c r="KG26" s="105" t="s">
        <v>957</v>
      </c>
      <c r="KK26" s="1" t="s">
        <v>877</v>
      </c>
      <c r="KL26" s="1">
        <v>269.02999999999997</v>
      </c>
      <c r="KM26" s="1" t="s">
        <v>817</v>
      </c>
      <c r="KN26" s="1" t="s">
        <v>38</v>
      </c>
      <c r="KO26" s="4">
        <v>53</v>
      </c>
      <c r="KT26" s="6" t="s">
        <v>1008</v>
      </c>
      <c r="KX26" s="1" t="s">
        <v>1016</v>
      </c>
      <c r="KY26" s="4">
        <v>100</v>
      </c>
    </row>
    <row r="27" spans="1:312" x14ac:dyDescent="0.25">
      <c r="A27" s="1" t="s">
        <v>28</v>
      </c>
      <c r="B27" s="1" t="s">
        <v>14</v>
      </c>
      <c r="C27" s="9">
        <v>20</v>
      </c>
      <c r="D27" s="9">
        <f>C27</f>
        <v>20</v>
      </c>
      <c r="E27" s="1">
        <v>18.989999999999998</v>
      </c>
      <c r="H27" s="2" t="s">
        <v>97</v>
      </c>
      <c r="K27" s="2" t="s">
        <v>97</v>
      </c>
      <c r="N27" s="1" t="s">
        <v>97</v>
      </c>
      <c r="Q27" s="38" t="s">
        <v>125</v>
      </c>
      <c r="R27" s="37">
        <f>R25-R26</f>
        <v>444.70499999999959</v>
      </c>
      <c r="T27" s="38" t="s">
        <v>125</v>
      </c>
      <c r="U27" s="37">
        <f>U25-U26</f>
        <v>265.66499999999951</v>
      </c>
      <c r="W27" s="38" t="s">
        <v>125</v>
      </c>
      <c r="X27" s="37">
        <f>X25-X26</f>
        <v>270.71249999999975</v>
      </c>
      <c r="Z27" s="38" t="s">
        <v>125</v>
      </c>
      <c r="AA27" s="37">
        <f>AA25-AA26</f>
        <v>907.80249999999978</v>
      </c>
      <c r="AC27" s="38" t="s">
        <v>125</v>
      </c>
      <c r="AD27" s="37">
        <f>AD25-AD26</f>
        <v>364.7824999999998</v>
      </c>
      <c r="AF27" s="38" t="s">
        <v>125</v>
      </c>
      <c r="AG27" s="37">
        <f>AG25-AG26</f>
        <v>297.0124999999997</v>
      </c>
      <c r="AI27" s="38" t="s">
        <v>125</v>
      </c>
      <c r="AJ27" s="37">
        <f>AJ25-AJ26</f>
        <v>1811.5425</v>
      </c>
      <c r="AL27" s="7" t="s">
        <v>44</v>
      </c>
      <c r="AM27" s="4">
        <f>SUM(AM11:AM26)</f>
        <v>1454.1399999999999</v>
      </c>
      <c r="AO27" s="1" t="s">
        <v>124</v>
      </c>
      <c r="AP27" s="5"/>
      <c r="AY27" s="1" t="s">
        <v>387</v>
      </c>
      <c r="AZ27" s="4">
        <v>300</v>
      </c>
      <c r="BK27" s="98" t="s">
        <v>388</v>
      </c>
      <c r="BL27" s="5">
        <f>BL25-BL26</f>
        <v>-150</v>
      </c>
      <c r="BN27" s="98" t="s">
        <v>388</v>
      </c>
      <c r="BO27" s="5">
        <f>BO25-BO26</f>
        <v>-845.45</v>
      </c>
      <c r="BW27" s="96" t="s">
        <v>383</v>
      </c>
      <c r="BX27" s="97">
        <f>BX7-BX26</f>
        <v>-544.80999999999995</v>
      </c>
      <c r="CA27" s="96" t="s">
        <v>383</v>
      </c>
      <c r="CB27" s="97">
        <f>CB7-CB26</f>
        <v>1481.8600000000006</v>
      </c>
      <c r="CE27" s="1" t="s">
        <v>447</v>
      </c>
      <c r="CF27" s="4">
        <v>50</v>
      </c>
      <c r="CI27" s="1" t="s">
        <v>460</v>
      </c>
      <c r="CJ27" s="110">
        <v>178</v>
      </c>
      <c r="CK27" s="1" t="s">
        <v>25</v>
      </c>
      <c r="DJ27" s="1" t="s">
        <v>500</v>
      </c>
      <c r="DK27" s="63">
        <v>1064.67</v>
      </c>
      <c r="DN27" s="1" t="s">
        <v>440</v>
      </c>
      <c r="DO27" s="4">
        <v>250</v>
      </c>
      <c r="DP27" s="4">
        <f>7.07+6.52+100+11.53+40</f>
        <v>165.12</v>
      </c>
      <c r="DR27" s="111"/>
      <c r="DS27" s="5" t="s">
        <v>510</v>
      </c>
      <c r="DT27" s="5" t="s">
        <v>511</v>
      </c>
      <c r="DW27" s="2" t="s">
        <v>373</v>
      </c>
      <c r="DX27" s="4">
        <v>714.74</v>
      </c>
      <c r="EB27" s="93" t="s">
        <v>44</v>
      </c>
      <c r="EC27" s="95">
        <f>SUM(EC21:EC26)</f>
        <v>1140.06</v>
      </c>
      <c r="EX27" s="4"/>
      <c r="FJ27" s="1" t="s">
        <v>778</v>
      </c>
      <c r="FP27" s="5"/>
      <c r="GI27" s="1" t="s">
        <v>518</v>
      </c>
      <c r="GJ27" s="1" t="s">
        <v>820</v>
      </c>
      <c r="IE27" s="1" t="s">
        <v>518</v>
      </c>
      <c r="IF27" s="5">
        <v>361</v>
      </c>
      <c r="IG27" s="5">
        <f>IF27+IF4</f>
        <v>1788</v>
      </c>
      <c r="IJ27" s="5"/>
      <c r="IK27" s="5"/>
      <c r="IV27" s="5">
        <f>IV26*3</f>
        <v>789</v>
      </c>
      <c r="IX27" s="1" t="s">
        <v>519</v>
      </c>
      <c r="IY27" s="5">
        <f>IZ24/2</f>
        <v>426.82499999999993</v>
      </c>
      <c r="JB27" s="202" t="s">
        <v>373</v>
      </c>
      <c r="JC27" s="203">
        <v>1690.24</v>
      </c>
      <c r="JF27" s="5"/>
      <c r="JI27" s="7" t="s">
        <v>883</v>
      </c>
      <c r="JJ27" s="5">
        <v>370</v>
      </c>
      <c r="JK27" s="5">
        <v>291</v>
      </c>
      <c r="JL27" s="5">
        <f>JK27+JJ5</f>
        <v>800.26</v>
      </c>
      <c r="JP27" s="96" t="s">
        <v>383</v>
      </c>
      <c r="JQ27" s="97">
        <f>JQ9-JT26</f>
        <v>485.71000000000004</v>
      </c>
      <c r="JS27" s="209" t="s">
        <v>383</v>
      </c>
      <c r="JT27" s="210">
        <f>JT9-JT26</f>
        <v>2077.52</v>
      </c>
      <c r="JV27" s="141" t="s">
        <v>797</v>
      </c>
      <c r="JW27" s="102">
        <v>298</v>
      </c>
      <c r="JX27" s="1" t="s">
        <v>73</v>
      </c>
      <c r="KA27" s="1" t="s">
        <v>2</v>
      </c>
      <c r="KB27" s="4">
        <f>2741.43</f>
        <v>2741.43</v>
      </c>
      <c r="KC27" s="1" t="s">
        <v>950</v>
      </c>
      <c r="KE27" s="1" t="s">
        <v>29</v>
      </c>
      <c r="KF27" s="4">
        <v>77</v>
      </c>
      <c r="KG27" s="1" t="s">
        <v>93</v>
      </c>
      <c r="KK27" s="227" t="s">
        <v>372</v>
      </c>
      <c r="KL27" s="228">
        <v>110</v>
      </c>
      <c r="KM27" s="227" t="s">
        <v>988</v>
      </c>
      <c r="KN27" s="1" t="s">
        <v>43</v>
      </c>
      <c r="KO27" s="4">
        <v>500</v>
      </c>
      <c r="KQ27" s="24" t="s">
        <v>373</v>
      </c>
      <c r="KR27" s="72">
        <f>2340+KR25</f>
        <v>2368.2200000000003</v>
      </c>
      <c r="KT27" s="1" t="s">
        <v>372</v>
      </c>
      <c r="KU27" s="4">
        <v>100</v>
      </c>
      <c r="KX27" s="1" t="s">
        <v>1019</v>
      </c>
      <c r="KY27" s="85">
        <v>40</v>
      </c>
    </row>
    <row r="28" spans="1:312" ht="15.75" thickBot="1" x14ac:dyDescent="0.3">
      <c r="A28" s="24" t="s">
        <v>74</v>
      </c>
      <c r="B28" s="1" t="s">
        <v>19</v>
      </c>
      <c r="C28" s="9">
        <v>262</v>
      </c>
      <c r="D28" s="9">
        <f>C28</f>
        <v>262</v>
      </c>
      <c r="H28" s="34">
        <v>45072</v>
      </c>
      <c r="K28" s="1" t="s">
        <v>149</v>
      </c>
      <c r="N28" s="1" t="s">
        <v>151</v>
      </c>
      <c r="AL28" s="39" t="s">
        <v>89</v>
      </c>
      <c r="AM28" s="40">
        <v>400</v>
      </c>
      <c r="AO28" s="38" t="s">
        <v>125</v>
      </c>
      <c r="AP28" s="37">
        <f>AP26-AP27</f>
        <v>142.26999999999998</v>
      </c>
      <c r="AY28" s="98" t="s">
        <v>388</v>
      </c>
      <c r="AZ28" s="5">
        <f>AZ26-AZ27</f>
        <v>562.82000000000016</v>
      </c>
      <c r="BF28" s="5"/>
      <c r="BW28" s="103" t="s">
        <v>384</v>
      </c>
      <c r="BX28" s="86">
        <v>750</v>
      </c>
      <c r="CE28" s="1" t="s">
        <v>440</v>
      </c>
      <c r="CF28" s="4">
        <v>100</v>
      </c>
      <c r="CI28" s="1" t="s">
        <v>83</v>
      </c>
      <c r="CJ28" s="110">
        <v>282</v>
      </c>
      <c r="CK28" s="1" t="s">
        <v>25</v>
      </c>
      <c r="DR28" s="1" t="s">
        <v>504</v>
      </c>
      <c r="DS28" s="63">
        <v>110</v>
      </c>
      <c r="DT28" s="4">
        <f>106.58+17.68</f>
        <v>124.25999999999999</v>
      </c>
      <c r="DU28" s="63">
        <f>DS28-DT28</f>
        <v>-14.259999999999991</v>
      </c>
      <c r="EB28" s="96" t="s">
        <v>383</v>
      </c>
      <c r="EC28" s="97">
        <f>EC18-EC27</f>
        <v>-368.05999999999995</v>
      </c>
      <c r="EG28" s="1" t="s">
        <v>550</v>
      </c>
      <c r="EX28" s="4"/>
      <c r="FJ28" s="1" t="s">
        <v>779</v>
      </c>
      <c r="FO28" s="2" t="s">
        <v>373</v>
      </c>
      <c r="FP28" s="1">
        <v>954.71</v>
      </c>
      <c r="GI28" s="4">
        <v>2741.43</v>
      </c>
      <c r="GJ28" s="5">
        <f>GI28*4</f>
        <v>10965.72</v>
      </c>
      <c r="GS28" s="234" t="s">
        <v>835</v>
      </c>
      <c r="GT28" s="234"/>
      <c r="GU28" s="4"/>
      <c r="IC28" s="4"/>
      <c r="IE28" s="1" t="s">
        <v>145</v>
      </c>
      <c r="IF28" s="5">
        <v>178</v>
      </c>
      <c r="IG28" s="5">
        <f>IF28+IF5</f>
        <v>183.56</v>
      </c>
      <c r="IH28" s="5">
        <f>IF28-136</f>
        <v>42</v>
      </c>
      <c r="IJ28" s="5"/>
      <c r="IK28" s="5"/>
      <c r="IL28" s="5"/>
      <c r="IX28" s="234" t="s">
        <v>864</v>
      </c>
      <c r="IY28" s="234"/>
      <c r="JB28" s="204" t="s">
        <v>873</v>
      </c>
      <c r="JC28" s="205">
        <f>JC27-JC19-JC16-JC15-JC14-JC11</f>
        <v>464.1</v>
      </c>
      <c r="JE28" s="1" t="s">
        <v>373</v>
      </c>
      <c r="JF28" s="1">
        <v>513.5</v>
      </c>
      <c r="JI28" s="7" t="s">
        <v>519</v>
      </c>
      <c r="JJ28" s="5">
        <f>JJ27</f>
        <v>370</v>
      </c>
      <c r="JK28" s="5">
        <v>291</v>
      </c>
      <c r="JL28" s="5">
        <f>+JJ6+JK28</f>
        <v>42101.91</v>
      </c>
      <c r="JS28" s="111"/>
      <c r="JT28" s="119"/>
      <c r="JV28" s="1" t="s">
        <v>32</v>
      </c>
      <c r="JW28" s="4">
        <v>128.94</v>
      </c>
      <c r="JX28" s="34" t="s">
        <v>94</v>
      </c>
      <c r="KA28" s="1" t="s">
        <v>9</v>
      </c>
      <c r="KB28" s="4">
        <v>445.45</v>
      </c>
      <c r="KC28" s="1" t="s">
        <v>950</v>
      </c>
      <c r="KE28" s="1" t="s">
        <v>34</v>
      </c>
      <c r="KF28" s="4">
        <v>105</v>
      </c>
      <c r="KG28" s="1" t="s">
        <v>30</v>
      </c>
      <c r="KK28" s="227" t="s">
        <v>833</v>
      </c>
      <c r="KL28" s="228">
        <v>30</v>
      </c>
      <c r="KM28" s="227" t="s">
        <v>988</v>
      </c>
      <c r="KN28" s="1" t="s">
        <v>901</v>
      </c>
      <c r="KO28" s="4">
        <v>29</v>
      </c>
      <c r="KQ28" s="234" t="s">
        <v>1001</v>
      </c>
      <c r="KR28" s="234"/>
      <c r="KT28" s="1" t="s">
        <v>833</v>
      </c>
      <c r="KU28" s="4">
        <v>20</v>
      </c>
      <c r="KX28" s="6" t="s">
        <v>1013</v>
      </c>
    </row>
    <row r="29" spans="1:312" x14ac:dyDescent="0.25">
      <c r="A29" s="1" t="s">
        <v>33</v>
      </c>
      <c r="B29" s="1" t="s">
        <v>19</v>
      </c>
      <c r="C29" s="9">
        <v>78</v>
      </c>
      <c r="D29" s="9">
        <f t="shared" ref="D29:D38" si="2">C29</f>
        <v>78</v>
      </c>
      <c r="H29" s="1" t="s">
        <v>99</v>
      </c>
      <c r="K29" s="1" t="s">
        <v>148</v>
      </c>
      <c r="Q29" s="2" t="s">
        <v>97</v>
      </c>
      <c r="T29" s="2" t="s">
        <v>97</v>
      </c>
      <c r="W29" s="2" t="s">
        <v>117</v>
      </c>
      <c r="X29" s="2"/>
      <c r="Y29" s="2"/>
      <c r="Z29" s="2" t="s">
        <v>117</v>
      </c>
      <c r="AC29" s="2" t="s">
        <v>117</v>
      </c>
      <c r="AL29" s="39" t="s">
        <v>126</v>
      </c>
      <c r="AM29" s="40">
        <f>AM7-AM10</f>
        <v>1370.8224999999998</v>
      </c>
      <c r="BW29" s="98" t="s">
        <v>385</v>
      </c>
      <c r="BX29" s="99">
        <f>BX27-BX28</f>
        <v>-1294.81</v>
      </c>
      <c r="CA29" s="109">
        <v>45279</v>
      </c>
      <c r="CE29" s="93" t="s">
        <v>44</v>
      </c>
      <c r="CF29" s="95">
        <f>SUM(CF24:CF28)</f>
        <v>451</v>
      </c>
      <c r="CI29" s="1" t="s">
        <v>24</v>
      </c>
      <c r="CJ29" s="110">
        <v>134</v>
      </c>
      <c r="CK29" s="1" t="s">
        <v>25</v>
      </c>
      <c r="DP29" s="5"/>
      <c r="DR29" s="1" t="s">
        <v>505</v>
      </c>
      <c r="DS29" s="63">
        <v>20</v>
      </c>
      <c r="DT29" s="4">
        <v>0</v>
      </c>
      <c r="DW29" s="101" t="s">
        <v>533</v>
      </c>
      <c r="DX29" s="80"/>
      <c r="EC29" s="5">
        <f>EC19-EC27</f>
        <v>389.67999999999984</v>
      </c>
      <c r="EX29" s="4"/>
      <c r="FL29" s="5"/>
      <c r="FM29" s="5"/>
      <c r="FO29" s="93" t="s">
        <v>792</v>
      </c>
      <c r="FP29" s="4"/>
      <c r="FQ29" s="5"/>
      <c r="GU29" s="5"/>
      <c r="HS29" s="1" t="s">
        <v>847</v>
      </c>
      <c r="IA29" s="235"/>
      <c r="IB29" s="235"/>
      <c r="IC29" s="5"/>
      <c r="IE29" s="1" t="s">
        <v>855</v>
      </c>
      <c r="IF29" s="5">
        <f>IF28</f>
        <v>178</v>
      </c>
      <c r="IG29" s="5">
        <f>IF29+IF6</f>
        <v>40599.32</v>
      </c>
      <c r="IJ29" s="5"/>
      <c r="IK29" s="5"/>
      <c r="IU29" s="56" t="s">
        <v>865</v>
      </c>
      <c r="IV29" s="177"/>
      <c r="IX29" s="1" t="s">
        <v>372</v>
      </c>
      <c r="IY29" s="4">
        <v>110</v>
      </c>
      <c r="JC29" s="4"/>
      <c r="JE29" s="1" t="s">
        <v>880</v>
      </c>
      <c r="JF29" s="1">
        <v>113.5</v>
      </c>
      <c r="JJ29" s="5">
        <f>SUM(JJ26:JJ28)</f>
        <v>1481</v>
      </c>
      <c r="JK29" s="5">
        <f>SUM(JK26:JK28)</f>
        <v>1482</v>
      </c>
      <c r="JS29" s="2" t="s">
        <v>373</v>
      </c>
      <c r="JT29" s="4">
        <v>2610.91</v>
      </c>
      <c r="JU29" s="5"/>
      <c r="KA29" s="225" t="s">
        <v>948</v>
      </c>
      <c r="KB29" s="115">
        <v>259.42</v>
      </c>
      <c r="KC29" s="225" t="s">
        <v>950</v>
      </c>
      <c r="KE29" s="1" t="s">
        <v>104</v>
      </c>
      <c r="KF29" s="4">
        <v>150</v>
      </c>
      <c r="KK29" s="227" t="s">
        <v>104</v>
      </c>
      <c r="KL29" s="228">
        <v>100</v>
      </c>
      <c r="KM29" s="227" t="s">
        <v>988</v>
      </c>
      <c r="KN29" s="227" t="s">
        <v>372</v>
      </c>
      <c r="KO29" s="228">
        <v>110</v>
      </c>
      <c r="KP29" s="227" t="s">
        <v>988</v>
      </c>
      <c r="KQ29" s="1" t="s">
        <v>372</v>
      </c>
      <c r="KR29" s="4">
        <v>110</v>
      </c>
      <c r="KT29" s="1" t="s">
        <v>1009</v>
      </c>
      <c r="KU29" s="4"/>
      <c r="KX29" s="1" t="s">
        <v>372</v>
      </c>
      <c r="KY29" s="4">
        <v>100</v>
      </c>
    </row>
    <row r="30" spans="1:312" x14ac:dyDescent="0.25">
      <c r="A30" s="1" t="s">
        <v>38</v>
      </c>
      <c r="B30" s="1" t="s">
        <v>19</v>
      </c>
      <c r="C30" s="9">
        <v>53</v>
      </c>
      <c r="D30" s="9">
        <f t="shared" si="2"/>
        <v>53</v>
      </c>
      <c r="H30" s="1" t="s">
        <v>100</v>
      </c>
      <c r="T30" s="1" t="s">
        <v>208</v>
      </c>
      <c r="U30" s="63">
        <v>58.1</v>
      </c>
      <c r="W30" s="1" t="s">
        <v>206</v>
      </c>
      <c r="Z30" s="1" t="s">
        <v>241</v>
      </c>
      <c r="AC30" s="1" t="s">
        <v>263</v>
      </c>
      <c r="AL30" s="31" t="s">
        <v>61</v>
      </c>
      <c r="AM30" s="33">
        <f>AM5-AM27-AM28</f>
        <v>461.40250000000015</v>
      </c>
      <c r="BW30" s="103" t="s">
        <v>386</v>
      </c>
      <c r="BX30" s="86">
        <v>400</v>
      </c>
      <c r="CA30" s="2" t="s">
        <v>430</v>
      </c>
      <c r="CB30" s="4">
        <v>1534.17</v>
      </c>
      <c r="CE30" s="96" t="s">
        <v>383</v>
      </c>
      <c r="CF30" s="97">
        <f>CF21-CF29</f>
        <v>-0.42000000000007276</v>
      </c>
      <c r="CI30" s="1" t="s">
        <v>32</v>
      </c>
      <c r="CJ30" s="4">
        <v>109</v>
      </c>
      <c r="CK30" s="1" t="s">
        <v>94</v>
      </c>
      <c r="DP30" s="5"/>
      <c r="DR30" s="1" t="s">
        <v>440</v>
      </c>
      <c r="DS30" s="63">
        <v>250</v>
      </c>
      <c r="DT30" s="4">
        <f>20+48.01+182.49</f>
        <v>250.5</v>
      </c>
      <c r="DU30" s="63">
        <f>DS30-DT30</f>
        <v>-0.5</v>
      </c>
      <c r="DW30" s="26" t="s">
        <v>29</v>
      </c>
      <c r="DX30" s="110">
        <v>72</v>
      </c>
      <c r="DY30" s="25" t="s">
        <v>93</v>
      </c>
      <c r="EX30" s="4"/>
      <c r="FO30" s="1" t="s">
        <v>7</v>
      </c>
      <c r="FP30" s="4">
        <v>84.58</v>
      </c>
      <c r="FQ30" s="109">
        <v>45457</v>
      </c>
      <c r="GS30" s="2" t="s">
        <v>373</v>
      </c>
      <c r="GT30" s="4">
        <v>1818.37</v>
      </c>
      <c r="GU30" s="5"/>
      <c r="HR30" s="1" t="s">
        <v>846</v>
      </c>
      <c r="HS30" s="4">
        <v>2653.88</v>
      </c>
      <c r="HT30" s="5">
        <f>HS30-HT5</f>
        <v>771.33000000000015</v>
      </c>
      <c r="IC30" s="5"/>
      <c r="IF30" s="5">
        <f>SUM(IF27:IF29)</f>
        <v>717</v>
      </c>
      <c r="IJ30" s="5"/>
      <c r="IU30" s="1" t="s">
        <v>868</v>
      </c>
      <c r="IX30" s="1" t="s">
        <v>833</v>
      </c>
      <c r="IY30" s="4">
        <v>30</v>
      </c>
      <c r="JC30" s="4"/>
      <c r="JE30" s="1" t="s">
        <v>881</v>
      </c>
      <c r="JF30" s="1">
        <f>JF28-JF29</f>
        <v>400</v>
      </c>
      <c r="JG30" s="5"/>
      <c r="JV30" s="93" t="s">
        <v>44</v>
      </c>
      <c r="JW30" s="95">
        <f>SUM(JW23:JW28)</f>
        <v>895.94</v>
      </c>
      <c r="KA30" s="1" t="s">
        <v>28</v>
      </c>
      <c r="KB30" s="4">
        <v>20</v>
      </c>
      <c r="KK30" s="1" t="s">
        <v>35</v>
      </c>
      <c r="KL30" s="4">
        <v>229</v>
      </c>
      <c r="KM30" s="1" t="s">
        <v>73</v>
      </c>
      <c r="KN30" s="227" t="s">
        <v>833</v>
      </c>
      <c r="KO30" s="228">
        <v>30</v>
      </c>
      <c r="KP30" s="227" t="s">
        <v>988</v>
      </c>
      <c r="KQ30" s="1" t="s">
        <v>833</v>
      </c>
      <c r="KR30" s="4">
        <v>20</v>
      </c>
      <c r="KT30" s="1" t="s">
        <v>104</v>
      </c>
      <c r="KU30" s="4">
        <v>100</v>
      </c>
      <c r="KV30" s="5"/>
      <c r="KX30" s="1" t="s">
        <v>833</v>
      </c>
      <c r="KY30" s="4">
        <v>20</v>
      </c>
    </row>
    <row r="31" spans="1:312" x14ac:dyDescent="0.25">
      <c r="A31" s="1" t="s">
        <v>43</v>
      </c>
      <c r="B31" s="1" t="s">
        <v>19</v>
      </c>
      <c r="C31" s="9">
        <v>480</v>
      </c>
      <c r="D31" s="9">
        <f t="shared" si="2"/>
        <v>480</v>
      </c>
      <c r="H31" s="1" t="s">
        <v>142</v>
      </c>
      <c r="N31" s="5"/>
      <c r="R31" s="5"/>
      <c r="W31" s="5"/>
      <c r="AC31" s="1" t="s">
        <v>268</v>
      </c>
      <c r="AL31" s="1" t="s">
        <v>124</v>
      </c>
      <c r="AM31" s="5">
        <v>100</v>
      </c>
      <c r="BW31" s="98" t="s">
        <v>391</v>
      </c>
      <c r="BX31" s="5">
        <f>BX29-BX30</f>
        <v>-1694.81</v>
      </c>
      <c r="CA31" s="7" t="s">
        <v>378</v>
      </c>
      <c r="CI31" s="1" t="s">
        <v>5</v>
      </c>
      <c r="CJ31" s="110">
        <v>24.42</v>
      </c>
      <c r="CK31" s="1" t="s">
        <v>434</v>
      </c>
      <c r="DP31" s="5"/>
      <c r="DW31" s="1" t="s">
        <v>34</v>
      </c>
      <c r="DX31" s="110">
        <v>76</v>
      </c>
      <c r="DY31" s="1" t="s">
        <v>30</v>
      </c>
      <c r="EX31" s="4"/>
      <c r="FJ31" s="4" t="s">
        <v>783</v>
      </c>
      <c r="FK31" s="5">
        <v>1259.78</v>
      </c>
      <c r="FL31" s="5"/>
      <c r="FM31" s="5"/>
      <c r="FO31" s="1" t="s">
        <v>29</v>
      </c>
      <c r="FP31" s="4">
        <v>82</v>
      </c>
      <c r="FQ31" s="1" t="s">
        <v>27</v>
      </c>
      <c r="GU31" s="5"/>
      <c r="IA31" s="2"/>
      <c r="IB31" s="4"/>
      <c r="IC31" s="5"/>
      <c r="IX31" s="1" t="s">
        <v>104</v>
      </c>
      <c r="IY31" s="4">
        <v>250</v>
      </c>
      <c r="JE31" s="1" t="s">
        <v>882</v>
      </c>
      <c r="JF31" s="1">
        <f>JF30/2</f>
        <v>200</v>
      </c>
      <c r="JG31" s="5">
        <f>JF31+JF4</f>
        <v>1161</v>
      </c>
      <c r="JS31" s="234" t="s">
        <v>897</v>
      </c>
      <c r="JT31" s="234"/>
      <c r="JV31" s="96" t="s">
        <v>383</v>
      </c>
      <c r="JW31" s="97">
        <f>JW21-JW30</f>
        <v>327.79999999999995</v>
      </c>
      <c r="KK31" s="1" t="s">
        <v>797</v>
      </c>
      <c r="KL31" s="4">
        <v>298</v>
      </c>
      <c r="KM31" s="1" t="s">
        <v>73</v>
      </c>
      <c r="KN31" s="227" t="s">
        <v>104</v>
      </c>
      <c r="KO31" s="228">
        <v>100</v>
      </c>
      <c r="KP31" s="227" t="s">
        <v>988</v>
      </c>
      <c r="KQ31" s="1" t="s">
        <v>104</v>
      </c>
      <c r="KR31" s="4">
        <v>100</v>
      </c>
      <c r="KS31" s="1" t="s">
        <v>950</v>
      </c>
      <c r="KT31" s="93" t="s">
        <v>44</v>
      </c>
      <c r="KU31" s="95">
        <f>SUM(KU17:KU30)</f>
        <v>4500.8799999999992</v>
      </c>
      <c r="KX31" s="93" t="s">
        <v>44</v>
      </c>
      <c r="KY31" s="95">
        <f>SUM(KY21:KY30)</f>
        <v>1754.51</v>
      </c>
    </row>
    <row r="32" spans="1:312" x14ac:dyDescent="0.25">
      <c r="A32" s="26" t="s">
        <v>29</v>
      </c>
      <c r="B32" s="25" t="s">
        <v>93</v>
      </c>
      <c r="C32" s="27">
        <v>82</v>
      </c>
      <c r="D32" s="27">
        <f>C32</f>
        <v>82</v>
      </c>
      <c r="R32" s="5"/>
      <c r="AL32" s="38" t="s">
        <v>125</v>
      </c>
      <c r="AM32" s="84">
        <f>AM30-AM31</f>
        <v>361.40250000000015</v>
      </c>
      <c r="BW32" s="103" t="s">
        <v>387</v>
      </c>
      <c r="BX32" s="86">
        <v>100</v>
      </c>
      <c r="CA32" s="1" t="s">
        <v>35</v>
      </c>
      <c r="CB32" s="4">
        <v>290</v>
      </c>
      <c r="CC32" s="1" t="s">
        <v>73</v>
      </c>
      <c r="CE32" s="1" t="s">
        <v>448</v>
      </c>
      <c r="CF32" s="5">
        <f>+C12+C13</f>
        <v>763</v>
      </c>
      <c r="CG32" s="1" t="s">
        <v>93</v>
      </c>
      <c r="CI32" s="1" t="s">
        <v>454</v>
      </c>
      <c r="CJ32" s="4">
        <v>120</v>
      </c>
      <c r="CK32" s="5">
        <f>CJ32-231.72</f>
        <v>-111.72</v>
      </c>
      <c r="DR32" s="101" t="s">
        <v>516</v>
      </c>
      <c r="DS32" s="80"/>
      <c r="DW32" s="1" t="s">
        <v>41</v>
      </c>
      <c r="DX32" s="9"/>
      <c r="DY32" s="1" t="s">
        <v>42</v>
      </c>
      <c r="EX32" s="4"/>
      <c r="FK32" s="5"/>
      <c r="FO32" s="187" t="s">
        <v>793</v>
      </c>
      <c r="FP32" s="188">
        <v>100</v>
      </c>
      <c r="GS32" s="1" t="s">
        <v>20</v>
      </c>
      <c r="GT32" s="4">
        <v>836.51</v>
      </c>
      <c r="GU32" s="1" t="s">
        <v>21</v>
      </c>
      <c r="IC32" s="5"/>
      <c r="IX32" s="1" t="s">
        <v>2</v>
      </c>
      <c r="IY32" s="4">
        <v>2741.43</v>
      </c>
      <c r="JE32" s="1" t="s">
        <v>883</v>
      </c>
      <c r="JF32" s="1">
        <v>100</v>
      </c>
      <c r="JG32" s="5">
        <f>JF32+JF5</f>
        <v>509.26</v>
      </c>
      <c r="JS32" s="1" t="s">
        <v>372</v>
      </c>
      <c r="JT32" s="4">
        <v>110</v>
      </c>
      <c r="JU32" s="4"/>
      <c r="KA32" s="93" t="s">
        <v>44</v>
      </c>
      <c r="KB32" s="95">
        <f>SUM(KB24:KB31)</f>
        <v>3756.2999999999997</v>
      </c>
      <c r="KE32" s="93" t="s">
        <v>44</v>
      </c>
      <c r="KF32" s="95">
        <f>SUM(KF25:KF31)</f>
        <v>682.11</v>
      </c>
      <c r="KK32" s="93" t="s">
        <v>44</v>
      </c>
      <c r="KL32" s="95">
        <f>SUM(KL26:KL31)</f>
        <v>1036.03</v>
      </c>
      <c r="KN32" s="93" t="s">
        <v>44</v>
      </c>
      <c r="KO32" s="95">
        <f>SUM(KO24:KO31)</f>
        <v>1229</v>
      </c>
      <c r="KQ32" s="1" t="s">
        <v>2</v>
      </c>
      <c r="KR32" s="4">
        <v>2741.43</v>
      </c>
      <c r="KS32" s="1" t="s">
        <v>950</v>
      </c>
      <c r="KT32" s="96" t="s">
        <v>383</v>
      </c>
      <c r="KU32" s="97">
        <f>KU15-KU31</f>
        <v>-1753.4099999999994</v>
      </c>
    </row>
    <row r="33" spans="1:313" x14ac:dyDescent="0.25">
      <c r="A33" s="1" t="s">
        <v>34</v>
      </c>
      <c r="B33" s="1" t="s">
        <v>30</v>
      </c>
      <c r="C33" s="9">
        <v>69</v>
      </c>
      <c r="D33" s="9">
        <f>C33</f>
        <v>69</v>
      </c>
      <c r="H33" s="42" t="s">
        <v>143</v>
      </c>
      <c r="R33" s="5"/>
      <c r="X33" s="4"/>
      <c r="BW33" s="98" t="s">
        <v>388</v>
      </c>
      <c r="BX33" s="5">
        <f>BX31-BX32</f>
        <v>-1794.81</v>
      </c>
      <c r="CA33" s="80" t="s">
        <v>83</v>
      </c>
      <c r="CB33" s="81">
        <v>281</v>
      </c>
      <c r="CC33" s="80" t="s">
        <v>25</v>
      </c>
      <c r="CI33" s="1" t="s">
        <v>455</v>
      </c>
      <c r="CJ33" s="4">
        <v>0</v>
      </c>
      <c r="DR33" s="7" t="s">
        <v>526</v>
      </c>
      <c r="DS33" s="125">
        <v>500</v>
      </c>
      <c r="DW33" s="1" t="s">
        <v>534</v>
      </c>
      <c r="DX33" s="5">
        <v>20</v>
      </c>
      <c r="EX33" s="4"/>
      <c r="FJ33" s="23" t="s">
        <v>782</v>
      </c>
      <c r="FK33" s="23" t="s">
        <v>784</v>
      </c>
      <c r="FL33" s="1" t="s">
        <v>785</v>
      </c>
      <c r="FM33" s="1" t="s">
        <v>786</v>
      </c>
      <c r="FO33" s="1" t="s">
        <v>796</v>
      </c>
      <c r="FP33" s="5">
        <v>400</v>
      </c>
      <c r="GS33" s="1" t="s">
        <v>26</v>
      </c>
      <c r="GT33" s="4">
        <v>43.99</v>
      </c>
      <c r="GU33" s="1" t="s">
        <v>27</v>
      </c>
      <c r="IB33" s="4"/>
      <c r="IC33" s="5"/>
      <c r="IX33" s="1" t="s">
        <v>9</v>
      </c>
      <c r="IY33" s="4">
        <v>445.45</v>
      </c>
      <c r="JE33" s="1" t="s">
        <v>884</v>
      </c>
      <c r="JF33" s="1">
        <v>100</v>
      </c>
      <c r="JG33" s="5">
        <f>JF33+JF6</f>
        <v>41810.910000000003</v>
      </c>
      <c r="JS33" s="1" t="s">
        <v>833</v>
      </c>
      <c r="JT33" s="4">
        <v>30</v>
      </c>
      <c r="JV33" s="5"/>
      <c r="KA33" s="96" t="s">
        <v>383</v>
      </c>
      <c r="KB33" s="97">
        <f>KB22-KB32</f>
        <v>-732.37999999999965</v>
      </c>
      <c r="KC33" s="5"/>
      <c r="KK33" s="96" t="s">
        <v>383</v>
      </c>
      <c r="KL33" s="97">
        <f>KL22-KL32-200</f>
        <v>114.35000000000014</v>
      </c>
      <c r="KM33" s="230" t="s">
        <v>997</v>
      </c>
      <c r="KN33" s="96" t="s">
        <v>383</v>
      </c>
      <c r="KO33" s="97">
        <f>KO22-KO32</f>
        <v>-725</v>
      </c>
      <c r="KQ33" s="1" t="s">
        <v>9</v>
      </c>
      <c r="KR33" s="4">
        <v>445.45</v>
      </c>
      <c r="KX33" s="24" t="s">
        <v>373</v>
      </c>
      <c r="KY33" s="82">
        <v>504</v>
      </c>
    </row>
    <row r="34" spans="1:313" x14ac:dyDescent="0.25">
      <c r="A34" s="1" t="s">
        <v>41</v>
      </c>
      <c r="B34" s="1" t="s">
        <v>42</v>
      </c>
      <c r="C34" s="9">
        <v>99</v>
      </c>
      <c r="D34" s="9">
        <f>C34</f>
        <v>99</v>
      </c>
      <c r="H34" s="45" t="s">
        <v>154</v>
      </c>
      <c r="X34" s="5"/>
      <c r="AL34" s="2" t="s">
        <v>117</v>
      </c>
      <c r="CA34" s="1" t="s">
        <v>24</v>
      </c>
      <c r="CB34" s="4">
        <v>134</v>
      </c>
      <c r="CC34" s="1" t="s">
        <v>25</v>
      </c>
      <c r="CI34" s="1" t="s">
        <v>458</v>
      </c>
      <c r="CJ34" s="110">
        <v>283.22000000000003</v>
      </c>
      <c r="CK34" s="6" t="s">
        <v>459</v>
      </c>
      <c r="CL34" s="5">
        <f>CK35+CK32</f>
        <v>110.87999999999997</v>
      </c>
      <c r="DR34" s="7" t="s">
        <v>523</v>
      </c>
      <c r="DS34" s="5">
        <v>1095</v>
      </c>
      <c r="DW34" s="1" t="s">
        <v>535</v>
      </c>
      <c r="DX34" s="4">
        <v>120</v>
      </c>
      <c r="EA34" s="23" t="s">
        <v>521</v>
      </c>
      <c r="EB34" s="23" t="s">
        <v>512</v>
      </c>
      <c r="EW34" s="7"/>
      <c r="EX34" s="3"/>
      <c r="FJ34" s="4">
        <v>2741.43</v>
      </c>
      <c r="FK34" s="5">
        <f>FJ34*3</f>
        <v>8224.2899999999991</v>
      </c>
      <c r="FL34" s="5">
        <f>FK4</f>
        <v>7752</v>
      </c>
      <c r="FM34" s="5">
        <v>470</v>
      </c>
      <c r="FN34" s="4"/>
      <c r="FO34" s="93" t="s">
        <v>44</v>
      </c>
      <c r="FP34" s="95">
        <f>SUM(FP30:FP33)</f>
        <v>666.57999999999993</v>
      </c>
      <c r="GS34" s="1" t="s">
        <v>372</v>
      </c>
      <c r="GT34" s="4">
        <v>110</v>
      </c>
      <c r="IB34" s="4"/>
      <c r="IX34" s="1" t="s">
        <v>28</v>
      </c>
      <c r="IY34" s="4">
        <v>20</v>
      </c>
      <c r="JS34" s="1" t="s">
        <v>104</v>
      </c>
      <c r="JT34" s="4">
        <v>300</v>
      </c>
      <c r="JU34" s="5"/>
      <c r="JV34" s="5"/>
      <c r="KQ34" s="1" t="s">
        <v>28</v>
      </c>
      <c r="KR34" s="4">
        <v>20</v>
      </c>
      <c r="KT34" s="24" t="s">
        <v>373</v>
      </c>
      <c r="KU34" s="82">
        <v>504</v>
      </c>
      <c r="KV34" s="2" t="s">
        <v>1006</v>
      </c>
      <c r="KX34" s="234" t="s">
        <v>1014</v>
      </c>
      <c r="KY34" s="234"/>
      <c r="KZ34" s="1" t="s">
        <v>1002</v>
      </c>
    </row>
    <row r="35" spans="1:313" x14ac:dyDescent="0.25">
      <c r="A35" s="26" t="s">
        <v>35</v>
      </c>
      <c r="B35" s="25" t="s">
        <v>73</v>
      </c>
      <c r="C35" s="27">
        <v>236</v>
      </c>
      <c r="D35" s="27">
        <f t="shared" si="2"/>
        <v>236</v>
      </c>
      <c r="X35" s="5"/>
      <c r="AA35" s="5"/>
      <c r="AC35" s="4"/>
      <c r="AD35" s="5"/>
      <c r="AL35" s="80" t="s">
        <v>275</v>
      </c>
      <c r="AM35" s="5"/>
      <c r="CA35" s="1" t="s">
        <v>32</v>
      </c>
      <c r="CB35" s="4">
        <v>109</v>
      </c>
      <c r="CC35" s="1" t="s">
        <v>94</v>
      </c>
      <c r="CI35" s="1" t="s">
        <v>440</v>
      </c>
      <c r="CJ35" s="4">
        <v>300</v>
      </c>
      <c r="CK35" s="5">
        <f>CJ35-15.37-57.24-1.8-2.99</f>
        <v>222.59999999999997</v>
      </c>
      <c r="DR35" s="7" t="s">
        <v>373</v>
      </c>
      <c r="DS35" s="123">
        <f>DS33+DS34</f>
        <v>1595</v>
      </c>
      <c r="DW35" s="1" t="s">
        <v>440</v>
      </c>
      <c r="DX35" s="4">
        <v>250</v>
      </c>
      <c r="DZ35" s="7" t="s">
        <v>507</v>
      </c>
      <c r="EA35" s="117">
        <v>10115</v>
      </c>
      <c r="EB35" s="63">
        <f>EA35*(1-0.35)</f>
        <v>6574.75</v>
      </c>
      <c r="EW35" s="111"/>
      <c r="EX35" s="119"/>
      <c r="FO35" s="96" t="s">
        <v>383</v>
      </c>
      <c r="FP35" s="184">
        <f>FP28-FP34</f>
        <v>288.13000000000011</v>
      </c>
      <c r="GS35" s="1" t="s">
        <v>833</v>
      </c>
      <c r="GT35" s="4">
        <v>30</v>
      </c>
      <c r="IB35" s="4"/>
      <c r="IX35" s="1" t="s">
        <v>18</v>
      </c>
      <c r="IY35" s="4">
        <v>259.42</v>
      </c>
      <c r="JS35" s="106" t="s">
        <v>43</v>
      </c>
      <c r="JT35" s="107">
        <v>700</v>
      </c>
      <c r="JV35" s="5"/>
      <c r="KA35" s="224">
        <v>45687</v>
      </c>
      <c r="KK35" s="24" t="s">
        <v>373</v>
      </c>
      <c r="KL35" s="72">
        <f>KL33+KM35</f>
        <v>618.35000000000014</v>
      </c>
      <c r="KM35" s="229">
        <v>504</v>
      </c>
      <c r="KN35" s="24" t="s">
        <v>373</v>
      </c>
      <c r="KO35" s="72">
        <v>504</v>
      </c>
      <c r="KQ35" s="2" t="s">
        <v>992</v>
      </c>
      <c r="KR35" s="4">
        <v>259.42</v>
      </c>
      <c r="KS35" s="1" t="s">
        <v>979</v>
      </c>
      <c r="KT35" s="234" t="s">
        <v>1010</v>
      </c>
      <c r="KU35" s="234"/>
      <c r="KX35" s="1" t="s">
        <v>1003</v>
      </c>
      <c r="KY35" s="4">
        <v>181</v>
      </c>
      <c r="KZ35" s="34" t="s">
        <v>94</v>
      </c>
    </row>
    <row r="36" spans="1:313" x14ac:dyDescent="0.25">
      <c r="A36" s="24" t="s">
        <v>83</v>
      </c>
      <c r="B36" s="1" t="s">
        <v>25</v>
      </c>
      <c r="C36" s="9">
        <v>301</v>
      </c>
      <c r="D36" s="9">
        <f t="shared" si="2"/>
        <v>301</v>
      </c>
      <c r="AA36" s="5"/>
      <c r="AC36" s="4"/>
      <c r="AM36" s="5"/>
      <c r="BX36" s="5"/>
      <c r="CA36" s="1" t="s">
        <v>5</v>
      </c>
      <c r="CB36" s="4">
        <v>18.12</v>
      </c>
      <c r="CC36" s="1" t="s">
        <v>434</v>
      </c>
      <c r="CI36" s="93" t="s">
        <v>44</v>
      </c>
      <c r="CJ36" s="95">
        <f>SUM(CJ24:CJ35)</f>
        <v>1948.6100000000001</v>
      </c>
      <c r="DO36" s="23" t="s">
        <v>521</v>
      </c>
      <c r="DP36" s="23" t="s">
        <v>512</v>
      </c>
      <c r="DR36" s="116" t="s">
        <v>513</v>
      </c>
      <c r="DW36" s="93" t="s">
        <v>44</v>
      </c>
      <c r="DX36" s="95">
        <f>SUM(DX30:DX35)</f>
        <v>538</v>
      </c>
      <c r="DZ36" s="7" t="s">
        <v>473</v>
      </c>
      <c r="EB36" s="63">
        <v>3150</v>
      </c>
      <c r="EC36" s="118">
        <f>EB36/EB35</f>
        <v>0.4791056694170881</v>
      </c>
      <c r="FJ36" s="1" t="s">
        <v>787</v>
      </c>
      <c r="FK36" s="1" t="s">
        <v>782</v>
      </c>
      <c r="FL36" s="2" t="s">
        <v>376</v>
      </c>
      <c r="FM36" s="2" t="s">
        <v>474</v>
      </c>
      <c r="GS36" s="1" t="s">
        <v>104</v>
      </c>
      <c r="GT36" s="4">
        <v>150</v>
      </c>
      <c r="IB36" s="4"/>
      <c r="IX36" s="1" t="s">
        <v>74</v>
      </c>
      <c r="IY36" s="4">
        <v>262</v>
      </c>
      <c r="JS36" s="106" t="s">
        <v>811</v>
      </c>
      <c r="JT36" s="106">
        <v>194.61</v>
      </c>
      <c r="JU36" s="105" t="s">
        <v>904</v>
      </c>
      <c r="KA36" s="2" t="s">
        <v>473</v>
      </c>
      <c r="KB36" s="4">
        <v>1686</v>
      </c>
      <c r="KC36" s="1" t="s">
        <v>981</v>
      </c>
      <c r="KK36" s="234" t="s">
        <v>989</v>
      </c>
      <c r="KL36" s="234"/>
      <c r="KN36" s="234" t="s">
        <v>995</v>
      </c>
      <c r="KO36" s="234"/>
      <c r="KQ36" s="1" t="s">
        <v>980</v>
      </c>
      <c r="KR36" s="4">
        <v>39</v>
      </c>
      <c r="KT36" s="106" t="s">
        <v>901</v>
      </c>
      <c r="KU36" s="107">
        <v>29</v>
      </c>
      <c r="KV36" s="106" t="s">
        <v>902</v>
      </c>
      <c r="KW36" s="4"/>
      <c r="KX36" s="1" t="s">
        <v>32</v>
      </c>
      <c r="KY36" s="4">
        <v>237.88</v>
      </c>
      <c r="KZ36" s="4" t="s">
        <v>434</v>
      </c>
    </row>
    <row r="37" spans="1:313" x14ac:dyDescent="0.25">
      <c r="A37" s="1" t="s">
        <v>32</v>
      </c>
      <c r="B37" s="1" t="s">
        <v>94</v>
      </c>
      <c r="C37" s="10">
        <v>209.06</v>
      </c>
      <c r="D37" s="9">
        <f t="shared" si="2"/>
        <v>209.06</v>
      </c>
      <c r="AA37" s="5"/>
      <c r="AC37" s="4"/>
      <c r="BX37" s="5"/>
      <c r="BY37" s="5"/>
      <c r="CA37" s="1" t="s">
        <v>437</v>
      </c>
      <c r="CB37" s="4">
        <v>150</v>
      </c>
      <c r="CI37" s="96" t="s">
        <v>383</v>
      </c>
      <c r="CJ37" s="97">
        <f>CJ22-CJ36</f>
        <v>150.55999999999995</v>
      </c>
      <c r="CK37" s="5"/>
      <c r="DN37" s="7" t="s">
        <v>507</v>
      </c>
      <c r="DO37" s="117">
        <v>10115</v>
      </c>
      <c r="DP37" s="63">
        <f>DO37*(1-0.35)</f>
        <v>6574.75</v>
      </c>
      <c r="DR37" s="1" t="s">
        <v>2</v>
      </c>
      <c r="DS37" s="110">
        <v>2741.43</v>
      </c>
      <c r="DT37" s="1" t="s">
        <v>409</v>
      </c>
      <c r="DW37" s="96" t="s">
        <v>383</v>
      </c>
      <c r="DX37" s="97">
        <f>DX27-DX36</f>
        <v>176.74</v>
      </c>
      <c r="DZ37" s="7" t="s">
        <v>376</v>
      </c>
      <c r="EB37" s="63">
        <f>EC37*EB35</f>
        <v>1000</v>
      </c>
      <c r="EC37" s="118">
        <v>0.15209703791018669</v>
      </c>
      <c r="FJ37" s="5">
        <f>FK31-100.78</f>
        <v>1159</v>
      </c>
      <c r="FK37" s="5">
        <f>FM34</f>
        <v>470</v>
      </c>
      <c r="FL37" s="5">
        <v>344.5</v>
      </c>
      <c r="FM37" s="5">
        <f>FL37</f>
        <v>344.5</v>
      </c>
      <c r="GS37" s="93" t="s">
        <v>44</v>
      </c>
      <c r="GT37" s="198">
        <f>SUM(GT32:GT36)</f>
        <v>1170.5</v>
      </c>
      <c r="IB37" s="4"/>
      <c r="IW37" s="1">
        <f>2926.3-236</f>
        <v>2690.3</v>
      </c>
      <c r="IX37" s="1" t="s">
        <v>33</v>
      </c>
      <c r="IY37" s="4">
        <v>150</v>
      </c>
      <c r="JS37" s="106" t="s">
        <v>903</v>
      </c>
      <c r="JT37" s="106">
        <v>155.5</v>
      </c>
      <c r="JU37" s="105" t="s">
        <v>905</v>
      </c>
      <c r="JW37" s="120"/>
      <c r="KA37" s="2" t="s">
        <v>376</v>
      </c>
      <c r="KB37" s="4">
        <v>1262.27</v>
      </c>
      <c r="KK37" s="129" t="s">
        <v>32</v>
      </c>
      <c r="KL37" s="110">
        <v>234.37</v>
      </c>
      <c r="KM37" s="34" t="s">
        <v>94</v>
      </c>
      <c r="KN37" s="1" t="s">
        <v>29</v>
      </c>
      <c r="KO37" s="4">
        <v>77</v>
      </c>
      <c r="KP37" s="1" t="s">
        <v>93</v>
      </c>
      <c r="KQ37" s="93" t="s">
        <v>44</v>
      </c>
      <c r="KR37" s="95">
        <f>SUM(KR29:KR36)</f>
        <v>3735.2999999999997</v>
      </c>
      <c r="KU37" s="4"/>
      <c r="KX37" s="1" t="s">
        <v>5</v>
      </c>
      <c r="KY37" s="4">
        <v>33</v>
      </c>
    </row>
    <row r="38" spans="1:313" ht="15.75" thickBot="1" x14ac:dyDescent="0.3">
      <c r="A38" s="1" t="s">
        <v>488</v>
      </c>
      <c r="B38" s="1" t="s">
        <v>16</v>
      </c>
      <c r="C38" s="9">
        <v>136</v>
      </c>
      <c r="D38" s="9">
        <f t="shared" si="2"/>
        <v>136</v>
      </c>
      <c r="AC38" s="4"/>
      <c r="CA38" s="1" t="s">
        <v>438</v>
      </c>
      <c r="CB38" s="4">
        <v>50</v>
      </c>
      <c r="CJ38" s="5"/>
      <c r="DN38" s="7" t="s">
        <v>473</v>
      </c>
      <c r="DP38" s="63">
        <f>DP37*DQ38</f>
        <v>3287.375</v>
      </c>
      <c r="DQ38" s="118">
        <v>0.5</v>
      </c>
      <c r="DR38" s="1" t="s">
        <v>9</v>
      </c>
      <c r="DS38" s="110">
        <v>445.45</v>
      </c>
      <c r="DT38" s="1" t="s">
        <v>4</v>
      </c>
      <c r="DZ38" s="7" t="s">
        <v>522</v>
      </c>
      <c r="EB38" s="124">
        <v>1200</v>
      </c>
      <c r="EC38" s="118">
        <f>EB38/EB35</f>
        <v>0.18251644549222404</v>
      </c>
      <c r="ED38" s="124">
        <v>2287.375</v>
      </c>
      <c r="EE38" s="63">
        <f>ED38-EB38</f>
        <v>1087.375</v>
      </c>
      <c r="FK38" s="5">
        <f>FK37+FK4</f>
        <v>8222</v>
      </c>
      <c r="FL38" s="5">
        <f>FK5+FL37</f>
        <v>3202.1</v>
      </c>
      <c r="FM38" s="5">
        <f>FM37+FK6</f>
        <v>40294.86</v>
      </c>
      <c r="GS38" s="96" t="s">
        <v>383</v>
      </c>
      <c r="GT38" s="97">
        <f>GT30-GT37</f>
        <v>647.86999999999989</v>
      </c>
      <c r="IA38" s="7"/>
      <c r="IB38" s="5"/>
      <c r="IW38" s="1">
        <f>IW37-2.75-2.75-20.99</f>
        <v>2663.8100000000004</v>
      </c>
      <c r="IX38" s="1" t="s">
        <v>38</v>
      </c>
      <c r="IY38" s="4">
        <v>100</v>
      </c>
      <c r="JS38" s="106" t="s">
        <v>29</v>
      </c>
      <c r="JT38" s="107">
        <v>77</v>
      </c>
      <c r="JU38" s="1" t="s">
        <v>93</v>
      </c>
      <c r="KA38" s="2" t="s">
        <v>474</v>
      </c>
      <c r="KB38" s="4">
        <v>44389.67</v>
      </c>
      <c r="KK38" s="129" t="s">
        <v>5</v>
      </c>
      <c r="KL38" s="110">
        <v>25.68</v>
      </c>
      <c r="KM38" s="4" t="s">
        <v>434</v>
      </c>
      <c r="KN38" s="1" t="s">
        <v>34</v>
      </c>
      <c r="KO38" s="4">
        <v>105</v>
      </c>
      <c r="KP38" s="1" t="s">
        <v>30</v>
      </c>
      <c r="KQ38" s="96" t="s">
        <v>383</v>
      </c>
      <c r="KR38" s="97">
        <f>KR27-KR37</f>
        <v>-1367.0799999999995</v>
      </c>
      <c r="KX38" s="247"/>
      <c r="KY38" s="247"/>
      <c r="KZ38" s="247"/>
      <c r="LA38" s="247"/>
    </row>
    <row r="39" spans="1:313" ht="15.75" thickBot="1" x14ac:dyDescent="0.3">
      <c r="A39" s="12" t="s">
        <v>44</v>
      </c>
      <c r="B39" s="13"/>
      <c r="C39" s="14">
        <f>SUM(C2:C38)</f>
        <v>7432.8300000000008</v>
      </c>
      <c r="D39" s="15">
        <f>SUM(D2:D38)</f>
        <v>6471.3200000000006</v>
      </c>
      <c r="R39" s="5"/>
      <c r="CA39" s="1" t="s">
        <v>441</v>
      </c>
      <c r="CB39" s="1">
        <v>101</v>
      </c>
      <c r="DN39" s="7" t="s">
        <v>376</v>
      </c>
      <c r="DP39" s="63">
        <f>DQ39*DP37</f>
        <v>764.70588235294122</v>
      </c>
      <c r="DQ39" s="118">
        <v>0.11630949957837806</v>
      </c>
      <c r="DR39" s="1" t="s">
        <v>462</v>
      </c>
      <c r="DS39" s="110">
        <v>20</v>
      </c>
      <c r="DT39" s="1" t="s">
        <v>463</v>
      </c>
      <c r="DZ39" s="7" t="s">
        <v>540</v>
      </c>
      <c r="EB39" s="63">
        <v>467.0100000000001</v>
      </c>
      <c r="EC39" s="118">
        <f>EB39/EB35</f>
        <v>7.1030837674436312E-2</v>
      </c>
      <c r="IA39" s="111"/>
      <c r="IB39" s="119"/>
      <c r="IX39" s="1" t="s">
        <v>43</v>
      </c>
      <c r="IY39" s="4">
        <v>600</v>
      </c>
      <c r="JS39" s="106" t="s">
        <v>34</v>
      </c>
      <c r="JT39" s="107">
        <v>105</v>
      </c>
      <c r="JU39" s="1" t="s">
        <v>30</v>
      </c>
      <c r="KB39" s="4"/>
      <c r="KN39" s="1" t="s">
        <v>104</v>
      </c>
      <c r="KO39" s="4">
        <v>50</v>
      </c>
      <c r="KT39" s="93" t="s">
        <v>44</v>
      </c>
      <c r="KU39" s="95">
        <f>SUM(KU36:KU38)</f>
        <v>29</v>
      </c>
      <c r="KZ39" s="5">
        <f>KY40*0.592</f>
        <v>1251.0795200000002</v>
      </c>
    </row>
    <row r="40" spans="1:313" x14ac:dyDescent="0.25">
      <c r="R40" s="5"/>
      <c r="CA40" s="1" t="s">
        <v>442</v>
      </c>
      <c r="CB40" s="1">
        <v>221.86</v>
      </c>
      <c r="CJ40" s="5">
        <f>466.58-109</f>
        <v>357.58</v>
      </c>
      <c r="DN40" s="7" t="s">
        <v>522</v>
      </c>
      <c r="DP40" s="124">
        <f>DQ40*DP37</f>
        <v>2522.669117647059</v>
      </c>
      <c r="DQ40" s="118">
        <v>0.38369050042162195</v>
      </c>
      <c r="DR40" s="1" t="s">
        <v>517</v>
      </c>
      <c r="DS40" s="4">
        <v>110</v>
      </c>
      <c r="DZ40" s="7" t="s">
        <v>373</v>
      </c>
      <c r="EB40" s="63">
        <v>757.7399999999999</v>
      </c>
      <c r="EC40" s="118">
        <f>EB40/EB35</f>
        <v>0.11525000950606486</v>
      </c>
      <c r="IX40" s="93" t="s">
        <v>44</v>
      </c>
      <c r="IY40" s="95">
        <f>SUM(IY29:IY39)</f>
        <v>4968.2999999999993</v>
      </c>
      <c r="JS40" s="215" t="s">
        <v>41</v>
      </c>
      <c r="JT40" s="216">
        <v>10.64</v>
      </c>
      <c r="JU40" s="196" t="s">
        <v>42</v>
      </c>
      <c r="KK40" s="1" t="s">
        <v>104</v>
      </c>
      <c r="KL40" s="4">
        <v>50</v>
      </c>
      <c r="KN40" s="1" t="s">
        <v>811</v>
      </c>
      <c r="KT40" s="96" t="s">
        <v>383</v>
      </c>
      <c r="KU40" s="97">
        <f>KU34-KU39</f>
        <v>475</v>
      </c>
      <c r="KV40" s="5"/>
      <c r="KX40" s="96" t="s">
        <v>383</v>
      </c>
      <c r="KY40" s="5">
        <f>KY17</f>
        <v>2113.3100000000004</v>
      </c>
      <c r="KZ40" s="5">
        <f>KY40-KZ39</f>
        <v>862.23048000000017</v>
      </c>
      <c r="LA40" s="1" t="s">
        <v>519</v>
      </c>
    </row>
    <row r="41" spans="1:313" x14ac:dyDescent="0.25">
      <c r="DR41" s="1" t="s">
        <v>525</v>
      </c>
      <c r="DS41" s="4">
        <v>20</v>
      </c>
      <c r="EB41" s="127">
        <f>SUM(EB36:EB40)</f>
        <v>6574.75</v>
      </c>
      <c r="IY41" s="4"/>
      <c r="KK41" s="93" t="s">
        <v>44</v>
      </c>
      <c r="KL41" s="95">
        <f>SUM(KL37:KL40)</f>
        <v>310.05</v>
      </c>
      <c r="KN41" s="1" t="s">
        <v>903</v>
      </c>
      <c r="KX41" s="118" t="s">
        <v>373</v>
      </c>
      <c r="KY41" s="5">
        <f>KZ39</f>
        <v>1251.0795200000002</v>
      </c>
    </row>
    <row r="42" spans="1:313" ht="30" x14ac:dyDescent="0.25">
      <c r="A42" s="31" t="s">
        <v>262</v>
      </c>
      <c r="CA42" s="93" t="s">
        <v>44</v>
      </c>
      <c r="CB42" s="95">
        <f>SUM(CB32:CB41)</f>
        <v>1354.98</v>
      </c>
      <c r="DR42" s="1" t="s">
        <v>440</v>
      </c>
      <c r="DS42" s="4">
        <v>250</v>
      </c>
      <c r="EB42" s="63"/>
      <c r="IY42" s="4"/>
      <c r="JS42" s="217" t="s">
        <v>319</v>
      </c>
      <c r="JT42" s="218">
        <v>0</v>
      </c>
      <c r="JU42" s="219" t="s">
        <v>900</v>
      </c>
      <c r="KK42" s="96" t="s">
        <v>383</v>
      </c>
      <c r="KL42" s="97">
        <f>KL35-KL41</f>
        <v>308.30000000000013</v>
      </c>
      <c r="KT42" s="233">
        <v>45750</v>
      </c>
      <c r="KV42" s="5"/>
      <c r="KX42" s="1" t="s">
        <v>1018</v>
      </c>
      <c r="KY42" s="1">
        <v>504</v>
      </c>
    </row>
    <row r="43" spans="1:313" x14ac:dyDescent="0.25">
      <c r="A43" s="91">
        <v>45707</v>
      </c>
      <c r="CA43" s="96" t="s">
        <v>383</v>
      </c>
      <c r="CB43" s="97">
        <f>CB30-CB42</f>
        <v>179.19000000000005</v>
      </c>
      <c r="CG43" s="5"/>
      <c r="DR43" s="93" t="s">
        <v>44</v>
      </c>
      <c r="DS43" s="95">
        <f>SUM(DS38:DS42)</f>
        <v>845.45</v>
      </c>
      <c r="EB43" s="63"/>
      <c r="IY43" s="4"/>
      <c r="JS43" s="93" t="s">
        <v>44</v>
      </c>
      <c r="JT43" s="95">
        <f>SUM(JT32:JT42)</f>
        <v>1682.7500000000002</v>
      </c>
      <c r="KT43" s="2" t="s">
        <v>473</v>
      </c>
      <c r="KU43" s="5">
        <v>100</v>
      </c>
      <c r="KX43" s="24" t="s">
        <v>373</v>
      </c>
      <c r="KY43" s="72">
        <f>KY42+KY41</f>
        <v>1755.0795200000002</v>
      </c>
    </row>
    <row r="44" spans="1:313" x14ac:dyDescent="0.25">
      <c r="A44" s="91">
        <v>45796</v>
      </c>
      <c r="CG44" s="5"/>
      <c r="DR44" s="96" t="s">
        <v>383</v>
      </c>
      <c r="DS44" s="122">
        <f>DS35-DS43</f>
        <v>749.55</v>
      </c>
      <c r="JS44" s="96" t="s">
        <v>383</v>
      </c>
      <c r="JT44" s="97">
        <f>JT29-JT43</f>
        <v>928.15999999999963</v>
      </c>
      <c r="KT44" s="2" t="s">
        <v>376</v>
      </c>
      <c r="KU44" s="5">
        <v>1287.29</v>
      </c>
      <c r="KX44" s="93" t="s">
        <v>44</v>
      </c>
      <c r="KY44" s="198">
        <f>KY31</f>
        <v>1754.51</v>
      </c>
    </row>
    <row r="45" spans="1:313" x14ac:dyDescent="0.25">
      <c r="A45" s="91">
        <v>45888</v>
      </c>
      <c r="DR45" s="96"/>
      <c r="DS45" s="121" t="s">
        <v>520</v>
      </c>
      <c r="DT45" s="63">
        <f>DS44</f>
        <v>749.55</v>
      </c>
      <c r="JT45" s="5"/>
      <c r="KT45" s="2" t="s">
        <v>474</v>
      </c>
      <c r="KU45" s="5">
        <v>43089.49</v>
      </c>
      <c r="KV45" s="5"/>
      <c r="KX45" s="96" t="s">
        <v>383</v>
      </c>
      <c r="KY45" s="97">
        <f>KY43-KY44</f>
        <v>0.56952000000023872</v>
      </c>
    </row>
    <row r="46" spans="1:313" x14ac:dyDescent="0.25">
      <c r="A46" s="91">
        <v>45980</v>
      </c>
      <c r="DR46" s="111" t="s">
        <v>518</v>
      </c>
      <c r="DS46" s="119">
        <f>DT45*DT46</f>
        <v>524.68499999999995</v>
      </c>
      <c r="DT46" s="120">
        <v>0.7</v>
      </c>
      <c r="KK46" s="226" t="s">
        <v>948</v>
      </c>
      <c r="KL46" s="226" t="s">
        <v>993</v>
      </c>
    </row>
    <row r="47" spans="1:313" x14ac:dyDescent="0.25">
      <c r="A47" s="1" t="s">
        <v>1021</v>
      </c>
      <c r="DR47" s="111" t="s">
        <v>145</v>
      </c>
      <c r="DS47" s="119">
        <f>DT45*DT47</f>
        <v>112.43249999999999</v>
      </c>
      <c r="DT47" s="120">
        <v>0.15</v>
      </c>
      <c r="JS47" s="2" t="s">
        <v>473</v>
      </c>
      <c r="JT47" s="4">
        <v>1061</v>
      </c>
      <c r="KU47" s="5"/>
    </row>
    <row r="48" spans="1:313" x14ac:dyDescent="0.25">
      <c r="DR48" s="111" t="s">
        <v>519</v>
      </c>
      <c r="DS48" s="119">
        <f>DT45*DT48</f>
        <v>112.43249999999999</v>
      </c>
      <c r="DT48" s="120">
        <v>0.15</v>
      </c>
      <c r="JS48" s="2" t="s">
        <v>376</v>
      </c>
      <c r="JT48" s="4">
        <v>1000.27</v>
      </c>
      <c r="KU48" s="5"/>
    </row>
    <row r="49" spans="122:282" x14ac:dyDescent="0.25">
      <c r="DT49" s="2" t="s">
        <v>385</v>
      </c>
      <c r="DU49" s="1" t="s">
        <v>527</v>
      </c>
      <c r="JS49" s="2" t="s">
        <v>474</v>
      </c>
      <c r="JT49" s="4">
        <v>44101.91</v>
      </c>
    </row>
    <row r="50" spans="122:282" x14ac:dyDescent="0.25">
      <c r="DR50" s="1" t="s">
        <v>524</v>
      </c>
      <c r="DS50" s="4">
        <v>8020</v>
      </c>
      <c r="DT50" s="5">
        <f>DS50-DS37</f>
        <v>5278.57</v>
      </c>
      <c r="DU50" s="5">
        <f>DT50+DS46</f>
        <v>5803.2549999999992</v>
      </c>
    </row>
    <row r="51" spans="122:282" x14ac:dyDescent="0.25">
      <c r="DR51" s="2" t="s">
        <v>376</v>
      </c>
      <c r="DS51" s="4">
        <v>3505.51</v>
      </c>
      <c r="DU51" s="5">
        <f>DS51+DS47</f>
        <v>3617.9425000000001</v>
      </c>
      <c r="JS51" s="2" t="s">
        <v>373</v>
      </c>
      <c r="JT51" s="4">
        <v>1494.26</v>
      </c>
      <c r="JU51" s="5"/>
    </row>
    <row r="52" spans="122:282" x14ac:dyDescent="0.25">
      <c r="DR52" s="2" t="s">
        <v>474</v>
      </c>
      <c r="DS52" s="4">
        <v>38398.410000000003</v>
      </c>
      <c r="DU52" s="5">
        <f>DS52+DS48</f>
        <v>38510.842500000006</v>
      </c>
      <c r="JS52" s="234" t="s">
        <v>940</v>
      </c>
      <c r="JT52" s="234"/>
    </row>
    <row r="53" spans="122:282" x14ac:dyDescent="0.25">
      <c r="JS53" s="1" t="s">
        <v>20</v>
      </c>
      <c r="JT53" s="4">
        <v>836.51</v>
      </c>
    </row>
    <row r="54" spans="122:282" x14ac:dyDescent="0.25">
      <c r="DR54" s="111"/>
      <c r="DS54" s="5" t="s">
        <v>510</v>
      </c>
      <c r="DT54" s="5" t="s">
        <v>511</v>
      </c>
      <c r="JS54" s="1" t="s">
        <v>104</v>
      </c>
      <c r="JT54" s="4">
        <v>157.75</v>
      </c>
    </row>
    <row r="55" spans="122:282" x14ac:dyDescent="0.25">
      <c r="DR55" s="1" t="s">
        <v>504</v>
      </c>
      <c r="DS55" s="63">
        <v>110</v>
      </c>
      <c r="DT55" s="4">
        <f>10.99+8.68+97.63</f>
        <v>117.3</v>
      </c>
      <c r="DU55" s="63">
        <f>DS55-DT55</f>
        <v>-7.2999999999999972</v>
      </c>
      <c r="JS55" s="93" t="s">
        <v>44</v>
      </c>
      <c r="JT55" s="95">
        <f>SUM(JT53:JT54)</f>
        <v>994.26</v>
      </c>
    </row>
    <row r="56" spans="122:282" x14ac:dyDescent="0.25">
      <c r="DR56" s="1" t="s">
        <v>505</v>
      </c>
      <c r="DS56" s="63">
        <v>20</v>
      </c>
      <c r="DT56" s="4">
        <v>35</v>
      </c>
      <c r="DU56" s="63">
        <f t="shared" ref="DU56:DU57" si="3">DS56-DT56</f>
        <v>-15</v>
      </c>
      <c r="JS56" s="96" t="s">
        <v>383</v>
      </c>
      <c r="JT56" s="97">
        <f>JT51-JT55</f>
        <v>500</v>
      </c>
    </row>
    <row r="57" spans="122:282" x14ac:dyDescent="0.25">
      <c r="DR57" s="1" t="s">
        <v>440</v>
      </c>
      <c r="DS57" s="63">
        <v>250</v>
      </c>
      <c r="DT57" s="4">
        <f>24+12.37+182.49</f>
        <v>218.86</v>
      </c>
      <c r="DU57" s="63">
        <f t="shared" si="3"/>
        <v>31.139999999999986</v>
      </c>
    </row>
    <row r="58" spans="122:282" x14ac:dyDescent="0.25">
      <c r="DS58" s="4"/>
      <c r="JS58" s="2" t="s">
        <v>473</v>
      </c>
      <c r="JT58" s="4">
        <v>1361</v>
      </c>
      <c r="JU58" s="117"/>
    </row>
    <row r="59" spans="122:282" x14ac:dyDescent="0.25">
      <c r="DS59" s="4"/>
      <c r="JS59" s="2" t="s">
        <v>376</v>
      </c>
      <c r="JT59" s="4">
        <v>1100.27</v>
      </c>
      <c r="JU59" s="117"/>
      <c r="JV59" s="63"/>
    </row>
    <row r="60" spans="122:282" x14ac:dyDescent="0.25">
      <c r="DS60" s="5"/>
      <c r="JS60" s="2" t="s">
        <v>474</v>
      </c>
      <c r="JT60" s="4">
        <v>44227.67</v>
      </c>
      <c r="JU60" s="117"/>
      <c r="JV60" s="63"/>
    </row>
    <row r="61" spans="122:282" x14ac:dyDescent="0.25">
      <c r="DS61" s="4"/>
      <c r="JU61" s="117"/>
      <c r="JV61" s="63"/>
    </row>
    <row r="62" spans="122:282" x14ac:dyDescent="0.25">
      <c r="DS62" s="4"/>
    </row>
    <row r="63" spans="122:282" x14ac:dyDescent="0.25">
      <c r="DS63" s="5"/>
    </row>
    <row r="1048576" spans="133:133" x14ac:dyDescent="0.25">
      <c r="EC1048576" s="118"/>
    </row>
  </sheetData>
  <mergeCells count="116">
    <mergeCell ref="KQ1:KR1"/>
    <mergeCell ref="KQ7:KR7"/>
    <mergeCell ref="KQ19:KR19"/>
    <mergeCell ref="KQ28:KR28"/>
    <mergeCell ref="KN1:KO1"/>
    <mergeCell ref="KN7:KO7"/>
    <mergeCell ref="KN20:KO20"/>
    <mergeCell ref="KN23:KO23"/>
    <mergeCell ref="KN36:KO36"/>
    <mergeCell ref="KK1:KL1"/>
    <mergeCell ref="KK7:KL7"/>
    <mergeCell ref="KK20:KL20"/>
    <mergeCell ref="KK25:KL25"/>
    <mergeCell ref="KK36:KL36"/>
    <mergeCell ref="JS52:JT52"/>
    <mergeCell ref="JV1:JW1"/>
    <mergeCell ref="JV11:JW11"/>
    <mergeCell ref="JV22:JW22"/>
    <mergeCell ref="KE24:KF24"/>
    <mergeCell ref="KA1:KB1"/>
    <mergeCell ref="KA23:KB23"/>
    <mergeCell ref="KA11:KB11"/>
    <mergeCell ref="KE1:KF1"/>
    <mergeCell ref="KE11:KF11"/>
    <mergeCell ref="KE22:KF22"/>
    <mergeCell ref="JS1:JT1"/>
    <mergeCell ref="JS11:JT11"/>
    <mergeCell ref="JS31:JT31"/>
    <mergeCell ref="JP1:JQ1"/>
    <mergeCell ref="IA29:IB29"/>
    <mergeCell ref="HV10:HW10"/>
    <mergeCell ref="HV1:HW1"/>
    <mergeCell ref="IL10:IM10"/>
    <mergeCell ref="IE1:IF1"/>
    <mergeCell ref="IE10:IF10"/>
    <mergeCell ref="II1:IJ1"/>
    <mergeCell ref="IL1:IM1"/>
    <mergeCell ref="IA1:IB1"/>
    <mergeCell ref="IX28:IY28"/>
    <mergeCell ref="IU1:IV1"/>
    <mergeCell ref="IU10:IV10"/>
    <mergeCell ref="IQ10:IR10"/>
    <mergeCell ref="IX1:IY1"/>
    <mergeCell ref="IX10:IY10"/>
    <mergeCell ref="EG9:EH9"/>
    <mergeCell ref="EK1:EL1"/>
    <mergeCell ref="EK9:EL9"/>
    <mergeCell ref="JI1:JJ1"/>
    <mergeCell ref="JI10:JJ10"/>
    <mergeCell ref="JE1:JF1"/>
    <mergeCell ref="JE10:JF10"/>
    <mergeCell ref="FE10:FF10"/>
    <mergeCell ref="FO1:FP1"/>
    <mergeCell ref="FO10:FP10"/>
    <mergeCell ref="HN1:HO1"/>
    <mergeCell ref="HN10:HO10"/>
    <mergeCell ref="GS1:GT1"/>
    <mergeCell ref="GS10:GT10"/>
    <mergeCell ref="HF1:HG1"/>
    <mergeCell ref="HB10:HC10"/>
    <mergeCell ref="HF10:HG10"/>
    <mergeCell ref="HK1:HL1"/>
    <mergeCell ref="HK10:HL10"/>
    <mergeCell ref="GL1:GM1"/>
    <mergeCell ref="GL10:GM10"/>
    <mergeCell ref="JB1:JC1"/>
    <mergeCell ref="JB10:JC10"/>
    <mergeCell ref="IQ1:IR1"/>
    <mergeCell ref="EB20:EC20"/>
    <mergeCell ref="Q9:R9"/>
    <mergeCell ref="DW1:DX1"/>
    <mergeCell ref="DW21:DX21"/>
    <mergeCell ref="EB1:EC1"/>
    <mergeCell ref="EB9:EC9"/>
    <mergeCell ref="FJ10:FK10"/>
    <mergeCell ref="GI1:GJ1"/>
    <mergeCell ref="GI10:GJ10"/>
    <mergeCell ref="FR10:FS10"/>
    <mergeCell ref="FW10:FX10"/>
    <mergeCell ref="GA1:GB1"/>
    <mergeCell ref="GA10:GB10"/>
    <mergeCell ref="GF1:GG1"/>
    <mergeCell ref="GF10:GG10"/>
    <mergeCell ref="EO1:EP1"/>
    <mergeCell ref="EO9:EP9"/>
    <mergeCell ref="ET1:EU1"/>
    <mergeCell ref="ET9:EU9"/>
    <mergeCell ref="FW1:FX1"/>
    <mergeCell ref="FE1:FF1"/>
    <mergeCell ref="FJ1:FK1"/>
    <mergeCell ref="FR1:FS1"/>
    <mergeCell ref="EG1:EH1"/>
    <mergeCell ref="KT1:KU1"/>
    <mergeCell ref="KT7:KU7"/>
    <mergeCell ref="KT16:KU16"/>
    <mergeCell ref="KT35:KU35"/>
    <mergeCell ref="KX1:KY1"/>
    <mergeCell ref="KX7:KY7"/>
    <mergeCell ref="KX20:KY20"/>
    <mergeCell ref="KX34:KY34"/>
    <mergeCell ref="EW25:EX25"/>
    <mergeCell ref="EZ1:FA1"/>
    <mergeCell ref="EZ10:FA10"/>
    <mergeCell ref="EW1:EX1"/>
    <mergeCell ref="EW10:EX10"/>
    <mergeCell ref="GS28:GT28"/>
    <mergeCell ref="II10:IJ10"/>
    <mergeCell ref="HB1:HC1"/>
    <mergeCell ref="GO1:GP1"/>
    <mergeCell ref="GO10:GP10"/>
    <mergeCell ref="IA10:IB10"/>
    <mergeCell ref="HR1:HS1"/>
    <mergeCell ref="HR10:HS10"/>
    <mergeCell ref="GW1:GX1"/>
    <mergeCell ref="GW10:GX10"/>
    <mergeCell ref="JP11:JQ11"/>
  </mergeCells>
  <conditionalFormatting sqref="H25:M25 P25:U25 W25:X25 Z25:AA25 AC25:AD25">
    <cfRule type="cellIs" dxfId="52" priority="36" operator="lessThan">
      <formula>0</formula>
    </cfRule>
  </conditionalFormatting>
  <conditionalFormatting sqref="Q27">
    <cfRule type="cellIs" dxfId="51" priority="32" operator="lessThan">
      <formula>0</formula>
    </cfRule>
  </conditionalFormatting>
  <conditionalFormatting sqref="T27">
    <cfRule type="cellIs" dxfId="50" priority="31" operator="lessThan">
      <formula>0</formula>
    </cfRule>
  </conditionalFormatting>
  <conditionalFormatting sqref="W27">
    <cfRule type="cellIs" dxfId="49" priority="30" operator="lessThan">
      <formula>0</formula>
    </cfRule>
  </conditionalFormatting>
  <conditionalFormatting sqref="Z27">
    <cfRule type="cellIs" dxfId="48" priority="29" operator="lessThan">
      <formula>0</formula>
    </cfRule>
  </conditionalFormatting>
  <conditionalFormatting sqref="AC27">
    <cfRule type="cellIs" dxfId="47" priority="28" operator="lessThan">
      <formula>0</formula>
    </cfRule>
  </conditionalFormatting>
  <conditionalFormatting sqref="AF27">
    <cfRule type="cellIs" dxfId="46" priority="27" operator="lessThan">
      <formula>0</formula>
    </cfRule>
  </conditionalFormatting>
  <conditionalFormatting sqref="AF25:AG25">
    <cfRule type="cellIs" dxfId="45" priority="35" operator="lessThan">
      <formula>0</formula>
    </cfRule>
  </conditionalFormatting>
  <conditionalFormatting sqref="AI27">
    <cfRule type="cellIs" dxfId="44" priority="26" operator="lessThan">
      <formula>0</formula>
    </cfRule>
  </conditionalFormatting>
  <conditionalFormatting sqref="AI25:AJ25">
    <cfRule type="cellIs" dxfId="43" priority="34" operator="lessThan">
      <formula>0</formula>
    </cfRule>
  </conditionalFormatting>
  <conditionalFormatting sqref="AL32">
    <cfRule type="cellIs" dxfId="42" priority="25" operator="lessThan">
      <formula>0</formula>
    </cfRule>
  </conditionalFormatting>
  <conditionalFormatting sqref="AL30:AM30">
    <cfRule type="cellIs" dxfId="41" priority="33" operator="lessThan">
      <formula>0</formula>
    </cfRule>
  </conditionalFormatting>
  <conditionalFormatting sqref="AO28">
    <cfRule type="cellIs" dxfId="40" priority="23" operator="lessThan">
      <formula>0</formula>
    </cfRule>
  </conditionalFormatting>
  <conditionalFormatting sqref="AO26:AP26">
    <cfRule type="cellIs" dxfId="39" priority="24" operator="lessThan">
      <formula>0</formula>
    </cfRule>
  </conditionalFormatting>
  <pageMargins left="0.7" right="0.7" top="0.75" bottom="0.75" header="0.3" footer="0.3"/>
  <pageSetup orientation="portrait" verticalDpi="30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155CE-ACFA-41E7-96CA-6AA58ED0F173}">
  <dimension ref="A1:BA28"/>
  <sheetViews>
    <sheetView zoomScale="80" zoomScaleNormal="80" workbookViewId="0">
      <pane xSplit="1" ySplit="2" topLeftCell="B3" activePane="bottomRight" state="frozen"/>
      <selection activeCell="C30" sqref="C29:C30"/>
      <selection pane="topRight" activeCell="C30" sqref="C29:C30"/>
      <selection pane="bottomLeft" activeCell="C30" sqref="C29:C30"/>
      <selection pane="bottomRight" activeCell="AP4" sqref="AP4:AP7"/>
    </sheetView>
  </sheetViews>
  <sheetFormatPr defaultColWidth="9.140625" defaultRowHeight="15" x14ac:dyDescent="0.25"/>
  <cols>
    <col min="1" max="1" width="34.42578125" style="1" bestFit="1" customWidth="1"/>
    <col min="2" max="2" width="12.28515625" style="4" hidden="1" customWidth="1"/>
    <col min="3" max="3" width="21.42578125" style="1" hidden="1" customWidth="1"/>
    <col min="4" max="4" width="15.42578125" style="4" hidden="1" customWidth="1"/>
    <col min="5" max="8" width="12.140625" style="1" hidden="1" customWidth="1"/>
    <col min="9" max="9" width="12.7109375" style="1" hidden="1" customWidth="1"/>
    <col min="10" max="10" width="12.140625" style="1" hidden="1" customWidth="1"/>
    <col min="11" max="11" width="13.28515625" style="1" hidden="1" customWidth="1"/>
    <col min="12" max="12" width="29.5703125" style="1" hidden="1" customWidth="1"/>
    <col min="13" max="13" width="21.85546875" style="1" hidden="1" customWidth="1"/>
    <col min="14" max="14" width="12.140625" style="1" hidden="1" customWidth="1"/>
    <col min="15" max="15" width="20.42578125" style="1" hidden="1" customWidth="1"/>
    <col min="16" max="18" width="12.140625" style="1" hidden="1" customWidth="1"/>
    <col min="19" max="20" width="12.28515625" style="1" hidden="1" customWidth="1"/>
    <col min="21" max="21" width="13.42578125" style="1" hidden="1" customWidth="1"/>
    <col min="22" max="23" width="12.28515625" style="1" hidden="1" customWidth="1"/>
    <col min="24" max="24" width="11.28515625" style="1" hidden="1" customWidth="1"/>
    <col min="25" max="30" width="12.28515625" style="1" hidden="1" customWidth="1"/>
    <col min="31" max="31" width="13" style="1" bestFit="1" customWidth="1"/>
    <col min="32" max="36" width="12.28515625" style="1" bestFit="1" customWidth="1"/>
    <col min="37" max="37" width="13.42578125" style="1" customWidth="1"/>
    <col min="38" max="40" width="12.28515625" style="1" bestFit="1" customWidth="1"/>
    <col min="41" max="41" width="13" style="1" bestFit="1" customWidth="1"/>
    <col min="42" max="42" width="12.28515625" style="1" bestFit="1" customWidth="1"/>
    <col min="43" max="53" width="10.7109375" style="1" bestFit="1" customWidth="1"/>
    <col min="54" max="16384" width="9.140625" style="1"/>
  </cols>
  <sheetData>
    <row r="1" spans="1:53" x14ac:dyDescent="0.25">
      <c r="B1" s="8" t="s">
        <v>49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spans="1:53" x14ac:dyDescent="0.25">
      <c r="A2" s="2" t="s">
        <v>48</v>
      </c>
      <c r="B2" s="11">
        <v>45071</v>
      </c>
      <c r="C2" s="11">
        <v>45072</v>
      </c>
      <c r="D2" s="11">
        <v>45075</v>
      </c>
      <c r="E2" s="11">
        <v>45078</v>
      </c>
      <c r="F2" s="11">
        <v>45079</v>
      </c>
      <c r="G2" s="11">
        <v>45081</v>
      </c>
      <c r="H2" s="48" t="s">
        <v>157</v>
      </c>
      <c r="I2" s="11">
        <v>45083</v>
      </c>
      <c r="J2" s="11">
        <v>45085</v>
      </c>
      <c r="K2" s="11">
        <v>45086</v>
      </c>
      <c r="L2" s="48" t="s">
        <v>157</v>
      </c>
      <c r="M2" s="11">
        <v>45088</v>
      </c>
      <c r="N2" s="11">
        <v>45090</v>
      </c>
      <c r="O2" s="71">
        <v>45093</v>
      </c>
      <c r="P2" s="11">
        <v>45094</v>
      </c>
      <c r="Q2" s="11">
        <v>45099</v>
      </c>
      <c r="R2" s="11">
        <v>45104</v>
      </c>
      <c r="S2" s="11">
        <v>45111</v>
      </c>
      <c r="T2" s="11">
        <v>45123</v>
      </c>
      <c r="U2" s="11">
        <v>45130</v>
      </c>
      <c r="V2" s="11">
        <v>45146</v>
      </c>
      <c r="W2" s="11">
        <v>45163</v>
      </c>
      <c r="X2" s="11">
        <v>45144</v>
      </c>
      <c r="Y2" s="11">
        <v>45184</v>
      </c>
      <c r="Z2" s="11">
        <v>45191</v>
      </c>
      <c r="AA2" s="11">
        <v>45198</v>
      </c>
      <c r="AB2" s="11">
        <v>45205</v>
      </c>
      <c r="AC2" s="11">
        <v>45212</v>
      </c>
      <c r="AD2" s="11">
        <v>45219</v>
      </c>
      <c r="AE2" s="11">
        <v>45275</v>
      </c>
      <c r="AF2" s="11">
        <v>45303</v>
      </c>
      <c r="AG2" s="11">
        <v>45324</v>
      </c>
      <c r="AH2" s="11">
        <v>45338</v>
      </c>
      <c r="AI2" s="11">
        <v>45345</v>
      </c>
      <c r="AJ2" s="11">
        <v>45359</v>
      </c>
      <c r="AK2" s="11">
        <v>45375</v>
      </c>
      <c r="AL2" s="11">
        <v>45387</v>
      </c>
      <c r="AM2" s="11">
        <v>45415</v>
      </c>
      <c r="AN2" s="11">
        <v>45422</v>
      </c>
      <c r="AO2" s="11">
        <v>45429</v>
      </c>
      <c r="AP2" s="11">
        <v>45456</v>
      </c>
      <c r="AQ2" s="11"/>
      <c r="AR2" s="11"/>
      <c r="AS2" s="11"/>
      <c r="AT2" s="11"/>
      <c r="AU2" s="11"/>
      <c r="AV2" s="11"/>
      <c r="AW2" s="11"/>
    </row>
    <row r="3" spans="1:53" x14ac:dyDescent="0.25">
      <c r="A3" s="1" t="s">
        <v>39</v>
      </c>
      <c r="B3" s="4">
        <v>0</v>
      </c>
      <c r="C3" s="5">
        <f>+'Expenses '!I4</f>
        <v>587.08999999999969</v>
      </c>
      <c r="D3" s="4">
        <v>453.8</v>
      </c>
      <c r="E3" s="4">
        <v>117.32</v>
      </c>
      <c r="F3" s="4">
        <v>2404.4899999999998</v>
      </c>
      <c r="G3" s="4">
        <v>1801.71</v>
      </c>
      <c r="H3" s="49">
        <f>G3-F3</f>
        <v>-602.77999999999975</v>
      </c>
      <c r="I3" s="4">
        <v>860.51</v>
      </c>
      <c r="J3" s="4">
        <v>857.03</v>
      </c>
      <c r="K3" s="4">
        <v>528.84</v>
      </c>
      <c r="L3" s="49">
        <f>K3-J3</f>
        <v>-328.18999999999994</v>
      </c>
      <c r="M3" s="4">
        <v>374.8</v>
      </c>
      <c r="N3" s="4">
        <v>397.1</v>
      </c>
      <c r="O3" s="4">
        <v>1431.43</v>
      </c>
      <c r="P3" s="4">
        <v>962.37</v>
      </c>
      <c r="Q3" s="4">
        <f>33.14+400</f>
        <v>433.14</v>
      </c>
      <c r="R3" s="1">
        <v>417.31</v>
      </c>
      <c r="S3" s="4">
        <v>1213.99</v>
      </c>
      <c r="T3" s="4">
        <v>789.68</v>
      </c>
      <c r="U3" s="1">
        <v>300</v>
      </c>
      <c r="V3" s="4">
        <v>306.97000000000003</v>
      </c>
      <c r="W3" s="4">
        <v>1018.42</v>
      </c>
      <c r="Z3" s="4">
        <v>1332.08</v>
      </c>
      <c r="AA3" s="4">
        <v>2738.63</v>
      </c>
      <c r="AB3" s="4">
        <v>1819.48</v>
      </c>
      <c r="AE3" s="4"/>
      <c r="AG3" s="4"/>
    </row>
    <row r="4" spans="1:53" x14ac:dyDescent="0.25">
      <c r="A4" s="1" t="s">
        <v>40</v>
      </c>
      <c r="B4" s="4">
        <v>31065.02</v>
      </c>
      <c r="C4" s="5">
        <f>B4</f>
        <v>31065.02</v>
      </c>
      <c r="D4" s="4">
        <f>C4</f>
        <v>31065.02</v>
      </c>
      <c r="E4" s="4">
        <f>D4</f>
        <v>31065.02</v>
      </c>
      <c r="F4" s="4">
        <f>E4</f>
        <v>31065.02</v>
      </c>
      <c r="G4" s="4">
        <v>31381.66</v>
      </c>
      <c r="H4" s="49">
        <f t="shared" ref="H4:H6" si="0">G4-F4</f>
        <v>316.63999999999942</v>
      </c>
      <c r="I4" s="4">
        <f>31382.2</f>
        <v>31382.2</v>
      </c>
      <c r="J4" s="4">
        <f>31382.2</f>
        <v>31382.2</v>
      </c>
      <c r="K4" s="4">
        <v>31607.200000000001</v>
      </c>
      <c r="L4" s="49">
        <f t="shared" ref="L4:L6" si="1">K4-J4</f>
        <v>225</v>
      </c>
      <c r="M4" s="4">
        <f>K4</f>
        <v>31607.200000000001</v>
      </c>
      <c r="N4" s="4">
        <f>M4</f>
        <v>31607.200000000001</v>
      </c>
      <c r="O4" s="4">
        <f>N4</f>
        <v>31607.200000000001</v>
      </c>
      <c r="P4" s="4">
        <f>O4</f>
        <v>31607.200000000001</v>
      </c>
      <c r="Q4" s="4">
        <f>31607.2-400</f>
        <v>31207.200000000001</v>
      </c>
      <c r="R4" s="4">
        <f>Q4</f>
        <v>31207.200000000001</v>
      </c>
      <c r="S4" s="4">
        <v>31707.200000000001</v>
      </c>
      <c r="T4" s="4">
        <v>31955.73</v>
      </c>
      <c r="U4" s="87">
        <v>31554.6</v>
      </c>
      <c r="V4" s="4">
        <v>31724.65</v>
      </c>
      <c r="W4" s="4">
        <v>32149.65</v>
      </c>
      <c r="Y4" s="4">
        <v>33075.230000000003</v>
      </c>
      <c r="Z4" s="4">
        <v>33275.230000000003</v>
      </c>
      <c r="AA4" s="4">
        <v>33475.230000000003</v>
      </c>
      <c r="AB4" s="4">
        <v>33675.730000000003</v>
      </c>
      <c r="AC4" s="4">
        <v>33939.370000000003</v>
      </c>
      <c r="AD4" s="4">
        <v>34139.370000000003</v>
      </c>
      <c r="AE4" s="4">
        <v>35127.08</v>
      </c>
      <c r="AF4" s="5">
        <v>35455.65</v>
      </c>
      <c r="AG4" s="4">
        <v>37056.21</v>
      </c>
      <c r="AH4" s="4">
        <v>37545.82</v>
      </c>
      <c r="AI4" s="4">
        <v>37579.82</v>
      </c>
      <c r="AJ4" s="4">
        <v>38059.410000000003</v>
      </c>
      <c r="AK4" s="4">
        <v>38398.410000000003</v>
      </c>
      <c r="AL4" s="4">
        <v>38799.01</v>
      </c>
      <c r="AM4" s="4">
        <v>39581.01</v>
      </c>
      <c r="AN4" s="4">
        <v>39737.65</v>
      </c>
      <c r="AO4" s="4">
        <v>39925.51666666667</v>
      </c>
      <c r="AP4" s="4">
        <v>40294.86</v>
      </c>
    </row>
    <row r="5" spans="1:53" x14ac:dyDescent="0.25">
      <c r="A5" s="1" t="s">
        <v>88</v>
      </c>
      <c r="B5" s="4">
        <v>536.09</v>
      </c>
      <c r="C5" s="5">
        <f>'Expenses '!I7</f>
        <v>2722.13</v>
      </c>
      <c r="D5" s="5">
        <f>C5</f>
        <v>2722.13</v>
      </c>
      <c r="E5" s="5">
        <f>D5</f>
        <v>2722.13</v>
      </c>
      <c r="F5" s="5">
        <f>E5</f>
        <v>2722.13</v>
      </c>
      <c r="G5" s="4">
        <v>5.49</v>
      </c>
      <c r="H5" s="49">
        <f t="shared" si="0"/>
        <v>-2716.6400000000003</v>
      </c>
      <c r="I5" s="4">
        <v>545.9</v>
      </c>
      <c r="J5" s="4">
        <v>587.03</v>
      </c>
      <c r="K5" s="4">
        <v>2038.11</v>
      </c>
      <c r="L5" s="49">
        <f t="shared" si="1"/>
        <v>1451.08</v>
      </c>
      <c r="M5" s="4">
        <f>K5</f>
        <v>2038.11</v>
      </c>
      <c r="N5" s="4">
        <v>2363.39</v>
      </c>
      <c r="O5" s="4">
        <v>3363.39</v>
      </c>
      <c r="P5" s="4">
        <v>3363.39</v>
      </c>
      <c r="Q5" s="4">
        <v>3363.39</v>
      </c>
      <c r="R5" s="4">
        <v>3363.39</v>
      </c>
      <c r="S5" s="4">
        <v>1425.39</v>
      </c>
      <c r="T5" s="4">
        <v>2743.08</v>
      </c>
      <c r="U5" s="4">
        <v>2743.08</v>
      </c>
      <c r="V5" s="4">
        <v>528.92999999999995</v>
      </c>
      <c r="W5" s="4">
        <v>3021.13</v>
      </c>
      <c r="X5" s="5">
        <f>W5-'Expenses '!C2</f>
        <v>300</v>
      </c>
      <c r="Y5" s="4">
        <v>2700</v>
      </c>
      <c r="Z5" s="4">
        <v>2915</v>
      </c>
      <c r="AA5" s="4">
        <v>3115</v>
      </c>
      <c r="AB5" s="4">
        <v>685</v>
      </c>
      <c r="AC5" s="5">
        <f>AB5+1000</f>
        <v>1685</v>
      </c>
      <c r="AD5" s="4">
        <v>2585</v>
      </c>
      <c r="AE5" s="4">
        <v>2721</v>
      </c>
      <c r="AF5" s="4">
        <v>3151</v>
      </c>
      <c r="AG5" s="4">
        <v>4111</v>
      </c>
      <c r="AH5" s="4">
        <v>5085</v>
      </c>
      <c r="AI5" s="4">
        <v>5219</v>
      </c>
      <c r="AJ5" s="4">
        <v>6369</v>
      </c>
      <c r="AK5" s="4">
        <v>8005</v>
      </c>
      <c r="AL5" s="4">
        <v>5605</v>
      </c>
      <c r="AM5" s="4">
        <v>7945</v>
      </c>
      <c r="AN5" s="4">
        <v>7845</v>
      </c>
      <c r="AO5" s="4">
        <v>8032.8666666666668</v>
      </c>
      <c r="AP5" s="4">
        <v>8222</v>
      </c>
    </row>
    <row r="6" spans="1:53" x14ac:dyDescent="0.25">
      <c r="A6" s="1" t="s">
        <v>95</v>
      </c>
      <c r="B6" s="4">
        <f>1944.02</f>
        <v>1944.02</v>
      </c>
      <c r="C6" s="5">
        <f>B6+B5</f>
        <v>2480.11</v>
      </c>
      <c r="D6" s="4" t="e">
        <f>#REF!+#REF!</f>
        <v>#REF!</v>
      </c>
      <c r="E6" s="4" t="e">
        <f>#REF!+#REF!</f>
        <v>#REF!</v>
      </c>
      <c r="F6" s="4" t="e">
        <f>#REF!+#REF!</f>
        <v>#REF!</v>
      </c>
      <c r="G6" s="4" t="e">
        <f>#REF!+#REF!</f>
        <v>#REF!</v>
      </c>
      <c r="H6" s="49" t="e">
        <f t="shared" si="0"/>
        <v>#REF!</v>
      </c>
      <c r="I6" s="4" t="e">
        <f>#REF!+#REF!</f>
        <v>#REF!</v>
      </c>
      <c r="J6" s="4" t="e">
        <f>#REF!+#REF!</f>
        <v>#REF!</v>
      </c>
      <c r="K6" s="4" t="e">
        <f>#REF!+#REF!</f>
        <v>#REF!</v>
      </c>
      <c r="L6" s="49" t="e">
        <f t="shared" si="1"/>
        <v>#REF!</v>
      </c>
      <c r="M6" s="4" t="e">
        <f>#REF!+#REF!</f>
        <v>#REF!</v>
      </c>
      <c r="N6" s="4" t="e">
        <f>M6</f>
        <v>#REF!</v>
      </c>
      <c r="O6" s="4" t="e">
        <f>+#REF!+#REF!</f>
        <v>#REF!</v>
      </c>
      <c r="P6" s="4" t="e">
        <f>+#REF!+#REF!</f>
        <v>#REF!</v>
      </c>
      <c r="Q6" s="4" t="e">
        <f>+#REF!+#REF!</f>
        <v>#REF!</v>
      </c>
      <c r="R6" s="1">
        <v>2805.13</v>
      </c>
      <c r="S6" s="4" t="e">
        <f>+#REF!+#REF!</f>
        <v>#REF!</v>
      </c>
      <c r="T6" s="4" t="e">
        <f>+#REF!+#REF!</f>
        <v>#REF!</v>
      </c>
      <c r="U6" s="4" t="e">
        <f>+#REF!+#REF!</f>
        <v>#REF!</v>
      </c>
      <c r="V6" s="4" t="e">
        <f>#REF!+#REF!</f>
        <v>#REF!</v>
      </c>
      <c r="W6" s="4">
        <v>3605.17</v>
      </c>
      <c r="X6" s="5" t="e">
        <f>#REF!+#REF!</f>
        <v>#REF!</v>
      </c>
      <c r="Y6" s="1">
        <v>4105.2</v>
      </c>
      <c r="Z6" s="4" t="e">
        <f>#REF!+#REF!</f>
        <v>#REF!</v>
      </c>
      <c r="AA6" s="4">
        <v>4655.2</v>
      </c>
      <c r="AB6" s="4">
        <v>5055.2299999999996</v>
      </c>
      <c r="AC6" s="5" t="e">
        <f>#REF!+#REF!</f>
        <v>#REF!</v>
      </c>
      <c r="AD6" s="4">
        <v>5705.23</v>
      </c>
      <c r="AE6" s="4">
        <v>1589.53</v>
      </c>
      <c r="AF6" s="4">
        <v>2019.54</v>
      </c>
      <c r="AG6" s="4">
        <v>2979.54</v>
      </c>
      <c r="AH6" s="4">
        <v>3443.56</v>
      </c>
      <c r="AI6" s="4">
        <v>3577.56</v>
      </c>
      <c r="AJ6" s="4">
        <v>3956.59</v>
      </c>
      <c r="AK6" s="4">
        <v>3505.51</v>
      </c>
      <c r="AL6" s="4">
        <v>3905.54</v>
      </c>
      <c r="AM6" s="4">
        <v>4872.26</v>
      </c>
      <c r="AN6" s="4">
        <v>5003.3</v>
      </c>
      <c r="AO6" s="4">
        <v>5191.166666666667</v>
      </c>
      <c r="AP6" s="4">
        <v>3202.1</v>
      </c>
    </row>
    <row r="7" spans="1:53" s="2" customFormat="1" x14ac:dyDescent="0.25">
      <c r="A7" s="7"/>
      <c r="B7" s="3"/>
      <c r="C7" s="17">
        <f>C3+C4+C5+C6</f>
        <v>36854.35</v>
      </c>
      <c r="D7" s="17" t="e">
        <f>D3+D4+D5+D6</f>
        <v>#REF!</v>
      </c>
      <c r="E7" s="17" t="e">
        <f>E3+E4+E5+E6</f>
        <v>#REF!</v>
      </c>
      <c r="F7" s="17" t="e">
        <f>F3+F4+F5+F6</f>
        <v>#REF!</v>
      </c>
      <c r="G7" s="17" t="e">
        <f>G3+G4+G5+G6</f>
        <v>#REF!</v>
      </c>
      <c r="H7" s="3"/>
      <c r="I7" s="17" t="e">
        <f>I3+I4+I5+I6</f>
        <v>#REF!</v>
      </c>
      <c r="J7" s="17" t="e">
        <f>SUM(J4:J6)</f>
        <v>#REF!</v>
      </c>
      <c r="K7" s="17" t="e">
        <f>SUM(K4:K6)</f>
        <v>#REF!</v>
      </c>
      <c r="L7" s="3"/>
      <c r="M7" s="17" t="e">
        <f t="shared" ref="M7:W7" si="2">SUM(M4:M6)</f>
        <v>#REF!</v>
      </c>
      <c r="N7" s="17" t="e">
        <f t="shared" si="2"/>
        <v>#REF!</v>
      </c>
      <c r="O7" s="17" t="e">
        <f t="shared" si="2"/>
        <v>#REF!</v>
      </c>
      <c r="P7" s="17" t="e">
        <f t="shared" si="2"/>
        <v>#REF!</v>
      </c>
      <c r="Q7" s="17" t="e">
        <f t="shared" si="2"/>
        <v>#REF!</v>
      </c>
      <c r="R7" s="17">
        <f t="shared" si="2"/>
        <v>37375.72</v>
      </c>
      <c r="S7" s="17" t="e">
        <f t="shared" si="2"/>
        <v>#REF!</v>
      </c>
      <c r="T7" s="17" t="e">
        <f t="shared" si="2"/>
        <v>#REF!</v>
      </c>
      <c r="U7" s="17" t="e">
        <f t="shared" si="2"/>
        <v>#REF!</v>
      </c>
      <c r="V7" s="17" t="e">
        <f t="shared" si="2"/>
        <v>#REF!</v>
      </c>
      <c r="W7" s="17">
        <f t="shared" si="2"/>
        <v>38775.949999999997</v>
      </c>
      <c r="Y7" s="17">
        <f t="shared" ref="Y7:AP7" si="3">SUM(Y4:Y6)</f>
        <v>39880.43</v>
      </c>
      <c r="Z7" s="17" t="e">
        <f t="shared" si="3"/>
        <v>#REF!</v>
      </c>
      <c r="AA7" s="17">
        <f t="shared" si="3"/>
        <v>41245.43</v>
      </c>
      <c r="AB7" s="17">
        <f t="shared" si="3"/>
        <v>39415.960000000006</v>
      </c>
      <c r="AC7" s="17" t="e">
        <f t="shared" si="3"/>
        <v>#REF!</v>
      </c>
      <c r="AD7" s="17">
        <f t="shared" si="3"/>
        <v>42429.600000000006</v>
      </c>
      <c r="AE7" s="182">
        <f t="shared" si="3"/>
        <v>39437.61</v>
      </c>
      <c r="AF7" s="17">
        <f t="shared" si="3"/>
        <v>40626.19</v>
      </c>
      <c r="AG7" s="17">
        <f t="shared" si="3"/>
        <v>44146.75</v>
      </c>
      <c r="AH7" s="17">
        <f t="shared" si="3"/>
        <v>46074.38</v>
      </c>
      <c r="AI7" s="17">
        <f t="shared" si="3"/>
        <v>46376.38</v>
      </c>
      <c r="AJ7" s="17">
        <f t="shared" si="3"/>
        <v>48385</v>
      </c>
      <c r="AK7" s="17">
        <f t="shared" si="3"/>
        <v>49908.920000000006</v>
      </c>
      <c r="AL7" s="17">
        <f t="shared" si="3"/>
        <v>48309.55</v>
      </c>
      <c r="AM7" s="17">
        <f t="shared" si="3"/>
        <v>52398.270000000004</v>
      </c>
      <c r="AN7" s="17">
        <f t="shared" si="3"/>
        <v>52585.950000000004</v>
      </c>
      <c r="AO7" s="17">
        <f t="shared" si="3"/>
        <v>53149.55</v>
      </c>
      <c r="AP7" s="17">
        <f t="shared" si="3"/>
        <v>51718.96</v>
      </c>
    </row>
    <row r="8" spans="1:53" ht="35.25" customHeight="1" x14ac:dyDescent="0.25">
      <c r="A8" s="7"/>
      <c r="C8" s="4"/>
      <c r="E8" s="4"/>
      <c r="F8" s="238" t="s">
        <v>156</v>
      </c>
      <c r="G8" s="238"/>
      <c r="H8" s="47"/>
      <c r="I8" s="59" t="s">
        <v>194</v>
      </c>
      <c r="J8" s="4"/>
      <c r="K8" s="4"/>
      <c r="L8" s="62" t="s">
        <v>201</v>
      </c>
      <c r="M8" s="62"/>
      <c r="N8" s="4"/>
      <c r="O8" s="73" t="s">
        <v>238</v>
      </c>
      <c r="P8" s="4"/>
      <c r="Q8" s="4"/>
      <c r="T8" s="5"/>
      <c r="AE8" s="5">
        <f>AE7-AP7</f>
        <v>-12281.349999999999</v>
      </c>
    </row>
    <row r="9" spans="1:53" x14ac:dyDescent="0.25">
      <c r="AC9" s="5"/>
    </row>
    <row r="10" spans="1:53" x14ac:dyDescent="0.25">
      <c r="A10" s="23" t="s">
        <v>50</v>
      </c>
      <c r="B10" s="22" t="s">
        <v>49</v>
      </c>
      <c r="C10" s="23" t="s">
        <v>68</v>
      </c>
      <c r="D10" s="22" t="s">
        <v>69</v>
      </c>
      <c r="E10" s="23" t="s">
        <v>47</v>
      </c>
      <c r="F10" s="23" t="s">
        <v>71</v>
      </c>
      <c r="AC10" s="4"/>
    </row>
    <row r="11" spans="1:53" x14ac:dyDescent="0.25">
      <c r="A11" s="2" t="s">
        <v>36</v>
      </c>
      <c r="C11" s="4"/>
      <c r="E11" s="4"/>
      <c r="M11" s="5"/>
      <c r="AB11" s="5"/>
      <c r="AC11" s="5"/>
    </row>
    <row r="12" spans="1:53" x14ac:dyDescent="0.25">
      <c r="A12" s="1" t="s">
        <v>37</v>
      </c>
      <c r="B12" s="4">
        <v>2894.7</v>
      </c>
      <c r="C12" s="4">
        <v>78</v>
      </c>
      <c r="E12" s="4"/>
      <c r="M12" s="5"/>
    </row>
    <row r="13" spans="1:53" x14ac:dyDescent="0.25">
      <c r="A13" s="1" t="s">
        <v>38</v>
      </c>
      <c r="B13" s="4">
        <v>1694.62</v>
      </c>
      <c r="C13" s="4">
        <v>53</v>
      </c>
      <c r="E13" s="4"/>
    </row>
    <row r="14" spans="1:53" x14ac:dyDescent="0.25">
      <c r="A14" s="1" t="s">
        <v>41</v>
      </c>
      <c r="B14" s="4">
        <v>0</v>
      </c>
      <c r="C14" s="4">
        <v>0</v>
      </c>
      <c r="E14" s="4"/>
    </row>
    <row r="15" spans="1:53" x14ac:dyDescent="0.25">
      <c r="A15" s="1" t="s">
        <v>43</v>
      </c>
      <c r="B15" s="4">
        <v>14751.19</v>
      </c>
      <c r="C15" s="4">
        <v>435</v>
      </c>
      <c r="E15" s="4"/>
    </row>
    <row r="16" spans="1:53" x14ac:dyDescent="0.25">
      <c r="B16" s="4">
        <f>SUM(B12:B15)</f>
        <v>19340.510000000002</v>
      </c>
      <c r="C16" s="4"/>
      <c r="E16" s="4"/>
    </row>
    <row r="17" spans="1:10" x14ac:dyDescent="0.25">
      <c r="A17" s="2" t="s">
        <v>67</v>
      </c>
      <c r="C17" s="4"/>
      <c r="E17" s="4"/>
      <c r="J17" s="1">
        <f>9095+1904.74</f>
        <v>10999.74</v>
      </c>
    </row>
    <row r="18" spans="1:10" x14ac:dyDescent="0.25">
      <c r="A18" s="2" t="s">
        <v>45</v>
      </c>
      <c r="C18" s="4"/>
      <c r="E18" s="4"/>
    </row>
    <row r="19" spans="1:10" x14ac:dyDescent="0.25">
      <c r="A19" s="1" t="s">
        <v>46</v>
      </c>
      <c r="B19" s="4">
        <v>3061.32</v>
      </c>
      <c r="C19" s="4">
        <v>99.93</v>
      </c>
      <c r="E19" s="4">
        <v>5300</v>
      </c>
      <c r="F19" s="4"/>
    </row>
    <row r="20" spans="1:10" x14ac:dyDescent="0.25">
      <c r="A20" s="1" t="s">
        <v>66</v>
      </c>
      <c r="B20" s="4">
        <f>40000*(1-0.022)</f>
        <v>39120</v>
      </c>
      <c r="C20" s="4">
        <v>836</v>
      </c>
      <c r="D20" s="4" t="s">
        <v>70</v>
      </c>
      <c r="E20" s="4">
        <v>40000</v>
      </c>
    </row>
    <row r="21" spans="1:10" x14ac:dyDescent="0.25">
      <c r="A21" s="1" t="s">
        <v>72</v>
      </c>
      <c r="B21" s="4">
        <v>9730</v>
      </c>
      <c r="C21" s="4">
        <v>290</v>
      </c>
      <c r="E21" s="4">
        <v>13350</v>
      </c>
    </row>
    <row r="22" spans="1:10" x14ac:dyDescent="0.25">
      <c r="A22" s="1" t="s">
        <v>75</v>
      </c>
      <c r="B22" s="4">
        <v>7562</v>
      </c>
      <c r="C22" s="4">
        <v>262</v>
      </c>
      <c r="D22" s="4" t="s">
        <v>19</v>
      </c>
      <c r="E22" s="4">
        <v>6600</v>
      </c>
    </row>
    <row r="23" spans="1:10" x14ac:dyDescent="0.25">
      <c r="A23" s="1" t="s">
        <v>76</v>
      </c>
      <c r="B23" s="4">
        <v>2693</v>
      </c>
      <c r="C23" s="4">
        <v>70</v>
      </c>
      <c r="D23" s="4" t="s">
        <v>77</v>
      </c>
      <c r="E23" s="4">
        <v>6900</v>
      </c>
    </row>
    <row r="24" spans="1:10" x14ac:dyDescent="0.25">
      <c r="A24" s="1" t="s">
        <v>78</v>
      </c>
      <c r="B24" s="4">
        <v>2463</v>
      </c>
      <c r="C24" s="4">
        <v>82</v>
      </c>
      <c r="D24" s="4" t="s">
        <v>79</v>
      </c>
      <c r="E24" s="4">
        <v>7500</v>
      </c>
    </row>
    <row r="25" spans="1:10" x14ac:dyDescent="0.25">
      <c r="A25" s="1" t="s">
        <v>80</v>
      </c>
      <c r="B25" s="4">
        <v>2033</v>
      </c>
      <c r="C25" s="4">
        <v>69</v>
      </c>
      <c r="D25" s="4" t="s">
        <v>81</v>
      </c>
      <c r="E25" s="4">
        <v>6500</v>
      </c>
    </row>
    <row r="26" spans="1:10" x14ac:dyDescent="0.25">
      <c r="A26" s="1" t="s">
        <v>82</v>
      </c>
      <c r="B26" s="4">
        <v>18</v>
      </c>
      <c r="C26" s="4">
        <v>18</v>
      </c>
      <c r="D26" s="4" t="s">
        <v>6</v>
      </c>
      <c r="E26" s="4">
        <v>14500</v>
      </c>
    </row>
    <row r="27" spans="1:10" x14ac:dyDescent="0.25">
      <c r="B27" s="4">
        <f>SUM(B19:B26)</f>
        <v>66680.320000000007</v>
      </c>
      <c r="C27" s="4">
        <f>SUM(C19:C26)</f>
        <v>1726.93</v>
      </c>
      <c r="E27" s="4"/>
    </row>
    <row r="28" spans="1:10" x14ac:dyDescent="0.25">
      <c r="E28" s="4"/>
    </row>
  </sheetData>
  <mergeCells count="1">
    <mergeCell ref="F8:G8"/>
  </mergeCells>
  <conditionalFormatting sqref="H1:H1048576 L1:L1048576">
    <cfRule type="cellIs" dxfId="38" priority="3" operator="lessThan">
      <formula>0</formula>
    </cfRule>
  </conditionalFormatting>
  <conditionalFormatting sqref="M8">
    <cfRule type="cellIs" dxfId="37" priority="1" operator="lessThan">
      <formula>0</formula>
    </cfRule>
  </conditionalFormatting>
  <pageMargins left="0.7" right="0.7" top="0.75" bottom="0.75" header="0.3" footer="0.3"/>
  <pageSetup orientation="portrait" verticalDpi="300" copies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6AB9-C602-4ACD-8A71-DB1FEAF7B6B5}">
  <dimension ref="A1:AJ126"/>
  <sheetViews>
    <sheetView topLeftCell="A25" zoomScale="80" zoomScaleNormal="80" workbookViewId="0">
      <selection activeCell="G29" sqref="G29"/>
    </sheetView>
  </sheetViews>
  <sheetFormatPr defaultRowHeight="15" x14ac:dyDescent="0.25"/>
  <cols>
    <col min="1" max="1" width="26.42578125" customWidth="1"/>
    <col min="2" max="2" width="19.85546875" bestFit="1" customWidth="1"/>
    <col min="3" max="3" width="15.28515625" bestFit="1" customWidth="1"/>
    <col min="4" max="4" width="31" customWidth="1"/>
    <col min="5" max="5" width="11.28515625" bestFit="1" customWidth="1"/>
    <col min="6" max="6" width="14.42578125" customWidth="1"/>
    <col min="7" max="7" width="11.28515625" bestFit="1" customWidth="1"/>
    <col min="10" max="10" width="17.42578125" customWidth="1"/>
    <col min="11" max="11" width="27.140625" bestFit="1" customWidth="1"/>
    <col min="12" max="12" width="15.85546875" customWidth="1"/>
    <col min="34" max="34" width="14.140625" customWidth="1"/>
  </cols>
  <sheetData>
    <row r="1" spans="1:31" x14ac:dyDescent="0.25">
      <c r="A1" s="183"/>
      <c r="F1" s="51"/>
    </row>
    <row r="2" spans="1:31" x14ac:dyDescent="0.25">
      <c r="B2" s="58"/>
      <c r="K2" s="70"/>
    </row>
    <row r="3" spans="1:31" x14ac:dyDescent="0.25">
      <c r="F3" s="2"/>
      <c r="G3" s="4"/>
    </row>
    <row r="4" spans="1:31" x14ac:dyDescent="0.25">
      <c r="A4" s="239"/>
      <c r="B4" s="239"/>
      <c r="C4" s="239"/>
      <c r="G4" s="58"/>
    </row>
    <row r="5" spans="1:31" x14ac:dyDescent="0.25">
      <c r="B5" s="53"/>
      <c r="D5" s="112"/>
      <c r="E5" s="53"/>
      <c r="G5" s="58"/>
      <c r="AE5" t="s">
        <v>732</v>
      </c>
    </row>
    <row r="6" spans="1:31" x14ac:dyDescent="0.25">
      <c r="B6" s="53"/>
      <c r="D6" s="112"/>
      <c r="E6" s="53"/>
    </row>
    <row r="9" spans="1:31" x14ac:dyDescent="0.25">
      <c r="A9" s="54"/>
      <c r="B9" s="58"/>
    </row>
    <row r="12" spans="1:31" x14ac:dyDescent="0.25">
      <c r="B12" s="58"/>
    </row>
    <row r="13" spans="1:31" x14ac:dyDescent="0.25">
      <c r="B13" s="70"/>
      <c r="C13" s="70"/>
      <c r="D13" s="128"/>
      <c r="E13" s="70"/>
      <c r="F13" s="70"/>
    </row>
    <row r="14" spans="1:31" x14ac:dyDescent="0.25">
      <c r="A14" s="70"/>
      <c r="B14" s="53"/>
      <c r="C14" s="53"/>
      <c r="D14" s="53"/>
      <c r="E14" s="58"/>
      <c r="F14" s="58"/>
    </row>
    <row r="15" spans="1:31" x14ac:dyDescent="0.25">
      <c r="B15" s="53"/>
      <c r="C15" s="58"/>
      <c r="D15" s="58"/>
      <c r="E15" s="53"/>
      <c r="F15" s="53"/>
    </row>
    <row r="16" spans="1:31" x14ac:dyDescent="0.25">
      <c r="B16" s="53"/>
      <c r="C16" s="58"/>
      <c r="D16" s="58"/>
      <c r="E16" s="53"/>
      <c r="F16" s="53"/>
    </row>
    <row r="17" spans="1:6" x14ac:dyDescent="0.25">
      <c r="B17" s="175"/>
      <c r="C17" s="175"/>
      <c r="D17" s="175"/>
      <c r="E17" s="175"/>
      <c r="F17" s="175"/>
    </row>
    <row r="18" spans="1:6" x14ac:dyDescent="0.25">
      <c r="B18" s="53"/>
      <c r="C18" s="53"/>
      <c r="D18" s="53"/>
      <c r="E18" s="58"/>
      <c r="F18" s="58"/>
    </row>
    <row r="19" spans="1:6" x14ac:dyDescent="0.25">
      <c r="A19" s="112"/>
      <c r="B19" s="58"/>
      <c r="C19" s="126"/>
      <c r="D19" s="53"/>
    </row>
    <row r="20" spans="1:6" x14ac:dyDescent="0.25">
      <c r="B20" s="58"/>
      <c r="C20" s="58"/>
      <c r="D20" s="58"/>
      <c r="E20" s="58"/>
      <c r="F20" s="58"/>
    </row>
    <row r="21" spans="1:6" x14ac:dyDescent="0.25">
      <c r="A21" s="180"/>
      <c r="B21" s="181"/>
      <c r="C21" s="58"/>
      <c r="D21" s="176"/>
      <c r="E21" s="58"/>
      <c r="F21" s="58"/>
    </row>
    <row r="23" spans="1:6" x14ac:dyDescent="0.25">
      <c r="B23" s="53"/>
    </row>
    <row r="24" spans="1:6" x14ac:dyDescent="0.25">
      <c r="B24" s="53"/>
    </row>
    <row r="25" spans="1:6" x14ac:dyDescent="0.25">
      <c r="B25" s="58"/>
    </row>
    <row r="28" spans="1:6" x14ac:dyDescent="0.25">
      <c r="F28" s="53"/>
    </row>
    <row r="50" spans="34:36" x14ac:dyDescent="0.25">
      <c r="AH50" t="s">
        <v>733</v>
      </c>
      <c r="AJ50" s="167">
        <v>200</v>
      </c>
    </row>
    <row r="51" spans="34:36" x14ac:dyDescent="0.25">
      <c r="AH51" t="s">
        <v>734</v>
      </c>
      <c r="AJ51" s="167">
        <v>200</v>
      </c>
    </row>
    <row r="52" spans="34:36" x14ac:dyDescent="0.25">
      <c r="AH52" t="s">
        <v>735</v>
      </c>
      <c r="AI52" t="s">
        <v>736</v>
      </c>
    </row>
    <row r="87" spans="34:36" x14ac:dyDescent="0.25">
      <c r="AH87" t="s">
        <v>733</v>
      </c>
      <c r="AJ87">
        <v>200</v>
      </c>
    </row>
    <row r="88" spans="34:36" x14ac:dyDescent="0.25">
      <c r="AH88" t="s">
        <v>734</v>
      </c>
      <c r="AJ88" s="167">
        <v>150</v>
      </c>
    </row>
    <row r="89" spans="34:36" x14ac:dyDescent="0.25">
      <c r="AH89" t="s">
        <v>735</v>
      </c>
      <c r="AJ89" t="s">
        <v>737</v>
      </c>
    </row>
    <row r="124" spans="32:34" x14ac:dyDescent="0.25">
      <c r="AF124" t="s">
        <v>733</v>
      </c>
      <c r="AH124" s="167">
        <v>100</v>
      </c>
    </row>
    <row r="125" spans="32:34" x14ac:dyDescent="0.25">
      <c r="AF125" t="s">
        <v>734</v>
      </c>
      <c r="AH125" t="s">
        <v>738</v>
      </c>
    </row>
    <row r="126" spans="32:34" x14ac:dyDescent="0.25">
      <c r="AF126" t="s">
        <v>735</v>
      </c>
      <c r="AH126" t="s">
        <v>737</v>
      </c>
    </row>
  </sheetData>
  <mergeCells count="1">
    <mergeCell ref="A4:C4"/>
  </mergeCells>
  <conditionalFormatting sqref="D16">
    <cfRule type="cellIs" dxfId="36" priority="6" operator="lessThan">
      <formula>0</formula>
    </cfRule>
  </conditionalFormatting>
  <pageMargins left="0.7" right="0.7" top="0.75" bottom="0.75" header="0.3" footer="0.3"/>
  <pageSetup paperSize="9" orientation="portrait" horizontalDpi="300" verticalDpi="30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F41B3-1D36-410C-9C59-C7FD6A226AA6}">
  <dimension ref="A2:K32"/>
  <sheetViews>
    <sheetView topLeftCell="A27" workbookViewId="0">
      <selection activeCell="O5" sqref="O5"/>
    </sheetView>
  </sheetViews>
  <sheetFormatPr defaultRowHeight="15" x14ac:dyDescent="0.25"/>
  <cols>
    <col min="1" max="1" width="20" customWidth="1"/>
    <col min="2" max="2" width="14" bestFit="1" customWidth="1"/>
    <col min="3" max="3" width="15.5703125" bestFit="1" customWidth="1"/>
    <col min="4" max="4" width="12.140625" bestFit="1" customWidth="1"/>
    <col min="5" max="5" width="9.85546875" bestFit="1" customWidth="1"/>
    <col min="7" max="7" width="25.42578125" customWidth="1"/>
    <col min="8" max="8" width="23.5703125" bestFit="1" customWidth="1"/>
    <col min="9" max="9" width="16.42578125" bestFit="1" customWidth="1"/>
    <col min="10" max="10" width="15.42578125" customWidth="1"/>
  </cols>
  <sheetData>
    <row r="2" spans="1:9" ht="23.25" x14ac:dyDescent="0.35">
      <c r="A2" s="211" t="s">
        <v>906</v>
      </c>
    </row>
    <row r="3" spans="1:9" x14ac:dyDescent="0.25">
      <c r="B3" s="51" t="s">
        <v>915</v>
      </c>
      <c r="E3" s="51" t="s">
        <v>916</v>
      </c>
      <c r="H3" s="51" t="s">
        <v>958</v>
      </c>
    </row>
    <row r="4" spans="1:9" x14ac:dyDescent="0.25">
      <c r="A4" s="212" t="s">
        <v>907</v>
      </c>
      <c r="B4" s="212">
        <v>45770</v>
      </c>
      <c r="C4" t="s">
        <v>917</v>
      </c>
      <c r="D4" s="212"/>
      <c r="E4" s="212">
        <v>45777</v>
      </c>
      <c r="G4" t="s">
        <v>913</v>
      </c>
      <c r="H4" s="50">
        <v>45432</v>
      </c>
      <c r="I4" t="s">
        <v>917</v>
      </c>
    </row>
    <row r="5" spans="1:9" x14ac:dyDescent="0.25">
      <c r="A5" s="212" t="s">
        <v>908</v>
      </c>
      <c r="B5" s="212">
        <v>45771</v>
      </c>
      <c r="C5" t="s">
        <v>918</v>
      </c>
      <c r="D5" s="212"/>
      <c r="E5" s="212">
        <v>45778</v>
      </c>
      <c r="G5" t="s">
        <v>914</v>
      </c>
      <c r="H5" s="50">
        <v>45433</v>
      </c>
      <c r="I5" t="s">
        <v>918</v>
      </c>
    </row>
    <row r="6" spans="1:9" x14ac:dyDescent="0.25">
      <c r="A6" s="212" t="s">
        <v>909</v>
      </c>
      <c r="B6" s="212">
        <v>45772</v>
      </c>
      <c r="C6" t="s">
        <v>937</v>
      </c>
      <c r="D6" s="212"/>
      <c r="E6" s="212">
        <v>45779</v>
      </c>
      <c r="G6" t="s">
        <v>908</v>
      </c>
      <c r="H6" s="50">
        <v>45434</v>
      </c>
      <c r="I6" t="s">
        <v>937</v>
      </c>
    </row>
    <row r="7" spans="1:9" x14ac:dyDescent="0.25">
      <c r="A7" s="212" t="s">
        <v>910</v>
      </c>
      <c r="B7" s="212">
        <v>45773</v>
      </c>
      <c r="C7" t="s">
        <v>937</v>
      </c>
      <c r="D7" s="212"/>
      <c r="E7" s="212">
        <v>45780</v>
      </c>
      <c r="G7" t="s">
        <v>909</v>
      </c>
      <c r="H7" s="50">
        <v>45435</v>
      </c>
      <c r="I7" t="s">
        <v>937</v>
      </c>
    </row>
    <row r="8" spans="1:9" x14ac:dyDescent="0.25">
      <c r="A8" s="212" t="s">
        <v>911</v>
      </c>
      <c r="B8" s="212">
        <v>45774</v>
      </c>
      <c r="C8" t="s">
        <v>937</v>
      </c>
      <c r="D8" s="212"/>
      <c r="E8" s="212">
        <v>45781</v>
      </c>
      <c r="G8" t="s">
        <v>910</v>
      </c>
      <c r="H8" s="50">
        <v>45436</v>
      </c>
      <c r="I8" t="s">
        <v>937</v>
      </c>
    </row>
    <row r="9" spans="1:9" x14ac:dyDescent="0.25">
      <c r="A9" s="212" t="s">
        <v>912</v>
      </c>
      <c r="B9" s="212">
        <v>45775</v>
      </c>
      <c r="C9" t="s">
        <v>937</v>
      </c>
      <c r="D9" s="212"/>
      <c r="E9" s="212">
        <v>45782</v>
      </c>
      <c r="G9" t="s">
        <v>911</v>
      </c>
      <c r="H9" s="50">
        <v>45437</v>
      </c>
      <c r="I9" t="s">
        <v>937</v>
      </c>
    </row>
    <row r="10" spans="1:9" x14ac:dyDescent="0.25">
      <c r="A10" s="212" t="s">
        <v>913</v>
      </c>
      <c r="B10" s="212">
        <v>45776</v>
      </c>
      <c r="C10" t="s">
        <v>939</v>
      </c>
      <c r="D10" s="212"/>
      <c r="E10" s="212">
        <v>45783</v>
      </c>
      <c r="G10" t="s">
        <v>912</v>
      </c>
      <c r="H10" s="223" t="s">
        <v>969</v>
      </c>
      <c r="I10" t="s">
        <v>975</v>
      </c>
    </row>
    <row r="11" spans="1:9" x14ac:dyDescent="0.25">
      <c r="A11" s="212" t="s">
        <v>914</v>
      </c>
      <c r="B11" s="212">
        <v>45777</v>
      </c>
      <c r="D11" s="212"/>
      <c r="E11" s="212">
        <v>45784</v>
      </c>
      <c r="G11" t="s">
        <v>913</v>
      </c>
      <c r="H11" s="50">
        <v>45439</v>
      </c>
      <c r="I11" t="s">
        <v>976</v>
      </c>
    </row>
    <row r="12" spans="1:9" x14ac:dyDescent="0.25">
      <c r="A12" s="212" t="s">
        <v>908</v>
      </c>
      <c r="B12" s="212">
        <v>45778</v>
      </c>
      <c r="D12" s="212"/>
      <c r="E12" s="212">
        <v>45785</v>
      </c>
      <c r="G12" t="s">
        <v>914</v>
      </c>
      <c r="H12" s="50">
        <v>45440</v>
      </c>
      <c r="I12" t="s">
        <v>977</v>
      </c>
    </row>
    <row r="13" spans="1:9" x14ac:dyDescent="0.25">
      <c r="A13" s="212" t="s">
        <v>909</v>
      </c>
      <c r="B13" s="212">
        <v>45779</v>
      </c>
      <c r="D13" s="212"/>
      <c r="E13" s="212">
        <v>45786</v>
      </c>
      <c r="G13" t="s">
        <v>908</v>
      </c>
      <c r="H13" s="50">
        <v>45441</v>
      </c>
      <c r="I13" t="s">
        <v>978</v>
      </c>
    </row>
    <row r="14" spans="1:9" x14ac:dyDescent="0.25">
      <c r="A14" s="212" t="s">
        <v>910</v>
      </c>
      <c r="B14" s="212">
        <v>45780</v>
      </c>
      <c r="C14" t="s">
        <v>938</v>
      </c>
      <c r="D14" s="212"/>
      <c r="E14" s="212">
        <v>45787</v>
      </c>
      <c r="G14" t="s">
        <v>909</v>
      </c>
      <c r="H14" s="50">
        <v>45442</v>
      </c>
    </row>
    <row r="15" spans="1:9" x14ac:dyDescent="0.25">
      <c r="A15" s="212"/>
      <c r="B15" s="212"/>
      <c r="D15" s="212"/>
      <c r="E15" s="212"/>
      <c r="G15" t="s">
        <v>910</v>
      </c>
      <c r="H15" s="50">
        <v>45443</v>
      </c>
      <c r="I15" t="s">
        <v>938</v>
      </c>
    </row>
    <row r="16" spans="1:9" x14ac:dyDescent="0.25">
      <c r="B16" s="212"/>
      <c r="C16" s="213" t="s">
        <v>920</v>
      </c>
      <c r="D16" s="240" t="s">
        <v>921</v>
      </c>
      <c r="E16" s="240"/>
    </row>
    <row r="17" spans="1:11" x14ac:dyDescent="0.25">
      <c r="A17" s="212" t="s">
        <v>922</v>
      </c>
      <c r="B17" t="s">
        <v>919</v>
      </c>
      <c r="C17" t="s">
        <v>930</v>
      </c>
      <c r="D17" t="s">
        <v>928</v>
      </c>
      <c r="E17" s="126"/>
      <c r="I17" s="213" t="s">
        <v>959</v>
      </c>
      <c r="J17" s="221" t="s">
        <v>960</v>
      </c>
      <c r="K17" s="221"/>
    </row>
    <row r="18" spans="1:11" x14ac:dyDescent="0.25">
      <c r="A18" s="212" t="s">
        <v>918</v>
      </c>
      <c r="B18" t="s">
        <v>932</v>
      </c>
      <c r="D18" t="s">
        <v>933</v>
      </c>
      <c r="E18" t="s">
        <v>934</v>
      </c>
      <c r="G18" s="222" t="s">
        <v>917</v>
      </c>
      <c r="H18" t="s">
        <v>919</v>
      </c>
      <c r="I18" t="s">
        <v>961</v>
      </c>
      <c r="J18" t="s">
        <v>962</v>
      </c>
    </row>
    <row r="19" spans="1:11" x14ac:dyDescent="0.25">
      <c r="G19" s="212" t="s">
        <v>918</v>
      </c>
      <c r="H19" t="s">
        <v>968</v>
      </c>
      <c r="I19" t="s">
        <v>966</v>
      </c>
      <c r="J19" t="s">
        <v>967</v>
      </c>
    </row>
    <row r="20" spans="1:11" x14ac:dyDescent="0.25">
      <c r="A20" t="s">
        <v>923</v>
      </c>
    </row>
    <row r="21" spans="1:11" x14ac:dyDescent="0.25">
      <c r="G21" t="s">
        <v>970</v>
      </c>
      <c r="H21" t="s">
        <v>972</v>
      </c>
      <c r="I21" t="s">
        <v>973</v>
      </c>
      <c r="J21" t="s">
        <v>974</v>
      </c>
    </row>
    <row r="22" spans="1:11" x14ac:dyDescent="0.25">
      <c r="A22" t="s">
        <v>924</v>
      </c>
    </row>
    <row r="23" spans="1:11" x14ac:dyDescent="0.25">
      <c r="C23" s="213" t="s">
        <v>929</v>
      </c>
      <c r="D23" s="213" t="s">
        <v>929</v>
      </c>
      <c r="I23" s="213" t="s">
        <v>965</v>
      </c>
      <c r="J23" s="213" t="s">
        <v>965</v>
      </c>
    </row>
    <row r="24" spans="1:11" x14ac:dyDescent="0.25">
      <c r="A24" t="s">
        <v>925</v>
      </c>
      <c r="B24" t="s">
        <v>919</v>
      </c>
      <c r="C24" t="s">
        <v>926</v>
      </c>
      <c r="D24" t="s">
        <v>927</v>
      </c>
      <c r="G24" t="s">
        <v>925</v>
      </c>
      <c r="H24" t="s">
        <v>919</v>
      </c>
      <c r="I24" t="s">
        <v>963</v>
      </c>
      <c r="J24" t="s">
        <v>964</v>
      </c>
    </row>
    <row r="27" spans="1:11" x14ac:dyDescent="0.25">
      <c r="A27" t="s">
        <v>931</v>
      </c>
      <c r="B27" s="53">
        <v>1116.42</v>
      </c>
      <c r="G27" t="s">
        <v>931</v>
      </c>
      <c r="H27" s="53">
        <v>1396.42</v>
      </c>
    </row>
    <row r="28" spans="1:11" x14ac:dyDescent="0.25">
      <c r="A28" s="212" t="s">
        <v>935</v>
      </c>
      <c r="B28" s="53">
        <f>170*2</f>
        <v>340</v>
      </c>
      <c r="G28" s="212" t="s">
        <v>971</v>
      </c>
      <c r="H28" s="53">
        <v>771.2</v>
      </c>
    </row>
    <row r="29" spans="1:11" x14ac:dyDescent="0.25">
      <c r="B29" s="214">
        <f>SUM(B27:B28)</f>
        <v>1456.42</v>
      </c>
      <c r="H29" s="214">
        <f>SUM(H27:H28)</f>
        <v>2167.62</v>
      </c>
    </row>
    <row r="30" spans="1:11" x14ac:dyDescent="0.25">
      <c r="C30" s="132" t="s">
        <v>789</v>
      </c>
    </row>
    <row r="31" spans="1:11" x14ac:dyDescent="0.25">
      <c r="A31" s="51" t="s">
        <v>936</v>
      </c>
      <c r="B31" s="53">
        <v>722.11</v>
      </c>
      <c r="C31" s="55">
        <f>B31*2</f>
        <v>1444.22</v>
      </c>
    </row>
    <row r="32" spans="1:11" x14ac:dyDescent="0.25">
      <c r="A32" s="51"/>
      <c r="B32" s="53"/>
      <c r="C32" s="53"/>
    </row>
  </sheetData>
  <mergeCells count="1">
    <mergeCell ref="D16:E16"/>
  </mergeCells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B963E-3038-4682-8D01-9ED4369057BE}">
  <dimension ref="A2:O93"/>
  <sheetViews>
    <sheetView topLeftCell="A71" zoomScaleNormal="100" workbookViewId="0">
      <selection activeCell="D5" sqref="D5"/>
    </sheetView>
  </sheetViews>
  <sheetFormatPr defaultRowHeight="15" x14ac:dyDescent="0.25"/>
  <cols>
    <col min="1" max="1" width="62.28515625" customWidth="1"/>
    <col min="2" max="2" width="38.140625" bestFit="1" customWidth="1"/>
    <col min="3" max="3" width="38.42578125" bestFit="1" customWidth="1"/>
    <col min="4" max="4" width="55.42578125" customWidth="1"/>
    <col min="5" max="5" width="24.28515625" bestFit="1" customWidth="1"/>
    <col min="6" max="6" width="45.5703125" customWidth="1"/>
    <col min="7" max="7" width="32.7109375" bestFit="1" customWidth="1"/>
    <col min="8" max="8" width="53.28515625" bestFit="1" customWidth="1"/>
    <col min="9" max="9" width="63.140625" customWidth="1"/>
    <col min="10" max="11" width="21.5703125" bestFit="1" customWidth="1"/>
    <col min="12" max="12" width="25.28515625" bestFit="1" customWidth="1"/>
    <col min="13" max="13" width="27.5703125" customWidth="1"/>
    <col min="14" max="14" width="24.5703125" customWidth="1"/>
  </cols>
  <sheetData>
    <row r="2" spans="1:15" s="132" customFormat="1" x14ac:dyDescent="0.25">
      <c r="A2" s="52" t="s">
        <v>557</v>
      </c>
      <c r="B2" s="52" t="s">
        <v>558</v>
      </c>
      <c r="C2" s="52" t="s">
        <v>559</v>
      </c>
      <c r="D2" s="52" t="s">
        <v>560</v>
      </c>
      <c r="E2" s="52" t="s">
        <v>561</v>
      </c>
      <c r="F2" s="52" t="s">
        <v>562</v>
      </c>
      <c r="G2" s="52" t="s">
        <v>563</v>
      </c>
      <c r="H2" s="52" t="s">
        <v>564</v>
      </c>
      <c r="I2" s="52" t="s">
        <v>565</v>
      </c>
      <c r="J2" s="52" t="s">
        <v>566</v>
      </c>
      <c r="K2" s="52" t="s">
        <v>567</v>
      </c>
      <c r="L2" s="52" t="s">
        <v>568</v>
      </c>
      <c r="M2" s="52" t="s">
        <v>569</v>
      </c>
      <c r="N2" s="52" t="s">
        <v>570</v>
      </c>
    </row>
    <row r="3" spans="1:15" x14ac:dyDescent="0.25">
      <c r="A3" s="134" t="s">
        <v>573</v>
      </c>
      <c r="B3" s="134" t="s">
        <v>575</v>
      </c>
      <c r="C3" s="136" t="s">
        <v>577</v>
      </c>
      <c r="D3" s="136" t="s">
        <v>578</v>
      </c>
      <c r="E3" s="137" t="s">
        <v>710</v>
      </c>
      <c r="F3" s="137" t="s">
        <v>579</v>
      </c>
      <c r="G3" s="137" t="s">
        <v>712</v>
      </c>
      <c r="H3" s="137" t="s">
        <v>580</v>
      </c>
      <c r="I3" s="138" t="s">
        <v>711</v>
      </c>
      <c r="J3" s="138" t="s">
        <v>582</v>
      </c>
      <c r="K3" s="139" t="s">
        <v>583</v>
      </c>
      <c r="L3" s="140" t="s">
        <v>584</v>
      </c>
      <c r="M3" s="136" t="s">
        <v>577</v>
      </c>
      <c r="N3" s="133" t="s">
        <v>571</v>
      </c>
    </row>
    <row r="4" spans="1:15" x14ac:dyDescent="0.25">
      <c r="A4" t="s">
        <v>574</v>
      </c>
      <c r="B4" s="132" t="s">
        <v>576</v>
      </c>
      <c r="D4" s="153" t="s">
        <v>707</v>
      </c>
      <c r="F4" s="153" t="s">
        <v>713</v>
      </c>
      <c r="G4" s="153" t="s">
        <v>714</v>
      </c>
      <c r="I4" s="76" t="s">
        <v>615</v>
      </c>
      <c r="N4" s="132" t="s">
        <v>572</v>
      </c>
    </row>
    <row r="5" spans="1:15" s="145" customFormat="1" ht="30" x14ac:dyDescent="0.25">
      <c r="D5" s="162" t="s">
        <v>708</v>
      </c>
      <c r="F5" s="146" t="s">
        <v>662</v>
      </c>
      <c r="G5" s="164" t="s">
        <v>716</v>
      </c>
      <c r="I5" s="163" t="s">
        <v>634</v>
      </c>
    </row>
    <row r="6" spans="1:15" ht="30" x14ac:dyDescent="0.25">
      <c r="F6" s="144" t="s">
        <v>666</v>
      </c>
      <c r="I6" s="76" t="s">
        <v>616</v>
      </c>
    </row>
    <row r="7" spans="1:15" x14ac:dyDescent="0.25">
      <c r="A7" s="245" t="s">
        <v>740</v>
      </c>
      <c r="B7" s="245"/>
      <c r="C7" s="245"/>
      <c r="D7" s="245"/>
      <c r="H7" s="153" t="s">
        <v>637</v>
      </c>
      <c r="I7" s="76" t="s">
        <v>617</v>
      </c>
    </row>
    <row r="8" spans="1:15" ht="45" x14ac:dyDescent="0.25">
      <c r="A8" s="168"/>
      <c r="B8" s="168"/>
      <c r="C8" s="168"/>
      <c r="D8" s="168"/>
      <c r="F8" s="157" t="s">
        <v>660</v>
      </c>
      <c r="G8" s="165" t="s">
        <v>717</v>
      </c>
      <c r="H8" s="144" t="s">
        <v>638</v>
      </c>
      <c r="I8" s="156" t="s">
        <v>657</v>
      </c>
    </row>
    <row r="9" spans="1:15" ht="30" x14ac:dyDescent="0.25">
      <c r="A9" s="171"/>
      <c r="B9" s="169"/>
      <c r="C9" s="169"/>
      <c r="D9" s="169"/>
      <c r="H9" s="144" t="s">
        <v>639</v>
      </c>
      <c r="I9" s="156" t="s">
        <v>661</v>
      </c>
      <c r="N9" t="s">
        <v>663</v>
      </c>
    </row>
    <row r="10" spans="1:15" x14ac:dyDescent="0.25">
      <c r="A10" s="173"/>
      <c r="B10" s="169"/>
      <c r="C10" s="169"/>
      <c r="D10" s="169"/>
      <c r="H10" s="154"/>
      <c r="I10" s="156" t="s">
        <v>585</v>
      </c>
      <c r="N10" t="s">
        <v>709</v>
      </c>
      <c r="O10" s="53">
        <v>286</v>
      </c>
    </row>
    <row r="11" spans="1:15" x14ac:dyDescent="0.25">
      <c r="A11" s="170" t="s">
        <v>741</v>
      </c>
      <c r="B11" s="169"/>
      <c r="C11" s="169"/>
      <c r="D11" s="169"/>
      <c r="H11" s="142" t="s">
        <v>581</v>
      </c>
      <c r="N11" t="s">
        <v>664</v>
      </c>
      <c r="O11" s="53">
        <v>18.84</v>
      </c>
    </row>
    <row r="12" spans="1:15" x14ac:dyDescent="0.25">
      <c r="A12" s="170" t="s">
        <v>742</v>
      </c>
      <c r="B12" s="169"/>
      <c r="C12" s="169"/>
      <c r="D12" s="169"/>
      <c r="H12" s="24" t="s">
        <v>635</v>
      </c>
      <c r="N12" t="s">
        <v>715</v>
      </c>
      <c r="O12" s="53">
        <v>6.28</v>
      </c>
    </row>
    <row r="13" spans="1:15" x14ac:dyDescent="0.25">
      <c r="A13" s="170" t="s">
        <v>743</v>
      </c>
      <c r="B13" s="169"/>
      <c r="C13" s="169"/>
      <c r="D13" s="169"/>
      <c r="H13" s="141" t="s">
        <v>595</v>
      </c>
      <c r="N13" t="s">
        <v>665</v>
      </c>
      <c r="O13" s="53">
        <v>18.940000000000001</v>
      </c>
    </row>
    <row r="14" spans="1:15" x14ac:dyDescent="0.25">
      <c r="A14" s="170" t="s">
        <v>686</v>
      </c>
      <c r="B14" s="169"/>
      <c r="C14" s="169" t="s">
        <v>591</v>
      </c>
      <c r="D14" s="169"/>
      <c r="H14" s="24" t="s">
        <v>651</v>
      </c>
      <c r="O14" s="58">
        <f>SUM(O10:O13)</f>
        <v>330.05999999999995</v>
      </c>
    </row>
    <row r="15" spans="1:15" x14ac:dyDescent="0.25">
      <c r="A15" s="170" t="s">
        <v>744</v>
      </c>
      <c r="B15" s="169"/>
      <c r="C15" s="169"/>
      <c r="D15" s="169"/>
      <c r="H15" s="135" t="s">
        <v>640</v>
      </c>
    </row>
    <row r="16" spans="1:15" x14ac:dyDescent="0.25">
      <c r="A16" s="170"/>
      <c r="B16" s="169"/>
      <c r="C16" s="169"/>
      <c r="D16" s="169"/>
      <c r="H16" s="135"/>
    </row>
    <row r="17" spans="1:8" s="145" customFormat="1" x14ac:dyDescent="0.25">
      <c r="A17" s="174" t="s">
        <v>745</v>
      </c>
      <c r="B17" s="169"/>
      <c r="C17" s="169"/>
      <c r="D17" s="169"/>
      <c r="E17"/>
      <c r="G17" s="166" t="s">
        <v>721</v>
      </c>
      <c r="H17" s="159" t="s">
        <v>636</v>
      </c>
    </row>
    <row r="18" spans="1:8" x14ac:dyDescent="0.25">
      <c r="A18" s="170" t="s">
        <v>746</v>
      </c>
      <c r="B18" s="169"/>
      <c r="C18" s="169"/>
      <c r="D18" s="169"/>
      <c r="G18" t="s">
        <v>722</v>
      </c>
      <c r="H18" t="s">
        <v>641</v>
      </c>
    </row>
    <row r="19" spans="1:8" s="145" customFormat="1" x14ac:dyDescent="0.25">
      <c r="A19" s="170" t="s">
        <v>747</v>
      </c>
      <c r="B19" s="169"/>
      <c r="C19" s="169"/>
      <c r="D19" s="169"/>
      <c r="E19"/>
      <c r="F19"/>
      <c r="G19"/>
      <c r="H19" s="145" t="s">
        <v>643</v>
      </c>
    </row>
    <row r="20" spans="1:8" s="145" customFormat="1" x14ac:dyDescent="0.25">
      <c r="A20" s="170" t="s">
        <v>748</v>
      </c>
      <c r="B20" s="169"/>
      <c r="C20" s="169"/>
      <c r="D20" s="169"/>
      <c r="E20"/>
      <c r="F20"/>
      <c r="G20"/>
      <c r="H20" s="145" t="s">
        <v>645</v>
      </c>
    </row>
    <row r="21" spans="1:8" x14ac:dyDescent="0.25">
      <c r="A21" s="170" t="s">
        <v>749</v>
      </c>
      <c r="B21" s="169"/>
      <c r="C21" s="169"/>
      <c r="D21" s="169"/>
      <c r="H21" s="145" t="s">
        <v>650</v>
      </c>
    </row>
    <row r="22" spans="1:8" x14ac:dyDescent="0.25">
      <c r="A22" s="170" t="s">
        <v>750</v>
      </c>
      <c r="B22" s="169"/>
      <c r="C22" s="169"/>
      <c r="D22" s="169"/>
      <c r="H22" s="145" t="s">
        <v>646</v>
      </c>
    </row>
    <row r="23" spans="1:8" x14ac:dyDescent="0.25">
      <c r="A23" s="170" t="s">
        <v>751</v>
      </c>
      <c r="B23" s="169"/>
      <c r="C23" s="169"/>
      <c r="D23" s="169"/>
      <c r="H23" s="145" t="s">
        <v>644</v>
      </c>
    </row>
    <row r="24" spans="1:8" x14ac:dyDescent="0.25">
      <c r="A24" s="170" t="s">
        <v>752</v>
      </c>
      <c r="B24" s="169"/>
      <c r="C24" s="169"/>
      <c r="D24" s="169"/>
      <c r="H24" t="s">
        <v>642</v>
      </c>
    </row>
    <row r="25" spans="1:8" x14ac:dyDescent="0.25">
      <c r="A25" s="170"/>
      <c r="B25" s="169"/>
      <c r="C25" s="169"/>
      <c r="D25" s="169"/>
      <c r="H25" t="s">
        <v>593</v>
      </c>
    </row>
    <row r="26" spans="1:8" x14ac:dyDescent="0.25">
      <c r="A26" s="174" t="s">
        <v>754</v>
      </c>
      <c r="B26" s="169"/>
      <c r="C26" s="169"/>
      <c r="D26" s="169"/>
      <c r="H26" t="s">
        <v>594</v>
      </c>
    </row>
    <row r="27" spans="1:8" x14ac:dyDescent="0.25">
      <c r="A27" s="170" t="s">
        <v>755</v>
      </c>
      <c r="B27" s="169"/>
      <c r="C27" s="169"/>
      <c r="D27" s="169"/>
      <c r="H27" t="s">
        <v>598</v>
      </c>
    </row>
    <row r="28" spans="1:8" x14ac:dyDescent="0.25">
      <c r="A28" s="170" t="s">
        <v>756</v>
      </c>
      <c r="B28" s="169"/>
      <c r="C28" s="169"/>
      <c r="D28" s="169"/>
      <c r="H28" t="s">
        <v>614</v>
      </c>
    </row>
    <row r="29" spans="1:8" x14ac:dyDescent="0.25">
      <c r="A29" s="170"/>
      <c r="B29" s="169"/>
      <c r="C29" s="169"/>
      <c r="D29" s="169"/>
    </row>
    <row r="30" spans="1:8" x14ac:dyDescent="0.25">
      <c r="A30" s="170"/>
      <c r="B30" s="169"/>
      <c r="C30" s="169"/>
      <c r="D30" s="169"/>
      <c r="H30" s="145"/>
    </row>
    <row r="31" spans="1:8" x14ac:dyDescent="0.25">
      <c r="A31" s="170"/>
      <c r="B31" s="169"/>
      <c r="C31" s="169"/>
      <c r="D31" s="169"/>
      <c r="H31" s="145"/>
    </row>
    <row r="32" spans="1:8" x14ac:dyDescent="0.25">
      <c r="A32" s="170"/>
      <c r="B32" s="172"/>
      <c r="C32" s="172"/>
      <c r="D32" s="172"/>
      <c r="H32" s="145"/>
    </row>
    <row r="33" spans="1:7" x14ac:dyDescent="0.25">
      <c r="A33" s="141" t="s">
        <v>602</v>
      </c>
    </row>
    <row r="34" spans="1:7" x14ac:dyDescent="0.25">
      <c r="A34" s="76" t="s">
        <v>603</v>
      </c>
    </row>
    <row r="35" spans="1:7" x14ac:dyDescent="0.25">
      <c r="A35" s="76"/>
    </row>
    <row r="37" spans="1:7" ht="18.75" x14ac:dyDescent="0.3">
      <c r="A37" s="242" t="s">
        <v>619</v>
      </c>
      <c r="B37" s="242"/>
      <c r="C37" s="242"/>
      <c r="D37" s="242"/>
    </row>
    <row r="38" spans="1:7" x14ac:dyDescent="0.25">
      <c r="A38" t="s">
        <v>667</v>
      </c>
      <c r="B38" s="126">
        <v>1.5</v>
      </c>
      <c r="C38" t="s">
        <v>668</v>
      </c>
      <c r="E38" s="158" t="s">
        <v>675</v>
      </c>
      <c r="G38" s="145"/>
    </row>
    <row r="39" spans="1:7" ht="30" x14ac:dyDescent="0.25">
      <c r="A39" s="145" t="s">
        <v>669</v>
      </c>
      <c r="B39" t="s">
        <v>670</v>
      </c>
      <c r="C39" s="135" t="s">
        <v>629</v>
      </c>
      <c r="D39" s="144" t="s">
        <v>672</v>
      </c>
      <c r="G39" s="145"/>
    </row>
    <row r="40" spans="1:7" x14ac:dyDescent="0.25">
      <c r="A40" t="s">
        <v>671</v>
      </c>
      <c r="B40" t="s">
        <v>670</v>
      </c>
      <c r="C40" s="135" t="s">
        <v>629</v>
      </c>
      <c r="D40" s="144" t="s">
        <v>673</v>
      </c>
      <c r="E40" s="158" t="s">
        <v>679</v>
      </c>
    </row>
    <row r="41" spans="1:7" x14ac:dyDescent="0.25">
      <c r="A41" s="145" t="s">
        <v>674</v>
      </c>
      <c r="B41" s="145" t="s">
        <v>670</v>
      </c>
      <c r="C41" s="160" t="s">
        <v>629</v>
      </c>
      <c r="D41" s="155" t="s">
        <v>678</v>
      </c>
      <c r="E41" s="158" t="s">
        <v>679</v>
      </c>
      <c r="F41" s="145"/>
    </row>
    <row r="42" spans="1:7" x14ac:dyDescent="0.25">
      <c r="A42" t="s">
        <v>683</v>
      </c>
      <c r="B42" t="s">
        <v>684</v>
      </c>
      <c r="C42" s="135"/>
      <c r="D42" t="s">
        <v>685</v>
      </c>
      <c r="E42" s="158" t="s">
        <v>682</v>
      </c>
      <c r="F42" s="145"/>
    </row>
    <row r="43" spans="1:7" x14ac:dyDescent="0.25">
      <c r="A43" t="s">
        <v>680</v>
      </c>
      <c r="C43" s="135"/>
      <c r="D43" t="s">
        <v>681</v>
      </c>
      <c r="E43" s="158" t="s">
        <v>691</v>
      </c>
      <c r="F43" s="145"/>
    </row>
    <row r="44" spans="1:7" x14ac:dyDescent="0.25">
      <c r="A44" t="s">
        <v>689</v>
      </c>
      <c r="B44" t="s">
        <v>692</v>
      </c>
      <c r="C44" s="147">
        <v>3.95</v>
      </c>
      <c r="D44" t="s">
        <v>690</v>
      </c>
      <c r="F44" s="145"/>
    </row>
    <row r="45" spans="1:7" x14ac:dyDescent="0.25">
      <c r="A45" t="s">
        <v>686</v>
      </c>
      <c r="C45" s="135" t="s">
        <v>687</v>
      </c>
      <c r="D45" t="s">
        <v>693</v>
      </c>
      <c r="F45" s="145"/>
    </row>
    <row r="46" spans="1:7" x14ac:dyDescent="0.25">
      <c r="A46" t="s">
        <v>688</v>
      </c>
      <c r="B46" t="s">
        <v>694</v>
      </c>
      <c r="C46" s="135" t="s">
        <v>695</v>
      </c>
      <c r="D46" t="s">
        <v>696</v>
      </c>
      <c r="F46" s="145"/>
    </row>
    <row r="47" spans="1:7" x14ac:dyDescent="0.25">
      <c r="A47" t="s">
        <v>705</v>
      </c>
      <c r="B47" t="s">
        <v>704</v>
      </c>
      <c r="C47" s="161">
        <v>3.27</v>
      </c>
      <c r="D47" s="112" t="s">
        <v>706</v>
      </c>
      <c r="E47" s="158" t="s">
        <v>676</v>
      </c>
      <c r="F47" s="145"/>
    </row>
    <row r="48" spans="1:7" x14ac:dyDescent="0.25">
      <c r="A48" s="150" t="s">
        <v>652</v>
      </c>
      <c r="B48" s="145" t="s">
        <v>654</v>
      </c>
      <c r="C48" s="161">
        <v>3.27</v>
      </c>
      <c r="D48" s="155" t="s">
        <v>653</v>
      </c>
      <c r="E48" s="158" t="s">
        <v>677</v>
      </c>
      <c r="F48" s="145"/>
    </row>
    <row r="49" spans="1:5" ht="30" x14ac:dyDescent="0.25">
      <c r="A49" s="145" t="s">
        <v>655</v>
      </c>
      <c r="C49" s="135"/>
      <c r="D49" s="144" t="s">
        <v>656</v>
      </c>
    </row>
    <row r="50" spans="1:5" x14ac:dyDescent="0.25">
      <c r="A50" t="s">
        <v>699</v>
      </c>
    </row>
    <row r="51" spans="1:5" x14ac:dyDescent="0.25">
      <c r="A51" s="106" t="s">
        <v>697</v>
      </c>
      <c r="B51" s="106" t="s">
        <v>698</v>
      </c>
    </row>
    <row r="52" spans="1:5" x14ac:dyDescent="0.25">
      <c r="A52" s="106" t="s">
        <v>700</v>
      </c>
      <c r="B52" s="106" t="s">
        <v>698</v>
      </c>
      <c r="D52" t="s">
        <v>701</v>
      </c>
    </row>
    <row r="53" spans="1:5" x14ac:dyDescent="0.25">
      <c r="A53" s="106" t="s">
        <v>702</v>
      </c>
      <c r="B53" s="106" t="s">
        <v>698</v>
      </c>
      <c r="D53" t="s">
        <v>703</v>
      </c>
    </row>
    <row r="56" spans="1:5" x14ac:dyDescent="0.25">
      <c r="E56" s="145"/>
    </row>
    <row r="57" spans="1:5" x14ac:dyDescent="0.25">
      <c r="E57" s="145"/>
    </row>
    <row r="62" spans="1:5" x14ac:dyDescent="0.25">
      <c r="A62" s="243" t="s">
        <v>660</v>
      </c>
      <c r="B62" s="243"/>
      <c r="C62" s="243"/>
      <c r="D62" s="243"/>
    </row>
    <row r="64" spans="1:5" x14ac:dyDescent="0.25">
      <c r="A64" s="244" t="s">
        <v>717</v>
      </c>
      <c r="B64" s="244"/>
      <c r="C64" s="244"/>
      <c r="D64" s="244"/>
    </row>
    <row r="65" spans="1:4" x14ac:dyDescent="0.25">
      <c r="A65" t="s">
        <v>718</v>
      </c>
    </row>
    <row r="66" spans="1:4" x14ac:dyDescent="0.25">
      <c r="A66" s="106" t="s">
        <v>719</v>
      </c>
      <c r="B66" s="106" t="s">
        <v>723</v>
      </c>
      <c r="C66" s="106" t="s">
        <v>720</v>
      </c>
      <c r="D66" s="106" t="s">
        <v>724</v>
      </c>
    </row>
    <row r="67" spans="1:4" x14ac:dyDescent="0.25">
      <c r="A67" s="150" t="s">
        <v>728</v>
      </c>
      <c r="B67" t="s">
        <v>725</v>
      </c>
      <c r="C67" t="s">
        <v>726</v>
      </c>
      <c r="D67" t="s">
        <v>727</v>
      </c>
    </row>
    <row r="68" spans="1:4" x14ac:dyDescent="0.25">
      <c r="A68" s="150" t="s">
        <v>729</v>
      </c>
      <c r="B68" t="s">
        <v>731</v>
      </c>
      <c r="C68" t="s">
        <v>629</v>
      </c>
      <c r="D68" t="s">
        <v>730</v>
      </c>
    </row>
    <row r="73" spans="1:4" ht="18.75" x14ac:dyDescent="0.3">
      <c r="A73" s="241" t="s">
        <v>581</v>
      </c>
      <c r="B73" s="241"/>
      <c r="C73" s="241"/>
      <c r="D73" s="241"/>
    </row>
    <row r="74" spans="1:4" x14ac:dyDescent="0.25">
      <c r="A74" s="149" t="s">
        <v>620</v>
      </c>
      <c r="B74" t="s">
        <v>621</v>
      </c>
      <c r="C74" t="s">
        <v>618</v>
      </c>
    </row>
    <row r="75" spans="1:4" x14ac:dyDescent="0.25">
      <c r="A75" t="s">
        <v>622</v>
      </c>
      <c r="B75" t="s">
        <v>623</v>
      </c>
    </row>
    <row r="76" spans="1:4" x14ac:dyDescent="0.25">
      <c r="A76" t="s">
        <v>624</v>
      </c>
      <c r="B76" t="s">
        <v>625</v>
      </c>
      <c r="C76" t="s">
        <v>626</v>
      </c>
    </row>
    <row r="77" spans="1:4" x14ac:dyDescent="0.25">
      <c r="A77" t="s">
        <v>586</v>
      </c>
    </row>
    <row r="78" spans="1:4" x14ac:dyDescent="0.25">
      <c r="A78" t="s">
        <v>647</v>
      </c>
      <c r="B78" t="s">
        <v>649</v>
      </c>
      <c r="C78" t="s">
        <v>648</v>
      </c>
    </row>
    <row r="79" spans="1:4" x14ac:dyDescent="0.25">
      <c r="A79" s="143" t="s">
        <v>627</v>
      </c>
    </row>
    <row r="80" spans="1:4" x14ac:dyDescent="0.25">
      <c r="A80" s="67" t="s">
        <v>592</v>
      </c>
      <c r="B80" s="67" t="s">
        <v>587</v>
      </c>
      <c r="C80" s="67" t="s">
        <v>591</v>
      </c>
      <c r="D80" s="67"/>
    </row>
    <row r="81" spans="1:4" x14ac:dyDescent="0.25">
      <c r="A81" s="150" t="s">
        <v>596</v>
      </c>
      <c r="B81" s="150" t="s">
        <v>628</v>
      </c>
      <c r="C81" s="150" t="s">
        <v>629</v>
      </c>
      <c r="D81" s="151" t="s">
        <v>597</v>
      </c>
    </row>
    <row r="82" spans="1:4" ht="30" x14ac:dyDescent="0.25">
      <c r="A82" s="150" t="s">
        <v>599</v>
      </c>
      <c r="B82" s="150" t="s">
        <v>600</v>
      </c>
      <c r="C82" s="151" t="s">
        <v>601</v>
      </c>
      <c r="D82" s="150" t="s">
        <v>630</v>
      </c>
    </row>
    <row r="83" spans="1:4" x14ac:dyDescent="0.25">
      <c r="A83" s="67" t="s">
        <v>605</v>
      </c>
      <c r="B83" s="67" t="s">
        <v>604</v>
      </c>
      <c r="C83" s="152">
        <v>3.92</v>
      </c>
      <c r="D83" s="67" t="s">
        <v>631</v>
      </c>
    </row>
    <row r="84" spans="1:4" x14ac:dyDescent="0.25">
      <c r="A84" s="67" t="s">
        <v>611</v>
      </c>
      <c r="B84" s="67" t="s">
        <v>612</v>
      </c>
      <c r="C84" s="152"/>
      <c r="D84" s="67"/>
    </row>
    <row r="85" spans="1:4" x14ac:dyDescent="0.25">
      <c r="A85" s="76" t="s">
        <v>632</v>
      </c>
      <c r="B85" s="76"/>
      <c r="C85" s="76"/>
      <c r="D85" s="76" t="s">
        <v>633</v>
      </c>
    </row>
    <row r="86" spans="1:4" x14ac:dyDescent="0.25">
      <c r="A86" s="76" t="s">
        <v>606</v>
      </c>
      <c r="B86" s="76" t="s">
        <v>607</v>
      </c>
      <c r="C86" s="76"/>
      <c r="D86" s="76"/>
    </row>
    <row r="87" spans="1:4" x14ac:dyDescent="0.25">
      <c r="A87" s="76" t="s">
        <v>588</v>
      </c>
      <c r="B87" s="76"/>
      <c r="C87" s="76" t="s">
        <v>589</v>
      </c>
      <c r="D87" s="76"/>
    </row>
    <row r="88" spans="1:4" x14ac:dyDescent="0.25">
      <c r="A88" s="76" t="s">
        <v>590</v>
      </c>
      <c r="B88" s="76"/>
      <c r="C88" s="76" t="s">
        <v>589</v>
      </c>
      <c r="D88" s="76"/>
    </row>
    <row r="89" spans="1:4" x14ac:dyDescent="0.25">
      <c r="A89" s="76" t="s">
        <v>658</v>
      </c>
      <c r="B89" s="76"/>
      <c r="C89" s="76" t="s">
        <v>589</v>
      </c>
      <c r="D89" s="76" t="s">
        <v>659</v>
      </c>
    </row>
    <row r="90" spans="1:4" x14ac:dyDescent="0.25">
      <c r="A90" s="148" t="s">
        <v>602</v>
      </c>
    </row>
    <row r="91" spans="1:4" x14ac:dyDescent="0.25">
      <c r="A91" s="141" t="s">
        <v>595</v>
      </c>
      <c r="B91" t="s">
        <v>613</v>
      </c>
    </row>
    <row r="92" spans="1:4" x14ac:dyDescent="0.25">
      <c r="A92" s="141" t="s">
        <v>608</v>
      </c>
    </row>
    <row r="93" spans="1:4" x14ac:dyDescent="0.25">
      <c r="A93" s="141" t="s">
        <v>585</v>
      </c>
      <c r="B93" t="s">
        <v>609</v>
      </c>
      <c r="C93" t="s">
        <v>610</v>
      </c>
    </row>
  </sheetData>
  <mergeCells count="5">
    <mergeCell ref="A73:D73"/>
    <mergeCell ref="A37:D37"/>
    <mergeCell ref="A62:D62"/>
    <mergeCell ref="A64:D64"/>
    <mergeCell ref="A7:D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EAE5-6A4B-4123-AEA0-5124CF94AC60}">
  <dimension ref="A2:C8"/>
  <sheetViews>
    <sheetView workbookViewId="0">
      <selection activeCell="C8" sqref="C8"/>
    </sheetView>
  </sheetViews>
  <sheetFormatPr defaultRowHeight="15" x14ac:dyDescent="0.25"/>
  <cols>
    <col min="1" max="1" width="9.7109375" bestFit="1" customWidth="1"/>
    <col min="2" max="2" width="10.5703125" bestFit="1" customWidth="1"/>
    <col min="3" max="3" width="40.42578125" bestFit="1" customWidth="1"/>
  </cols>
  <sheetData>
    <row r="2" spans="1:3" x14ac:dyDescent="0.25">
      <c r="A2" s="52" t="s">
        <v>3</v>
      </c>
      <c r="B2" s="52" t="s">
        <v>493</v>
      </c>
      <c r="C2" s="51" t="s">
        <v>52</v>
      </c>
    </row>
    <row r="3" spans="1:3" x14ac:dyDescent="0.25">
      <c r="A3" s="50">
        <v>45349</v>
      </c>
      <c r="B3" s="53">
        <v>3000</v>
      </c>
      <c r="C3" t="s">
        <v>494</v>
      </c>
    </row>
    <row r="4" spans="1:3" x14ac:dyDescent="0.25">
      <c r="A4" s="50">
        <v>45379</v>
      </c>
      <c r="B4" s="53">
        <v>2700</v>
      </c>
    </row>
    <row r="5" spans="1:3" x14ac:dyDescent="0.25">
      <c r="A5" s="50">
        <v>45412</v>
      </c>
      <c r="B5" s="53">
        <v>2700</v>
      </c>
    </row>
    <row r="6" spans="1:3" x14ac:dyDescent="0.25">
      <c r="A6" s="50">
        <v>45432</v>
      </c>
      <c r="B6" s="53">
        <v>1000</v>
      </c>
      <c r="C6" t="s">
        <v>768</v>
      </c>
    </row>
    <row r="7" spans="1:3" x14ac:dyDescent="0.25">
      <c r="A7" s="50">
        <v>45441</v>
      </c>
      <c r="B7" s="53">
        <v>2700</v>
      </c>
    </row>
    <row r="8" spans="1:3" x14ac:dyDescent="0.25">
      <c r="A8" s="50">
        <v>45471</v>
      </c>
      <c r="B8" s="53">
        <v>2700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EFEA-1E53-4460-BA8F-DB510BB41EFA}">
  <dimension ref="A1:BW59"/>
  <sheetViews>
    <sheetView zoomScale="87" zoomScaleNormal="87" workbookViewId="0">
      <selection activeCell="AT35" sqref="AT35"/>
    </sheetView>
  </sheetViews>
  <sheetFormatPr defaultColWidth="9.140625" defaultRowHeight="15" x14ac:dyDescent="0.25"/>
  <cols>
    <col min="1" max="1" width="20.7109375" style="1" bestFit="1" customWidth="1"/>
    <col min="2" max="2" width="16.42578125" style="1" bestFit="1" customWidth="1"/>
    <col min="3" max="3" width="15.85546875" style="9" bestFit="1" customWidth="1"/>
    <col min="4" max="4" width="32.28515625" style="9" bestFit="1" customWidth="1"/>
    <col min="5" max="5" width="21.85546875" style="1" bestFit="1" customWidth="1"/>
    <col min="6" max="6" width="9.140625" style="1"/>
    <col min="7" max="7" width="3.42578125" style="16" customWidth="1"/>
    <col min="8" max="8" width="27.7109375" style="1" hidden="1" customWidth="1"/>
    <col min="9" max="9" width="13.140625" style="1" hidden="1" customWidth="1"/>
    <col min="10" max="10" width="1.42578125" style="1" hidden="1" customWidth="1"/>
    <col min="11" max="11" width="33.28515625" style="1" hidden="1" customWidth="1"/>
    <col min="12" max="12" width="20.42578125" style="1" hidden="1" customWidth="1"/>
    <col min="13" max="13" width="2" style="1" hidden="1" customWidth="1"/>
    <col min="14" max="14" width="35" style="1" hidden="1" customWidth="1"/>
    <col min="15" max="15" width="12.85546875" style="4" hidden="1" customWidth="1"/>
    <col min="16" max="16" width="1.85546875" style="1" hidden="1" customWidth="1"/>
    <col min="17" max="17" width="31.28515625" style="1" hidden="1" customWidth="1"/>
    <col min="18" max="18" width="16.7109375" style="1" hidden="1" customWidth="1"/>
    <col min="19" max="19" width="1.42578125" style="1" hidden="1" customWidth="1"/>
    <col min="20" max="20" width="35.5703125" style="1" hidden="1" customWidth="1"/>
    <col min="21" max="21" width="17.42578125" style="1" hidden="1" customWidth="1"/>
    <col min="22" max="22" width="1.28515625" style="1" hidden="1" customWidth="1"/>
    <col min="23" max="23" width="35.5703125" style="1" hidden="1" customWidth="1"/>
    <col min="24" max="24" width="14.42578125" style="1" hidden="1" customWidth="1"/>
    <col min="25" max="25" width="1.28515625" style="1" hidden="1" customWidth="1"/>
    <col min="26" max="26" width="36.5703125" style="1" hidden="1" customWidth="1"/>
    <col min="27" max="27" width="12" style="1" hidden="1" customWidth="1"/>
    <col min="28" max="28" width="1.28515625" style="1" hidden="1" customWidth="1"/>
    <col min="29" max="29" width="31.140625" style="1" hidden="1" customWidth="1"/>
    <col min="30" max="30" width="12.140625" style="1" hidden="1" customWidth="1"/>
    <col min="31" max="31" width="1.28515625" style="1" hidden="1" customWidth="1"/>
    <col min="32" max="32" width="31.7109375" style="1" hidden="1" customWidth="1"/>
    <col min="33" max="33" width="16.28515625" style="1" hidden="1" customWidth="1"/>
    <col min="34" max="34" width="1.140625" style="1" hidden="1" customWidth="1"/>
    <col min="35" max="35" width="38.7109375" style="1" hidden="1" customWidth="1"/>
    <col min="36" max="36" width="15.28515625" style="1" hidden="1" customWidth="1"/>
    <col min="37" max="37" width="1.28515625" style="1" hidden="1" customWidth="1"/>
    <col min="38" max="38" width="31.7109375" style="1" hidden="1" customWidth="1"/>
    <col min="39" max="39" width="16.28515625" style="1" hidden="1" customWidth="1"/>
    <col min="40" max="40" width="3" style="1" hidden="1" customWidth="1"/>
    <col min="41" max="41" width="31.28515625" style="1" hidden="1" customWidth="1"/>
    <col min="42" max="42" width="22.5703125" style="1" hidden="1" customWidth="1"/>
    <col min="43" max="43" width="1.85546875" style="1" customWidth="1"/>
    <col min="44" max="44" width="31.28515625" style="1" customWidth="1"/>
    <col min="45" max="45" width="12.140625" style="1" customWidth="1"/>
    <col min="46" max="46" width="3" style="1" customWidth="1"/>
    <col min="47" max="47" width="31.28515625" style="1" customWidth="1"/>
    <col min="48" max="48" width="14.7109375" style="1" customWidth="1"/>
    <col min="49" max="49" width="11.42578125" style="1" bestFit="1" customWidth="1"/>
    <col min="50" max="50" width="31.28515625" style="1" customWidth="1"/>
    <col min="51" max="51" width="13.85546875" style="1" customWidth="1"/>
    <col min="52" max="52" width="2.140625" style="1" customWidth="1"/>
    <col min="53" max="53" width="31.28515625" style="1" customWidth="1"/>
    <col min="54" max="54" width="15" style="1" customWidth="1"/>
    <col min="55" max="55" width="3.28515625" style="1" customWidth="1"/>
    <col min="56" max="56" width="31.28515625" style="1" customWidth="1"/>
    <col min="57" max="57" width="16.85546875" style="1" customWidth="1"/>
    <col min="58" max="58" width="9.28515625" style="1" customWidth="1"/>
    <col min="59" max="59" width="33.28515625" style="1" bestFit="1" customWidth="1"/>
    <col min="60" max="60" width="15" style="1" bestFit="1" customWidth="1"/>
    <col min="61" max="61" width="6.28515625" style="1" customWidth="1"/>
    <col min="62" max="62" width="42.140625" style="1" bestFit="1" customWidth="1"/>
    <col min="63" max="63" width="14.5703125" style="1" bestFit="1" customWidth="1"/>
    <col min="64" max="64" width="9.140625" style="1"/>
    <col min="65" max="65" width="42.140625" style="1" bestFit="1" customWidth="1"/>
    <col min="66" max="66" width="14.5703125" style="1" bestFit="1" customWidth="1"/>
    <col min="67" max="67" width="9.140625" style="1"/>
    <col min="68" max="68" width="42.140625" style="1" bestFit="1" customWidth="1"/>
    <col min="69" max="69" width="20.42578125" style="1" customWidth="1"/>
    <col min="70" max="70" width="6.85546875" style="1" customWidth="1"/>
    <col min="71" max="71" width="42.140625" style="1" bestFit="1" customWidth="1"/>
    <col min="72" max="72" width="14.5703125" style="1" bestFit="1" customWidth="1"/>
    <col min="73" max="73" width="9.140625" style="1"/>
    <col min="74" max="74" width="42.140625" style="1" bestFit="1" customWidth="1"/>
    <col min="75" max="75" width="20.42578125" style="1" customWidth="1"/>
    <col min="76" max="16384" width="9.140625" style="1"/>
  </cols>
  <sheetData>
    <row r="1" spans="1:75" x14ac:dyDescent="0.25">
      <c r="A1" s="2" t="s">
        <v>0</v>
      </c>
      <c r="B1" s="2" t="s">
        <v>3</v>
      </c>
      <c r="C1" s="8" t="s">
        <v>1</v>
      </c>
      <c r="D1" s="8" t="s">
        <v>51</v>
      </c>
      <c r="E1" s="2" t="s">
        <v>52</v>
      </c>
      <c r="H1" s="3" t="s">
        <v>57</v>
      </c>
      <c r="I1" s="3"/>
      <c r="J1" s="3"/>
      <c r="K1" s="35" t="s">
        <v>103</v>
      </c>
      <c r="L1" s="35"/>
      <c r="M1" s="3"/>
      <c r="N1" s="3" t="s">
        <v>62</v>
      </c>
      <c r="O1" s="3"/>
      <c r="P1" s="3"/>
      <c r="Q1" s="3" t="s">
        <v>106</v>
      </c>
      <c r="R1" s="3"/>
      <c r="S1" s="3"/>
      <c r="T1" s="2" t="s">
        <v>119</v>
      </c>
      <c r="W1" s="2" t="s">
        <v>113</v>
      </c>
      <c r="Z1" s="36" t="s">
        <v>118</v>
      </c>
      <c r="AC1" s="2" t="s">
        <v>120</v>
      </c>
      <c r="AF1" s="2" t="s">
        <v>237</v>
      </c>
      <c r="AI1" s="36" t="s">
        <v>122</v>
      </c>
      <c r="AL1" s="2" t="s">
        <v>127</v>
      </c>
      <c r="AO1" s="2" t="s">
        <v>129</v>
      </c>
      <c r="AR1" s="2" t="s">
        <v>131</v>
      </c>
      <c r="AU1" s="2" t="s">
        <v>133</v>
      </c>
      <c r="AX1" s="2" t="s">
        <v>135</v>
      </c>
      <c r="BA1" s="2" t="s">
        <v>137</v>
      </c>
      <c r="BD1" s="2" t="s">
        <v>139</v>
      </c>
      <c r="BG1" s="2" t="s">
        <v>234</v>
      </c>
      <c r="BJ1" s="36" t="s">
        <v>349</v>
      </c>
      <c r="BM1" s="36" t="s">
        <v>350</v>
      </c>
      <c r="BP1" s="36" t="s">
        <v>351</v>
      </c>
      <c r="BS1" s="36" t="s">
        <v>352</v>
      </c>
      <c r="BV1" s="36" t="s">
        <v>353</v>
      </c>
    </row>
    <row r="2" spans="1:75" x14ac:dyDescent="0.25">
      <c r="A2" s="1" t="s">
        <v>2</v>
      </c>
      <c r="B2" s="1" t="s">
        <v>4</v>
      </c>
      <c r="C2" s="9">
        <v>2721.13</v>
      </c>
      <c r="D2" s="9">
        <f>C2</f>
        <v>2721.13</v>
      </c>
      <c r="H2" s="20" t="s">
        <v>58</v>
      </c>
      <c r="I2" s="18">
        <v>3309.22</v>
      </c>
      <c r="J2" s="18"/>
      <c r="K2" s="20" t="s">
        <v>58</v>
      </c>
      <c r="L2" s="18">
        <v>0</v>
      </c>
      <c r="M2" s="18"/>
      <c r="N2" s="20" t="s">
        <v>58</v>
      </c>
      <c r="O2" s="19">
        <v>2306.16</v>
      </c>
      <c r="P2" s="18"/>
      <c r="Q2" s="20" t="s">
        <v>58</v>
      </c>
      <c r="R2" s="19">
        <v>0</v>
      </c>
      <c r="S2" s="18"/>
      <c r="T2" s="20" t="s">
        <v>58</v>
      </c>
      <c r="U2" s="3">
        <v>1792.21</v>
      </c>
      <c r="W2" s="20" t="s">
        <v>58</v>
      </c>
      <c r="X2" s="19">
        <v>0</v>
      </c>
      <c r="Z2" s="20" t="s">
        <v>58</v>
      </c>
      <c r="AA2" s="19">
        <v>2306.15</v>
      </c>
      <c r="AC2" s="20" t="s">
        <v>264</v>
      </c>
      <c r="AD2" s="19">
        <v>400</v>
      </c>
      <c r="AF2" s="20" t="s">
        <v>58</v>
      </c>
      <c r="AG2" s="19">
        <v>0</v>
      </c>
      <c r="AI2" s="20" t="s">
        <v>58</v>
      </c>
      <c r="AJ2" s="19">
        <v>2338.59</v>
      </c>
      <c r="AL2" s="20" t="s">
        <v>58</v>
      </c>
      <c r="AM2" s="19">
        <v>0</v>
      </c>
      <c r="AO2" s="20" t="s">
        <v>58</v>
      </c>
      <c r="AP2" s="19">
        <v>0</v>
      </c>
      <c r="AR2" s="20" t="s">
        <v>58</v>
      </c>
      <c r="AS2" s="19">
        <v>2306.16</v>
      </c>
      <c r="AU2" s="20" t="s">
        <v>58</v>
      </c>
      <c r="AV2" s="19">
        <v>0</v>
      </c>
      <c r="AX2" s="20" t="s">
        <v>58</v>
      </c>
      <c r="AY2" s="19">
        <v>0</v>
      </c>
      <c r="BA2" s="20" t="s">
        <v>58</v>
      </c>
      <c r="BB2" s="19">
        <v>2306.16</v>
      </c>
      <c r="BD2" s="20" t="s">
        <v>58</v>
      </c>
      <c r="BE2" s="19">
        <v>0</v>
      </c>
      <c r="BG2" s="20" t="s">
        <v>58</v>
      </c>
      <c r="BH2" s="19">
        <v>0</v>
      </c>
      <c r="BJ2" s="20" t="s">
        <v>58</v>
      </c>
      <c r="BK2" s="19">
        <v>2306.16</v>
      </c>
      <c r="BM2" s="20" t="s">
        <v>58</v>
      </c>
      <c r="BN2" s="90"/>
      <c r="BP2" s="20" t="s">
        <v>58</v>
      </c>
      <c r="BQ2" s="19"/>
      <c r="BS2" s="20" t="s">
        <v>58</v>
      </c>
      <c r="BT2" s="19">
        <v>2306.16</v>
      </c>
      <c r="BV2" s="20" t="s">
        <v>58</v>
      </c>
      <c r="BW2" s="19"/>
    </row>
    <row r="3" spans="1:75" x14ac:dyDescent="0.25">
      <c r="A3" s="1" t="s">
        <v>5</v>
      </c>
      <c r="B3" s="1" t="s">
        <v>6</v>
      </c>
      <c r="C3" s="9">
        <v>22.27</v>
      </c>
      <c r="D3" s="9">
        <f t="shared" ref="D3:D8" si="0">C3</f>
        <v>22.27</v>
      </c>
      <c r="H3" s="20"/>
      <c r="I3" s="18"/>
      <c r="J3" s="18"/>
      <c r="K3" s="20" t="s">
        <v>102</v>
      </c>
      <c r="L3" s="18">
        <v>0</v>
      </c>
      <c r="M3" s="18"/>
      <c r="N3" s="20" t="s">
        <v>102</v>
      </c>
      <c r="O3" s="19">
        <v>0</v>
      </c>
      <c r="P3" s="18"/>
      <c r="Q3" s="20" t="s">
        <v>102</v>
      </c>
      <c r="R3" s="19">
        <v>504</v>
      </c>
      <c r="S3" s="18"/>
      <c r="T3" s="20" t="s">
        <v>102</v>
      </c>
      <c r="U3" s="3">
        <v>0</v>
      </c>
      <c r="W3" s="20" t="s">
        <v>102</v>
      </c>
      <c r="X3" s="19">
        <v>504</v>
      </c>
      <c r="Z3" s="20" t="s">
        <v>102</v>
      </c>
      <c r="AA3" s="19">
        <v>0</v>
      </c>
      <c r="AC3" s="20" t="s">
        <v>102</v>
      </c>
      <c r="AD3" s="19">
        <v>504</v>
      </c>
      <c r="AF3" s="20" t="s">
        <v>102</v>
      </c>
      <c r="AG3" s="19">
        <v>504</v>
      </c>
      <c r="AI3" s="20" t="s">
        <v>102</v>
      </c>
      <c r="AJ3" s="19">
        <v>0</v>
      </c>
      <c r="AL3" s="20" t="s">
        <v>102</v>
      </c>
      <c r="AM3" s="19">
        <v>504</v>
      </c>
      <c r="AO3" s="20" t="s">
        <v>102</v>
      </c>
      <c r="AP3" s="19">
        <v>504</v>
      </c>
      <c r="AR3" s="20" t="s">
        <v>102</v>
      </c>
      <c r="AS3" s="19">
        <v>0</v>
      </c>
      <c r="AU3" s="20" t="s">
        <v>102</v>
      </c>
      <c r="AV3" s="19">
        <v>504</v>
      </c>
      <c r="AX3" s="20" t="s">
        <v>102</v>
      </c>
      <c r="AY3" s="19">
        <v>504</v>
      </c>
      <c r="BA3" s="20" t="s">
        <v>102</v>
      </c>
      <c r="BB3" s="19">
        <v>0</v>
      </c>
      <c r="BD3" s="20" t="s">
        <v>102</v>
      </c>
      <c r="BE3" s="19">
        <v>504</v>
      </c>
      <c r="BG3" s="20" t="s">
        <v>102</v>
      </c>
      <c r="BH3" s="19">
        <v>504</v>
      </c>
      <c r="BJ3" s="20" t="s">
        <v>102</v>
      </c>
      <c r="BK3" s="19"/>
      <c r="BM3" s="20" t="s">
        <v>102</v>
      </c>
      <c r="BN3" s="19"/>
      <c r="BP3" s="20" t="s">
        <v>102</v>
      </c>
      <c r="BQ3" s="19"/>
      <c r="BS3" s="20" t="s">
        <v>102</v>
      </c>
      <c r="BT3" s="19"/>
      <c r="BV3" s="20" t="s">
        <v>102</v>
      </c>
      <c r="BW3" s="19"/>
    </row>
    <row r="4" spans="1:75" x14ac:dyDescent="0.25">
      <c r="A4" s="1" t="s">
        <v>7</v>
      </c>
      <c r="B4" s="1" t="s">
        <v>15</v>
      </c>
      <c r="C4" s="9">
        <v>71.819999999999993</v>
      </c>
      <c r="D4" s="9">
        <f t="shared" si="0"/>
        <v>71.819999999999993</v>
      </c>
      <c r="E4" s="1" t="s">
        <v>17</v>
      </c>
      <c r="F4" s="4">
        <v>318</v>
      </c>
      <c r="H4" s="29" t="s">
        <v>63</v>
      </c>
      <c r="I4" s="28">
        <f>I2-I7</f>
        <v>587.08999999999969</v>
      </c>
      <c r="J4" s="3"/>
      <c r="K4" s="29" t="s">
        <v>63</v>
      </c>
      <c r="L4" s="3">
        <f>+I24</f>
        <v>135.54999999999973</v>
      </c>
      <c r="M4" s="3"/>
      <c r="N4" s="29" t="s">
        <v>63</v>
      </c>
      <c r="O4" s="28">
        <f>L24</f>
        <v>117.31999999999972</v>
      </c>
      <c r="P4" s="3"/>
      <c r="Q4" s="29" t="s">
        <v>63</v>
      </c>
      <c r="R4" s="28">
        <f>O24</f>
        <v>1651.7099999999996</v>
      </c>
      <c r="S4" s="3"/>
      <c r="T4" s="29" t="s">
        <v>63</v>
      </c>
      <c r="U4" s="28">
        <f>+R26</f>
        <v>553.8349999999997</v>
      </c>
      <c r="W4" s="29" t="s">
        <v>63</v>
      </c>
      <c r="X4" s="30">
        <f>+U26</f>
        <v>374.79499999999962</v>
      </c>
      <c r="Z4" s="29" t="s">
        <v>63</v>
      </c>
      <c r="AA4" s="28">
        <f>+X26</f>
        <v>325.2774999999998</v>
      </c>
      <c r="AC4" s="29" t="s">
        <v>63</v>
      </c>
      <c r="AD4" s="30">
        <f>+AA26</f>
        <v>962.36749999999984</v>
      </c>
      <c r="AF4" s="29" t="s">
        <v>63</v>
      </c>
      <c r="AG4" s="30">
        <f>+AD26</f>
        <v>419.34749999999985</v>
      </c>
      <c r="AI4" s="29" t="s">
        <v>63</v>
      </c>
      <c r="AJ4" s="28">
        <f>+AG26</f>
        <v>351.57749999999976</v>
      </c>
      <c r="AL4" s="29" t="s">
        <v>63</v>
      </c>
      <c r="AM4" s="30">
        <f>+AJ26</f>
        <v>1866.1075000000001</v>
      </c>
      <c r="AO4" s="29" t="s">
        <v>63</v>
      </c>
      <c r="AP4" s="30">
        <f>82.85+5.42</f>
        <v>88.27</v>
      </c>
      <c r="AR4" s="29" t="s">
        <v>63</v>
      </c>
      <c r="AS4" s="30">
        <f>+AP27</f>
        <v>142.26999999999998</v>
      </c>
      <c r="AU4" s="29" t="s">
        <v>63</v>
      </c>
      <c r="AV4" s="30">
        <f>+AS28</f>
        <v>381.49999999999977</v>
      </c>
      <c r="AX4" s="29" t="s">
        <v>63</v>
      </c>
      <c r="AY4" s="30">
        <f>+AV27+300</f>
        <v>53.479999999999677</v>
      </c>
      <c r="BA4" s="29" t="s">
        <v>63</v>
      </c>
      <c r="BB4" s="30">
        <f>+AY27</f>
        <v>111.11999999999966</v>
      </c>
      <c r="BD4" s="29" t="s">
        <v>63</v>
      </c>
      <c r="BE4" s="30">
        <f>+BB27</f>
        <v>2260.2699999999995</v>
      </c>
      <c r="BG4" s="29" t="s">
        <v>63</v>
      </c>
      <c r="BH4" s="30">
        <f>+BE31</f>
        <v>409.95</v>
      </c>
      <c r="BJ4" s="29" t="s">
        <v>63</v>
      </c>
      <c r="BK4" s="30">
        <f>+BH27</f>
        <v>306.97000000000003</v>
      </c>
      <c r="BM4" s="29" t="s">
        <v>63</v>
      </c>
      <c r="BN4" s="30">
        <f>+BK27</f>
        <v>2147.13</v>
      </c>
      <c r="BP4" s="29" t="s">
        <v>63</v>
      </c>
      <c r="BQ4" s="30">
        <f>+BN27</f>
        <v>1560.6200000000001</v>
      </c>
      <c r="BS4" s="29" t="s">
        <v>63</v>
      </c>
      <c r="BT4" s="30">
        <f>+BQ27</f>
        <v>891.19</v>
      </c>
      <c r="BV4" s="29" t="s">
        <v>63</v>
      </c>
      <c r="BW4" s="30">
        <f>+BT27</f>
        <v>2967.42</v>
      </c>
    </row>
    <row r="5" spans="1:75" x14ac:dyDescent="0.25">
      <c r="A5" s="1" t="s">
        <v>8</v>
      </c>
      <c r="B5" s="1" t="s">
        <v>16</v>
      </c>
      <c r="C5" s="9">
        <v>74.86</v>
      </c>
      <c r="D5" s="9">
        <f t="shared" si="0"/>
        <v>74.86</v>
      </c>
      <c r="E5" s="1" t="s">
        <v>17</v>
      </c>
      <c r="F5" s="4">
        <v>270.23</v>
      </c>
      <c r="H5" s="29" t="s">
        <v>96</v>
      </c>
      <c r="I5" s="28">
        <v>143</v>
      </c>
      <c r="J5" s="3"/>
      <c r="K5" s="29" t="s">
        <v>104</v>
      </c>
      <c r="L5" s="3">
        <v>0</v>
      </c>
      <c r="M5" s="3"/>
      <c r="N5" s="29" t="s">
        <v>90</v>
      </c>
      <c r="O5" s="28">
        <f>+O4+O2+O3</f>
        <v>2423.4799999999996</v>
      </c>
      <c r="P5" s="3"/>
      <c r="Q5" s="29" t="s">
        <v>90</v>
      </c>
      <c r="R5" s="28">
        <f>+R4+R2+R3</f>
        <v>2155.7099999999996</v>
      </c>
      <c r="S5" s="3"/>
      <c r="T5" s="29" t="s">
        <v>90</v>
      </c>
      <c r="U5" s="28">
        <f>U2+U4+U3</f>
        <v>2346.0449999999996</v>
      </c>
      <c r="W5" s="29" t="s">
        <v>90</v>
      </c>
      <c r="X5" s="30">
        <f>X3+X4</f>
        <v>878.79499999999962</v>
      </c>
      <c r="Z5" s="29" t="s">
        <v>90</v>
      </c>
      <c r="AA5" s="30">
        <f>AA4+AA2+AA3</f>
        <v>2631.4274999999998</v>
      </c>
      <c r="AC5" s="29" t="s">
        <v>90</v>
      </c>
      <c r="AD5" s="30">
        <f>AD4+AD3+AD2</f>
        <v>1866.3674999999998</v>
      </c>
      <c r="AF5" s="29" t="s">
        <v>90</v>
      </c>
      <c r="AG5" s="30">
        <f>AG4+AG3+AG2</f>
        <v>923.34749999999985</v>
      </c>
      <c r="AI5" s="29" t="s">
        <v>90</v>
      </c>
      <c r="AJ5" s="30">
        <f>AJ4+AJ2+AJ3</f>
        <v>2690.1675</v>
      </c>
      <c r="AL5" s="29" t="s">
        <v>90</v>
      </c>
      <c r="AM5" s="30">
        <f>AM4+AM3+AM2</f>
        <v>2370.1075000000001</v>
      </c>
      <c r="AO5" s="29" t="s">
        <v>90</v>
      </c>
      <c r="AP5" s="30">
        <f>AP4+AP3+AP2</f>
        <v>592.27</v>
      </c>
      <c r="AR5" s="29" t="s">
        <v>90</v>
      </c>
      <c r="AS5" s="30">
        <f>AS4+AS3+AS2</f>
        <v>2448.4299999999998</v>
      </c>
      <c r="AU5" s="29" t="s">
        <v>90</v>
      </c>
      <c r="AV5" s="30">
        <f>AV4+AV3+AV2</f>
        <v>885.49999999999977</v>
      </c>
      <c r="AX5" s="29" t="s">
        <v>90</v>
      </c>
      <c r="AY5" s="30">
        <f>AY4+AY3+AY2</f>
        <v>557.47999999999968</v>
      </c>
      <c r="BA5" s="29" t="s">
        <v>90</v>
      </c>
      <c r="BB5" s="30">
        <f>BB4+BB3+BB2</f>
        <v>2417.2799999999997</v>
      </c>
      <c r="BD5" s="29" t="s">
        <v>90</v>
      </c>
      <c r="BE5" s="30">
        <f>BE4+BE3+BE2</f>
        <v>2764.2699999999995</v>
      </c>
      <c r="BG5" s="29" t="s">
        <v>90</v>
      </c>
      <c r="BH5" s="30">
        <f>BH4+BH3+BH2</f>
        <v>913.95</v>
      </c>
      <c r="BJ5" s="29" t="s">
        <v>90</v>
      </c>
      <c r="BK5" s="30">
        <f>BK4+BK3+BK2</f>
        <v>2613.13</v>
      </c>
      <c r="BM5" s="29" t="s">
        <v>90</v>
      </c>
      <c r="BN5" s="30">
        <f>BN4+BN3+BN2</f>
        <v>2147.13</v>
      </c>
      <c r="BP5" s="29" t="s">
        <v>90</v>
      </c>
      <c r="BQ5" s="30">
        <f>BQ4+BQ3+BQ2</f>
        <v>1560.6200000000001</v>
      </c>
      <c r="BS5" s="29" t="s">
        <v>90</v>
      </c>
      <c r="BT5" s="30">
        <f>BT4+BT3+BT2</f>
        <v>3197.35</v>
      </c>
      <c r="BV5" s="29" t="s">
        <v>90</v>
      </c>
      <c r="BW5" s="30">
        <f>BW4+BW3+BW2</f>
        <v>2967.42</v>
      </c>
    </row>
    <row r="6" spans="1:75" x14ac:dyDescent="0.25">
      <c r="D6" s="9">
        <f t="shared" si="0"/>
        <v>0</v>
      </c>
      <c r="F6" s="5">
        <f>F5+C5</f>
        <v>345.09000000000003</v>
      </c>
      <c r="H6" s="1" t="s">
        <v>64</v>
      </c>
      <c r="I6" s="3">
        <f>+'Credit Card '!B4</f>
        <v>31065.02</v>
      </c>
      <c r="J6" s="3"/>
      <c r="K6" s="1" t="s">
        <v>64</v>
      </c>
      <c r="L6" s="3">
        <f>I6</f>
        <v>31065.02</v>
      </c>
      <c r="M6" s="3"/>
      <c r="N6" s="1" t="s">
        <v>64</v>
      </c>
      <c r="O6" s="3">
        <f>+'Credit Card '!I4</f>
        <v>31382.2</v>
      </c>
      <c r="P6" s="3"/>
      <c r="Q6" s="1" t="s">
        <v>64</v>
      </c>
      <c r="R6" s="3">
        <f>O6</f>
        <v>31382.2</v>
      </c>
      <c r="S6" s="3"/>
      <c r="T6" s="1" t="s">
        <v>64</v>
      </c>
      <c r="U6" s="5">
        <f>O6+R25+U10</f>
        <v>31407.200000000001</v>
      </c>
      <c r="W6" s="1" t="s">
        <v>64</v>
      </c>
      <c r="X6" s="5">
        <f>U6+U25</f>
        <v>31407.200000000001</v>
      </c>
      <c r="Z6" s="1" t="s">
        <v>64</v>
      </c>
      <c r="AA6" s="5">
        <f>X6+X25</f>
        <v>31407.200000000001</v>
      </c>
      <c r="AC6" s="1" t="s">
        <v>64</v>
      </c>
      <c r="AD6" s="5">
        <f>31607.2-400</f>
        <v>31207.200000000001</v>
      </c>
      <c r="AF6" s="1" t="s">
        <v>64</v>
      </c>
      <c r="AG6" s="5">
        <f>AD6+AD25</f>
        <v>31207.200000000001</v>
      </c>
      <c r="AI6" s="1" t="s">
        <v>64</v>
      </c>
      <c r="AJ6" s="5">
        <f>AG6+AG25+AG11</f>
        <v>31607.200000000001</v>
      </c>
      <c r="AL6" s="1" t="s">
        <v>64</v>
      </c>
      <c r="AM6" s="5">
        <f>AJ6+AJ25</f>
        <v>31607.200000000001</v>
      </c>
      <c r="AO6" s="1" t="s">
        <v>64</v>
      </c>
      <c r="AP6" s="5">
        <f>AM6+AM30</f>
        <v>31707.200000000001</v>
      </c>
      <c r="AR6" s="1" t="s">
        <v>64</v>
      </c>
      <c r="AS6" s="5">
        <f>AP6+AP26+AM20</f>
        <v>31732.2</v>
      </c>
      <c r="AU6" s="1" t="s">
        <v>64</v>
      </c>
      <c r="AV6" s="5">
        <f>AS6+AS26-101.13</f>
        <v>31854.07</v>
      </c>
      <c r="AX6" s="1" t="s">
        <v>64</v>
      </c>
      <c r="AY6" s="5">
        <f>AV6+AV26-300</f>
        <v>31554.07</v>
      </c>
      <c r="BA6" s="1" t="s">
        <v>64</v>
      </c>
      <c r="BB6" s="5">
        <f>AY6+AY26</f>
        <v>31554.07</v>
      </c>
      <c r="BD6" s="1" t="s">
        <v>64</v>
      </c>
      <c r="BE6" s="5">
        <f>BB6+BB26</f>
        <v>31554.07</v>
      </c>
      <c r="BG6" s="1" t="s">
        <v>64</v>
      </c>
      <c r="BH6" s="5">
        <f>BE6+BE30</f>
        <v>31654.07</v>
      </c>
      <c r="BJ6" s="1" t="s">
        <v>64</v>
      </c>
      <c r="BK6" s="5">
        <f>BH6+BH26</f>
        <v>31754.07</v>
      </c>
      <c r="BM6" s="1" t="s">
        <v>64</v>
      </c>
      <c r="BN6" s="5">
        <f>BK6+BK26</f>
        <v>31754.07</v>
      </c>
      <c r="BP6" s="1" t="s">
        <v>64</v>
      </c>
      <c r="BQ6" s="5">
        <f>BN6+BN26</f>
        <v>31754.07</v>
      </c>
      <c r="BS6" s="1" t="s">
        <v>64</v>
      </c>
      <c r="BT6" s="5">
        <f>BQ6+BQ26</f>
        <v>31754.07</v>
      </c>
      <c r="BV6" s="1" t="s">
        <v>64</v>
      </c>
      <c r="BW6" s="5">
        <f>BT6+BT26</f>
        <v>31754.07</v>
      </c>
    </row>
    <row r="7" spans="1:75" x14ac:dyDescent="0.25">
      <c r="A7" s="1" t="s">
        <v>9</v>
      </c>
      <c r="B7" s="1" t="s">
        <v>4</v>
      </c>
      <c r="C7" s="9">
        <v>445.45</v>
      </c>
      <c r="D7" s="9">
        <f t="shared" si="0"/>
        <v>445.45</v>
      </c>
      <c r="H7" s="1" t="s">
        <v>59</v>
      </c>
      <c r="I7" s="4">
        <v>2722.13</v>
      </c>
      <c r="J7" s="4"/>
      <c r="K7" s="1" t="s">
        <v>105</v>
      </c>
      <c r="L7" s="4">
        <f>I7</f>
        <v>2722.13</v>
      </c>
      <c r="M7" s="4"/>
      <c r="N7" s="4" t="s">
        <v>91</v>
      </c>
      <c r="O7" s="4">
        <f>L7</f>
        <v>2722.13</v>
      </c>
      <c r="P7" s="4"/>
      <c r="Q7" s="4" t="s">
        <v>91</v>
      </c>
      <c r="R7" s="4">
        <f>+O23+5.49</f>
        <v>5.49</v>
      </c>
      <c r="S7" s="4"/>
      <c r="T7" s="4" t="s">
        <v>91</v>
      </c>
      <c r="U7" s="5">
        <f>+R23+R7</f>
        <v>545.9</v>
      </c>
      <c r="W7" s="4" t="s">
        <v>91</v>
      </c>
      <c r="X7" s="5">
        <f>U7+U23+U15-100</f>
        <v>2038.1100000000001</v>
      </c>
      <c r="Z7" s="4" t="s">
        <v>91</v>
      </c>
      <c r="AA7" s="5">
        <f>+X7+X23</f>
        <v>2363.3874999999998</v>
      </c>
      <c r="AC7" s="4" t="s">
        <v>91</v>
      </c>
      <c r="AD7" s="5">
        <f>AA7+AA23</f>
        <v>3363.3874999999998</v>
      </c>
      <c r="AF7" s="4" t="s">
        <v>91</v>
      </c>
      <c r="AG7" s="5">
        <f>AD7+AD23</f>
        <v>3363.3874999999998</v>
      </c>
      <c r="AI7" s="4" t="s">
        <v>91</v>
      </c>
      <c r="AJ7" s="5">
        <f>AG7-2338</f>
        <v>1025.3874999999998</v>
      </c>
      <c r="AL7" s="4" t="s">
        <v>91</v>
      </c>
      <c r="AM7" s="5">
        <f>AJ7+AJ23+AM27</f>
        <v>1425.3874999999998</v>
      </c>
      <c r="AO7" s="4" t="s">
        <v>91</v>
      </c>
      <c r="AP7" s="5">
        <f>AM28</f>
        <v>1425.3874999999998</v>
      </c>
      <c r="AR7" s="4" t="s">
        <v>91</v>
      </c>
      <c r="AS7" s="5">
        <f>AP7+AP23</f>
        <v>1630.3874999999998</v>
      </c>
      <c r="AU7" s="4" t="s">
        <v>91</v>
      </c>
      <c r="AV7" s="5">
        <f>AS7+AS23</f>
        <v>2743.0774999999999</v>
      </c>
      <c r="AX7" s="4" t="s">
        <v>91</v>
      </c>
      <c r="AY7" s="5">
        <f>AV7+AV23</f>
        <v>2743.0774999999999</v>
      </c>
      <c r="BA7" s="4" t="s">
        <v>91</v>
      </c>
      <c r="BB7" s="5">
        <f>AY7+AY23</f>
        <v>2743.0774999999999</v>
      </c>
      <c r="BD7" s="4" t="s">
        <v>91</v>
      </c>
      <c r="BE7" s="5">
        <f>BB7+BB23</f>
        <v>2743.0774999999999</v>
      </c>
      <c r="BG7" s="4" t="s">
        <v>91</v>
      </c>
      <c r="BH7" s="5">
        <f>+BE28</f>
        <v>21.947499999999764</v>
      </c>
      <c r="BJ7" s="4" t="s">
        <v>91</v>
      </c>
      <c r="BK7" s="5">
        <f>+BH24+BH23</f>
        <v>506.98</v>
      </c>
      <c r="BM7" s="4" t="s">
        <v>91</v>
      </c>
      <c r="BN7" s="5">
        <f>BK7+BK23</f>
        <v>506.98</v>
      </c>
      <c r="BP7" s="4" t="s">
        <v>91</v>
      </c>
      <c r="BQ7" s="5">
        <f>+BN24</f>
        <v>506.98</v>
      </c>
      <c r="BS7" s="4" t="s">
        <v>91</v>
      </c>
      <c r="BT7" s="5">
        <f>+BQ24</f>
        <v>0</v>
      </c>
      <c r="BV7" s="4" t="s">
        <v>91</v>
      </c>
      <c r="BW7" s="5">
        <f>+BT24</f>
        <v>0</v>
      </c>
    </row>
    <row r="8" spans="1:75" x14ac:dyDescent="0.25">
      <c r="A8" s="1" t="s">
        <v>10</v>
      </c>
      <c r="B8" s="1" t="s">
        <v>11</v>
      </c>
      <c r="D8" s="9">
        <f t="shared" si="0"/>
        <v>0</v>
      </c>
      <c r="E8" s="4">
        <v>246.52</v>
      </c>
      <c r="I8" s="4"/>
      <c r="J8" s="4"/>
      <c r="L8" s="4"/>
      <c r="M8" s="4"/>
      <c r="N8" s="4"/>
      <c r="P8" s="4"/>
      <c r="Q8" s="4"/>
      <c r="R8" s="4"/>
      <c r="S8" s="4"/>
      <c r="AG8" s="5"/>
    </row>
    <row r="9" spans="1:75" x14ac:dyDescent="0.25">
      <c r="H9" s="21" t="s">
        <v>108</v>
      </c>
      <c r="I9" s="4"/>
      <c r="J9" s="4"/>
      <c r="K9" s="21" t="s">
        <v>109</v>
      </c>
      <c r="L9" s="4"/>
      <c r="M9" s="4"/>
      <c r="N9" s="21" t="s">
        <v>110</v>
      </c>
      <c r="P9" s="4"/>
      <c r="Q9" s="236" t="s">
        <v>111</v>
      </c>
      <c r="R9" s="236"/>
      <c r="S9" s="4"/>
      <c r="T9" s="21" t="s">
        <v>112</v>
      </c>
      <c r="U9" s="4"/>
      <c r="W9" s="21" t="s">
        <v>114</v>
      </c>
      <c r="Z9" s="21" t="s">
        <v>115</v>
      </c>
      <c r="AC9" s="21" t="s">
        <v>121</v>
      </c>
      <c r="AF9" s="21" t="s">
        <v>121</v>
      </c>
      <c r="AI9" s="21" t="s">
        <v>123</v>
      </c>
      <c r="AL9" s="21" t="s">
        <v>128</v>
      </c>
      <c r="AO9" s="21" t="s">
        <v>130</v>
      </c>
      <c r="AR9" s="21" t="s">
        <v>132</v>
      </c>
      <c r="AU9" s="21" t="s">
        <v>134</v>
      </c>
      <c r="AX9" s="21" t="s">
        <v>136</v>
      </c>
      <c r="BA9" s="21" t="s">
        <v>138</v>
      </c>
      <c r="BD9" s="21" t="s">
        <v>140</v>
      </c>
      <c r="BG9" s="21" t="s">
        <v>235</v>
      </c>
      <c r="BJ9" s="21" t="s">
        <v>361</v>
      </c>
      <c r="BM9" s="21" t="s">
        <v>365</v>
      </c>
      <c r="BP9" s="21" t="s">
        <v>368</v>
      </c>
      <c r="BS9" s="21" t="s">
        <v>369</v>
      </c>
      <c r="BV9" s="21" t="s">
        <v>370</v>
      </c>
    </row>
    <row r="10" spans="1:75" x14ac:dyDescent="0.25">
      <c r="A10" s="6" t="s">
        <v>12</v>
      </c>
      <c r="H10" s="1" t="s">
        <v>98</v>
      </c>
      <c r="I10" s="4">
        <f>+C35</f>
        <v>99.93</v>
      </c>
      <c r="J10" s="4"/>
      <c r="K10" s="1" t="s">
        <v>147</v>
      </c>
      <c r="L10" s="4">
        <v>18.23</v>
      </c>
      <c r="M10" s="4"/>
      <c r="N10" s="1" t="s">
        <v>107</v>
      </c>
      <c r="O10" s="4">
        <v>2721.13</v>
      </c>
      <c r="P10" s="4"/>
      <c r="Q10" s="1" t="s">
        <v>85</v>
      </c>
      <c r="R10" s="4">
        <v>251.36</v>
      </c>
      <c r="S10" s="4"/>
      <c r="T10" s="60" t="s">
        <v>198</v>
      </c>
      <c r="U10" s="61">
        <v>25</v>
      </c>
      <c r="W10" s="1" t="s">
        <v>7</v>
      </c>
      <c r="X10" s="4">
        <v>71.819999999999993</v>
      </c>
      <c r="Z10" s="1" t="s">
        <v>54</v>
      </c>
      <c r="AA10" s="5">
        <v>105.95</v>
      </c>
      <c r="AD10" s="4"/>
      <c r="AF10" s="1" t="s">
        <v>32</v>
      </c>
      <c r="AG10" s="4">
        <v>106.04</v>
      </c>
      <c r="AI10" s="1" t="s">
        <v>54</v>
      </c>
      <c r="AJ10" s="37">
        <v>108.95</v>
      </c>
      <c r="AM10" s="4"/>
      <c r="AO10" s="1" t="s">
        <v>29</v>
      </c>
      <c r="AP10" s="4">
        <v>78</v>
      </c>
      <c r="AS10" s="4"/>
      <c r="AV10" s="4"/>
      <c r="AX10" s="1" t="s">
        <v>24</v>
      </c>
      <c r="AY10" s="4">
        <v>150.43</v>
      </c>
      <c r="BA10" s="1" t="s">
        <v>54</v>
      </c>
      <c r="BB10" s="41">
        <v>110</v>
      </c>
      <c r="BD10" s="1" t="s">
        <v>2</v>
      </c>
      <c r="BE10" s="4">
        <v>2721.13</v>
      </c>
      <c r="BG10" s="60" t="s">
        <v>195</v>
      </c>
      <c r="BH10" s="4">
        <v>100</v>
      </c>
      <c r="BK10" s="4"/>
      <c r="BM10" s="1" t="s">
        <v>364</v>
      </c>
      <c r="BN10" s="4">
        <v>85</v>
      </c>
      <c r="BP10" s="1" t="s">
        <v>35</v>
      </c>
      <c r="BQ10" s="4">
        <v>249</v>
      </c>
      <c r="BS10" s="1" t="s">
        <v>32</v>
      </c>
      <c r="BT10" s="4">
        <v>99.93</v>
      </c>
      <c r="BV10" s="1" t="s">
        <v>371</v>
      </c>
      <c r="BW10" s="4">
        <v>47</v>
      </c>
    </row>
    <row r="11" spans="1:75" x14ac:dyDescent="0.25">
      <c r="A11" s="1" t="s">
        <v>13</v>
      </c>
      <c r="B11" s="1" t="s">
        <v>14</v>
      </c>
      <c r="C11" s="9">
        <v>228.66</v>
      </c>
      <c r="D11" s="9">
        <v>0</v>
      </c>
      <c r="E11" s="1" t="s">
        <v>53</v>
      </c>
      <c r="H11" s="1" t="s">
        <v>141</v>
      </c>
      <c r="I11" s="4">
        <v>41.71</v>
      </c>
      <c r="J11" s="4"/>
      <c r="L11" s="4"/>
      <c r="M11" s="4"/>
      <c r="N11" s="1" t="s">
        <v>86</v>
      </c>
      <c r="O11" s="4">
        <v>80.5</v>
      </c>
      <c r="P11" s="4"/>
      <c r="Q11" s="1" t="s">
        <v>74</v>
      </c>
      <c r="R11" s="4">
        <v>29</v>
      </c>
      <c r="S11" s="4"/>
      <c r="T11" s="1" t="s">
        <v>54</v>
      </c>
      <c r="U11" s="4">
        <v>106.71</v>
      </c>
      <c r="W11" s="1" t="s">
        <v>29</v>
      </c>
      <c r="X11" s="5">
        <v>82</v>
      </c>
      <c r="Z11" s="1" t="s">
        <v>92</v>
      </c>
      <c r="AA11" s="5"/>
      <c r="AC11" s="1" t="s">
        <v>35</v>
      </c>
      <c r="AD11" s="4">
        <v>287</v>
      </c>
      <c r="AF11" s="60" t="s">
        <v>198</v>
      </c>
      <c r="AG11" s="4">
        <v>400</v>
      </c>
      <c r="AI11" s="1" t="s">
        <v>92</v>
      </c>
      <c r="AJ11" s="5">
        <v>57.1</v>
      </c>
      <c r="AL11" s="1" t="s">
        <v>18</v>
      </c>
      <c r="AM11" s="4">
        <v>251.36</v>
      </c>
      <c r="AO11" s="1" t="s">
        <v>34</v>
      </c>
      <c r="AP11" s="4">
        <v>68</v>
      </c>
      <c r="AR11" s="1" t="s">
        <v>54</v>
      </c>
      <c r="AS11" s="4">
        <v>88.7</v>
      </c>
      <c r="AU11" s="1" t="s">
        <v>340</v>
      </c>
      <c r="AV11" s="4">
        <v>246.52</v>
      </c>
      <c r="AX11" s="1" t="s">
        <v>83</v>
      </c>
      <c r="AY11" s="4">
        <v>80</v>
      </c>
      <c r="BA11" s="1" t="s">
        <v>92</v>
      </c>
      <c r="BB11" s="4">
        <v>20</v>
      </c>
      <c r="BD11" s="45" t="s">
        <v>354</v>
      </c>
      <c r="BE11" s="46">
        <v>4.99</v>
      </c>
      <c r="BG11" s="60"/>
      <c r="BH11" s="4"/>
      <c r="BJ11" s="26" t="s">
        <v>362</v>
      </c>
      <c r="BK11" s="27">
        <v>78</v>
      </c>
      <c r="BM11" s="1" t="s">
        <v>54</v>
      </c>
      <c r="BN11" s="4">
        <v>110</v>
      </c>
      <c r="BP11" s="1" t="s">
        <v>24</v>
      </c>
      <c r="BQ11" s="4">
        <v>150.43</v>
      </c>
      <c r="BS11" s="1" t="s">
        <v>54</v>
      </c>
      <c r="BT11" s="4">
        <v>110</v>
      </c>
      <c r="BV11" s="1" t="s">
        <v>54</v>
      </c>
      <c r="BW11" s="4">
        <v>200</v>
      </c>
    </row>
    <row r="12" spans="1:75" x14ac:dyDescent="0.25">
      <c r="A12" s="1" t="s">
        <v>18</v>
      </c>
      <c r="B12" s="1" t="s">
        <v>19</v>
      </c>
      <c r="C12" s="9">
        <v>251.36</v>
      </c>
      <c r="D12" s="9">
        <f>C12</f>
        <v>251.36</v>
      </c>
      <c r="H12" s="1" t="s">
        <v>60</v>
      </c>
      <c r="I12" s="5">
        <v>318.25</v>
      </c>
      <c r="J12" s="4"/>
      <c r="L12" s="4"/>
      <c r="M12" s="4"/>
      <c r="N12" s="45" t="s">
        <v>153</v>
      </c>
      <c r="O12" s="46">
        <v>93.15</v>
      </c>
      <c r="P12" s="4"/>
      <c r="Q12" s="1" t="s">
        <v>193</v>
      </c>
      <c r="R12" s="4">
        <v>445.45</v>
      </c>
      <c r="S12" s="4"/>
      <c r="T12" s="1" t="s">
        <v>207</v>
      </c>
      <c r="U12" s="4"/>
      <c r="W12" s="1" t="s">
        <v>34</v>
      </c>
      <c r="X12" s="5">
        <v>69</v>
      </c>
      <c r="Z12" s="45" t="s">
        <v>243</v>
      </c>
      <c r="AA12" s="46">
        <v>51.98</v>
      </c>
      <c r="AC12" s="45" t="s">
        <v>265</v>
      </c>
      <c r="AD12" s="46">
        <v>3.99</v>
      </c>
      <c r="AF12" s="1" t="s">
        <v>269</v>
      </c>
      <c r="AG12" s="5">
        <v>27.15</v>
      </c>
      <c r="AI12" s="45" t="s">
        <v>271</v>
      </c>
      <c r="AJ12" s="46">
        <v>129.25</v>
      </c>
      <c r="AL12" s="1" t="s">
        <v>28</v>
      </c>
      <c r="AM12" s="4">
        <v>18.989999999999998</v>
      </c>
      <c r="AO12" s="1" t="s">
        <v>41</v>
      </c>
      <c r="AP12" s="4">
        <v>99</v>
      </c>
      <c r="AR12" s="1" t="s">
        <v>92</v>
      </c>
      <c r="AS12" s="85">
        <v>62.1</v>
      </c>
      <c r="AU12" s="1" t="s">
        <v>83</v>
      </c>
      <c r="AV12" s="4">
        <v>265</v>
      </c>
      <c r="AX12" s="1" t="s">
        <v>32</v>
      </c>
      <c r="AY12" s="4">
        <v>99.93</v>
      </c>
      <c r="BA12" s="1" t="s">
        <v>101</v>
      </c>
      <c r="BB12" s="4">
        <v>27.01</v>
      </c>
      <c r="BD12" s="1" t="s">
        <v>355</v>
      </c>
      <c r="BE12" s="4">
        <v>16.5</v>
      </c>
      <c r="BH12" s="4"/>
      <c r="BJ12" s="1" t="s">
        <v>54</v>
      </c>
      <c r="BK12" s="4">
        <v>110</v>
      </c>
      <c r="BM12" s="1" t="s">
        <v>363</v>
      </c>
      <c r="BN12" s="4">
        <v>20</v>
      </c>
      <c r="BP12" s="1" t="s">
        <v>83</v>
      </c>
      <c r="BQ12" s="4">
        <v>270</v>
      </c>
      <c r="BS12" s="1" t="s">
        <v>363</v>
      </c>
      <c r="BT12" s="4">
        <v>20</v>
      </c>
      <c r="BV12" s="1" t="s">
        <v>363</v>
      </c>
      <c r="BW12" s="4">
        <v>20</v>
      </c>
    </row>
    <row r="13" spans="1:75" x14ac:dyDescent="0.25">
      <c r="A13" s="1" t="s">
        <v>20</v>
      </c>
      <c r="B13" s="1" t="s">
        <v>21</v>
      </c>
      <c r="C13" s="9">
        <v>836.51</v>
      </c>
      <c r="D13" s="4">
        <v>360</v>
      </c>
      <c r="E13" s="1" t="s">
        <v>65</v>
      </c>
      <c r="H13" s="1" t="s">
        <v>144</v>
      </c>
      <c r="I13" s="5">
        <v>107.5</v>
      </c>
      <c r="J13" s="5"/>
      <c r="L13" s="5"/>
      <c r="M13" s="5"/>
      <c r="N13" s="1" t="s">
        <v>150</v>
      </c>
      <c r="O13" s="4">
        <v>18.989999999999998</v>
      </c>
      <c r="P13" s="5"/>
      <c r="Q13" s="1" t="s">
        <v>192</v>
      </c>
      <c r="R13" s="4">
        <v>3.99</v>
      </c>
      <c r="S13" s="5"/>
      <c r="T13" s="45" t="s">
        <v>209</v>
      </c>
      <c r="U13" s="46">
        <v>41.91</v>
      </c>
      <c r="W13" s="1" t="s">
        <v>41</v>
      </c>
      <c r="X13" s="5">
        <v>0</v>
      </c>
      <c r="Z13" s="45" t="s">
        <v>239</v>
      </c>
      <c r="AA13" s="46">
        <v>60</v>
      </c>
      <c r="AC13" s="1" t="s">
        <v>31</v>
      </c>
      <c r="AD13" s="4">
        <f>27.11*2</f>
        <v>54.22</v>
      </c>
      <c r="AF13" s="45" t="s">
        <v>92</v>
      </c>
      <c r="AG13" s="46">
        <v>15.01</v>
      </c>
      <c r="AI13" s="1" t="s">
        <v>274</v>
      </c>
      <c r="AJ13" s="4">
        <v>25</v>
      </c>
      <c r="AL13" s="80" t="s">
        <v>74</v>
      </c>
      <c r="AM13" s="81">
        <v>29</v>
      </c>
      <c r="AR13" s="45" t="s">
        <v>322</v>
      </c>
      <c r="AS13" s="46">
        <v>11.55</v>
      </c>
      <c r="AU13" s="1" t="s">
        <v>26</v>
      </c>
      <c r="AV13" s="4">
        <v>39.99</v>
      </c>
      <c r="AX13" s="1" t="s">
        <v>7</v>
      </c>
      <c r="AY13" s="4">
        <v>31</v>
      </c>
      <c r="BB13" s="4"/>
      <c r="BD13" s="1" t="s">
        <v>9</v>
      </c>
      <c r="BE13" s="4">
        <v>445.45</v>
      </c>
      <c r="BH13" s="4"/>
      <c r="BJ13" s="1" t="s">
        <v>363</v>
      </c>
      <c r="BK13" s="4">
        <v>20</v>
      </c>
      <c r="BM13" s="1" t="s">
        <v>340</v>
      </c>
      <c r="BN13" s="4">
        <v>246.52</v>
      </c>
      <c r="BQ13" s="4"/>
      <c r="BT13" s="4"/>
      <c r="BW13" s="4"/>
    </row>
    <row r="14" spans="1:75" x14ac:dyDescent="0.25">
      <c r="H14" s="43" t="s">
        <v>146</v>
      </c>
      <c r="I14" s="44">
        <v>27.15</v>
      </c>
      <c r="J14" s="5"/>
      <c r="L14" s="5"/>
      <c r="M14" s="5"/>
      <c r="N14" s="1" t="s">
        <v>87</v>
      </c>
      <c r="O14" s="4">
        <v>55</v>
      </c>
      <c r="P14" s="5"/>
      <c r="Q14" s="1" t="s">
        <v>116</v>
      </c>
      <c r="R14" s="9">
        <v>270.23</v>
      </c>
      <c r="S14" s="5"/>
      <c r="T14" s="60" t="s">
        <v>199</v>
      </c>
      <c r="U14" s="61">
        <v>200</v>
      </c>
      <c r="W14" s="45" t="s">
        <v>236</v>
      </c>
      <c r="X14" s="46">
        <v>5.42</v>
      </c>
      <c r="Z14" s="45" t="s">
        <v>240</v>
      </c>
      <c r="AA14" s="46">
        <v>37.1</v>
      </c>
      <c r="AC14" s="1" t="s">
        <v>83</v>
      </c>
      <c r="AD14" s="4">
        <v>270</v>
      </c>
      <c r="AF14" s="1" t="s">
        <v>5</v>
      </c>
      <c r="AG14" s="4">
        <v>23.57</v>
      </c>
      <c r="AI14" s="45" t="s">
        <v>270</v>
      </c>
      <c r="AJ14" s="46">
        <v>20</v>
      </c>
      <c r="AL14" s="1" t="s">
        <v>33</v>
      </c>
      <c r="AM14" s="4">
        <v>100</v>
      </c>
      <c r="AP14" s="4"/>
      <c r="AR14" s="45" t="s">
        <v>323</v>
      </c>
      <c r="AS14" s="46">
        <v>24</v>
      </c>
      <c r="AU14" s="1" t="s">
        <v>35</v>
      </c>
      <c r="AV14" s="4">
        <v>249</v>
      </c>
      <c r="AX14" s="1" t="s">
        <v>8</v>
      </c>
      <c r="AY14" s="4">
        <v>85</v>
      </c>
      <c r="BB14" s="4"/>
      <c r="BD14" s="1" t="s">
        <v>43</v>
      </c>
      <c r="BE14" s="4">
        <v>500</v>
      </c>
      <c r="BH14" s="4"/>
      <c r="BJ14" s="1" t="s">
        <v>41</v>
      </c>
      <c r="BK14" s="4">
        <v>258</v>
      </c>
      <c r="BM14" s="1" t="s">
        <v>366</v>
      </c>
      <c r="BN14" s="4">
        <v>85</v>
      </c>
      <c r="BQ14" s="4"/>
      <c r="BT14" s="4"/>
      <c r="BW14" s="4"/>
    </row>
    <row r="15" spans="1:75" x14ac:dyDescent="0.25">
      <c r="I15" s="5"/>
      <c r="J15" s="5"/>
      <c r="L15" s="5"/>
      <c r="M15" s="5"/>
      <c r="N15" s="1" t="s">
        <v>38</v>
      </c>
      <c r="O15" s="4">
        <v>53</v>
      </c>
      <c r="P15" s="5"/>
      <c r="Q15" s="60" t="s">
        <v>195</v>
      </c>
      <c r="R15" s="61">
        <v>25</v>
      </c>
      <c r="S15" s="5"/>
      <c r="T15" s="60" t="s">
        <v>200</v>
      </c>
      <c r="U15" s="61">
        <v>1592.21</v>
      </c>
      <c r="X15" s="5"/>
      <c r="Z15" s="60" t="s">
        <v>195</v>
      </c>
      <c r="AA15" s="61">
        <v>200</v>
      </c>
      <c r="AC15" s="1" t="s">
        <v>84</v>
      </c>
      <c r="AD15" s="4">
        <v>351.46</v>
      </c>
      <c r="AI15" s="6" t="s">
        <v>2</v>
      </c>
      <c r="AJ15" s="77">
        <v>2721.13</v>
      </c>
      <c r="AL15" s="1" t="s">
        <v>38</v>
      </c>
      <c r="AM15" s="4">
        <v>54</v>
      </c>
      <c r="AP15" s="4"/>
      <c r="AR15" s="45" t="s">
        <v>324</v>
      </c>
      <c r="AS15" s="46">
        <v>36.71</v>
      </c>
      <c r="AU15" s="1" t="s">
        <v>54</v>
      </c>
      <c r="AV15" s="4">
        <v>33.520000000000003</v>
      </c>
      <c r="BB15" s="4"/>
      <c r="BD15" s="1" t="s">
        <v>18</v>
      </c>
      <c r="BE15" s="4">
        <v>251.36</v>
      </c>
      <c r="BH15" s="4"/>
      <c r="BK15" s="4"/>
      <c r="BM15" s="1" t="s">
        <v>26</v>
      </c>
      <c r="BN15" s="4">
        <v>39.99</v>
      </c>
      <c r="BQ15" s="4"/>
      <c r="BT15" s="4"/>
      <c r="BW15" s="4"/>
    </row>
    <row r="16" spans="1:75" x14ac:dyDescent="0.25">
      <c r="A16" s="6" t="s">
        <v>23</v>
      </c>
      <c r="I16" s="5"/>
      <c r="J16" s="5"/>
      <c r="L16" s="5"/>
      <c r="M16" s="5"/>
      <c r="N16" s="1" t="s">
        <v>43</v>
      </c>
      <c r="O16" s="9">
        <v>150</v>
      </c>
      <c r="P16" s="5"/>
      <c r="Q16" s="45" t="s">
        <v>196</v>
      </c>
      <c r="R16" s="46">
        <v>3.2450000000000001</v>
      </c>
      <c r="S16" s="5"/>
      <c r="T16" s="45" t="s">
        <v>210</v>
      </c>
      <c r="U16" s="46">
        <v>5.42</v>
      </c>
      <c r="X16" s="4"/>
      <c r="Z16" s="45" t="s">
        <v>242</v>
      </c>
      <c r="AA16" s="46">
        <v>4.58</v>
      </c>
      <c r="AC16" s="1" t="s">
        <v>92</v>
      </c>
      <c r="AD16" s="4">
        <v>15.05</v>
      </c>
      <c r="AI16" s="78" t="s">
        <v>272</v>
      </c>
      <c r="AJ16" s="79">
        <f>3+1.65</f>
        <v>4.6500000000000004</v>
      </c>
      <c r="AL16" s="1" t="s">
        <v>43</v>
      </c>
      <c r="AM16" s="4">
        <v>480</v>
      </c>
      <c r="AP16" s="4"/>
      <c r="AR16" s="60" t="s">
        <v>195</v>
      </c>
      <c r="AS16" s="61"/>
      <c r="AU16" s="45" t="s">
        <v>342</v>
      </c>
      <c r="AV16" s="46">
        <v>22</v>
      </c>
      <c r="AY16" s="4"/>
      <c r="BB16" s="4"/>
      <c r="BD16" s="45" t="s">
        <v>359</v>
      </c>
      <c r="BE16" s="4">
        <v>11.94</v>
      </c>
      <c r="BH16" s="4"/>
      <c r="BK16" s="4"/>
      <c r="BN16" s="4"/>
      <c r="BQ16" s="4"/>
      <c r="BT16" s="4"/>
      <c r="BW16" s="4"/>
    </row>
    <row r="17" spans="1:75" x14ac:dyDescent="0.25">
      <c r="A17" s="1" t="s">
        <v>26</v>
      </c>
      <c r="B17" s="1" t="s">
        <v>27</v>
      </c>
      <c r="C17" s="9">
        <v>39.99</v>
      </c>
      <c r="D17" s="9">
        <f>C17</f>
        <v>39.99</v>
      </c>
      <c r="I17" s="5"/>
      <c r="J17" s="5"/>
      <c r="L17" s="5"/>
      <c r="M17" s="5"/>
      <c r="N17" s="1" t="s">
        <v>152</v>
      </c>
      <c r="P17" s="5"/>
      <c r="Q17" s="45" t="s">
        <v>197</v>
      </c>
      <c r="R17" s="46">
        <v>33.19</v>
      </c>
      <c r="S17" s="5"/>
      <c r="U17" s="4"/>
      <c r="Z17" s="1" t="s">
        <v>26</v>
      </c>
      <c r="AA17" s="4">
        <v>39.99</v>
      </c>
      <c r="AC17" s="1" t="s">
        <v>262</v>
      </c>
      <c r="AD17" s="4">
        <v>241.53</v>
      </c>
      <c r="AI17" s="78" t="s">
        <v>273</v>
      </c>
      <c r="AJ17" s="79">
        <v>33.659999999999997</v>
      </c>
      <c r="AL17" s="60" t="s">
        <v>195</v>
      </c>
      <c r="AM17" s="61">
        <v>100</v>
      </c>
      <c r="AP17" s="4"/>
      <c r="AR17" s="45" t="s">
        <v>341</v>
      </c>
      <c r="AS17" s="46">
        <v>56.72</v>
      </c>
      <c r="AU17" s="1" t="s">
        <v>340</v>
      </c>
      <c r="AV17" s="4">
        <v>241.53</v>
      </c>
      <c r="AY17" s="4"/>
      <c r="BB17" s="4"/>
      <c r="BD17" s="45" t="s">
        <v>360</v>
      </c>
      <c r="BE17" s="4">
        <v>33.380000000000003</v>
      </c>
      <c r="BH17" s="4"/>
      <c r="BK17" s="4"/>
      <c r="BN17" s="4"/>
      <c r="BQ17" s="4"/>
      <c r="BT17" s="4"/>
      <c r="BW17" s="4"/>
    </row>
    <row r="18" spans="1:75" x14ac:dyDescent="0.25">
      <c r="A18" s="1" t="s">
        <v>24</v>
      </c>
      <c r="B18" s="1" t="s">
        <v>25</v>
      </c>
      <c r="C18" s="9">
        <v>150.43</v>
      </c>
      <c r="D18" s="9">
        <f t="shared" ref="D18:D19" si="1">C18</f>
        <v>150.43</v>
      </c>
      <c r="I18" s="5"/>
      <c r="J18" s="5"/>
      <c r="L18" s="5"/>
      <c r="M18" s="5"/>
      <c r="N18" s="1" t="s">
        <v>191</v>
      </c>
      <c r="P18" s="5"/>
      <c r="Q18" s="5"/>
      <c r="R18" s="4"/>
      <c r="S18" s="5"/>
      <c r="U18" s="4"/>
      <c r="Z18" s="45" t="s">
        <v>244</v>
      </c>
      <c r="AA18" s="46">
        <v>169.46</v>
      </c>
      <c r="AC18" s="1" t="s">
        <v>267</v>
      </c>
      <c r="AD18" s="5">
        <v>0</v>
      </c>
      <c r="AI18" s="1" t="s">
        <v>9</v>
      </c>
      <c r="AJ18" s="4">
        <v>445.45</v>
      </c>
      <c r="AL18" s="1" t="s">
        <v>317</v>
      </c>
      <c r="AM18" s="4">
        <v>93.99</v>
      </c>
      <c r="AR18" s="1" t="s">
        <v>20</v>
      </c>
      <c r="AS18" s="4">
        <v>351.46</v>
      </c>
      <c r="AU18" s="45" t="s">
        <v>343</v>
      </c>
      <c r="AV18" s="46">
        <v>29.48</v>
      </c>
      <c r="BD18" s="1" t="s">
        <v>74</v>
      </c>
      <c r="BE18" s="4">
        <v>29</v>
      </c>
      <c r="BH18" s="4"/>
      <c r="BK18" s="4"/>
      <c r="BN18" s="4"/>
      <c r="BQ18" s="4"/>
      <c r="BT18" s="4"/>
      <c r="BW18" s="4"/>
    </row>
    <row r="19" spans="1:75" x14ac:dyDescent="0.25">
      <c r="A19" s="1" t="s">
        <v>31</v>
      </c>
      <c r="B19" s="1" t="s">
        <v>25</v>
      </c>
      <c r="D19" s="9">
        <f t="shared" si="1"/>
        <v>0</v>
      </c>
      <c r="I19" s="5"/>
      <c r="J19" s="5"/>
      <c r="L19" s="5"/>
      <c r="M19" s="5"/>
      <c r="P19" s="5"/>
      <c r="R19" s="4"/>
      <c r="S19" s="5"/>
      <c r="U19" s="4"/>
      <c r="AA19" s="4"/>
      <c r="AC19" s="1" t="s">
        <v>24</v>
      </c>
      <c r="AD19" s="4">
        <v>154.77000000000001</v>
      </c>
      <c r="AJ19" s="4"/>
      <c r="AL19" s="1" t="s">
        <v>319</v>
      </c>
      <c r="AM19" s="4">
        <v>36.6</v>
      </c>
      <c r="AU19" s="45" t="s">
        <v>344</v>
      </c>
      <c r="AV19" s="46">
        <v>60.88</v>
      </c>
      <c r="BD19" s="1" t="s">
        <v>33</v>
      </c>
      <c r="BE19" s="4">
        <v>100</v>
      </c>
    </row>
    <row r="20" spans="1:75" x14ac:dyDescent="0.25">
      <c r="A20" s="1" t="s">
        <v>54</v>
      </c>
      <c r="D20" s="9">
        <v>400</v>
      </c>
      <c r="I20" s="5"/>
      <c r="J20" s="5"/>
      <c r="L20" s="5"/>
      <c r="M20" s="5"/>
      <c r="P20" s="5"/>
      <c r="R20" s="4"/>
      <c r="S20" s="5"/>
      <c r="U20" s="4"/>
      <c r="AA20" s="4"/>
      <c r="AC20" s="1" t="s">
        <v>266</v>
      </c>
      <c r="AD20" s="1">
        <v>69</v>
      </c>
      <c r="AJ20" s="4"/>
      <c r="AL20" s="60" t="s">
        <v>325</v>
      </c>
      <c r="AM20" s="61">
        <v>25</v>
      </c>
      <c r="AU20" s="45" t="s">
        <v>345</v>
      </c>
      <c r="AV20" s="46">
        <v>45.23</v>
      </c>
      <c r="BD20" s="1" t="s">
        <v>38</v>
      </c>
      <c r="BE20" s="4">
        <v>54</v>
      </c>
    </row>
    <row r="21" spans="1:75" x14ac:dyDescent="0.25">
      <c r="A21" s="1" t="s">
        <v>55</v>
      </c>
      <c r="D21" s="9">
        <v>80</v>
      </c>
      <c r="I21" s="5"/>
      <c r="J21" s="5"/>
      <c r="L21" s="5"/>
      <c r="M21" s="5"/>
      <c r="N21" s="1" t="s">
        <v>155</v>
      </c>
      <c r="P21" s="5"/>
      <c r="R21" s="4"/>
      <c r="S21" s="5"/>
      <c r="U21" s="4"/>
      <c r="AA21" s="4"/>
      <c r="AJ21" s="4"/>
      <c r="AL21" s="45" t="s">
        <v>321</v>
      </c>
      <c r="AM21" s="46">
        <v>8.9700000000000006</v>
      </c>
      <c r="BD21" s="1" t="s">
        <v>54</v>
      </c>
      <c r="BE21" s="88">
        <v>123.04</v>
      </c>
    </row>
    <row r="22" spans="1:75" x14ac:dyDescent="0.25">
      <c r="A22" s="1" t="s">
        <v>56</v>
      </c>
      <c r="D22" s="9">
        <v>60</v>
      </c>
      <c r="H22" s="7" t="s">
        <v>44</v>
      </c>
      <c r="I22" s="5">
        <f>SUM(I10:I21)</f>
        <v>594.54</v>
      </c>
      <c r="J22" s="5"/>
      <c r="K22" s="7" t="s">
        <v>44</v>
      </c>
      <c r="L22" s="5">
        <f>SUM(L10:L21)</f>
        <v>18.23</v>
      </c>
      <c r="M22" s="5"/>
      <c r="N22" s="1" t="s">
        <v>44</v>
      </c>
      <c r="O22" s="4">
        <f>SUM(O10:O21)</f>
        <v>3171.77</v>
      </c>
      <c r="P22" s="5"/>
      <c r="Q22" s="7" t="s">
        <v>44</v>
      </c>
      <c r="R22" s="4">
        <f>SUM(R10:R21)</f>
        <v>1061.4649999999999</v>
      </c>
      <c r="S22" s="5"/>
      <c r="T22" s="7" t="s">
        <v>44</v>
      </c>
      <c r="U22" s="4">
        <f>SUM(U10:U21)</f>
        <v>1971.25</v>
      </c>
      <c r="W22" s="7" t="s">
        <v>44</v>
      </c>
      <c r="X22" s="4">
        <f>SUM(X10:X21)</f>
        <v>228.23999999999998</v>
      </c>
      <c r="Z22" s="7" t="s">
        <v>44</v>
      </c>
      <c r="AA22" s="4">
        <f>SUM(AA10:AA21)</f>
        <v>669.06</v>
      </c>
      <c r="AC22" s="7" t="s">
        <v>44</v>
      </c>
      <c r="AD22" s="4">
        <f>SUM(AD10:AD21)</f>
        <v>1447.02</v>
      </c>
      <c r="AF22" s="7" t="s">
        <v>44</v>
      </c>
      <c r="AG22" s="4">
        <f>SUM(AG10:AG21)</f>
        <v>571.7700000000001</v>
      </c>
      <c r="AI22" s="7" t="s">
        <v>44</v>
      </c>
      <c r="AJ22" s="4">
        <f>SUM(AJ10:AJ21)-AJ15</f>
        <v>824.06</v>
      </c>
      <c r="AL22" s="45" t="s">
        <v>320</v>
      </c>
      <c r="AM22" s="46">
        <v>21.23</v>
      </c>
      <c r="AO22" s="7" t="s">
        <v>44</v>
      </c>
      <c r="AP22" s="4">
        <f>SUM(AP10:AP21)</f>
        <v>245</v>
      </c>
      <c r="AR22" s="7" t="s">
        <v>44</v>
      </c>
      <c r="AS22" s="4">
        <f>SUM(AS10:AS21)</f>
        <v>631.24</v>
      </c>
      <c r="AU22" s="7" t="s">
        <v>44</v>
      </c>
      <c r="AV22" s="4">
        <f>SUM(AV10:AV21)</f>
        <v>1233.1500000000001</v>
      </c>
      <c r="AX22" s="7" t="s">
        <v>44</v>
      </c>
      <c r="AY22" s="4">
        <f>SUM(AY10:AY21)</f>
        <v>446.36</v>
      </c>
      <c r="BA22" s="7" t="s">
        <v>44</v>
      </c>
      <c r="BB22" s="4">
        <f>SUM(BB10:BB21)</f>
        <v>157.01</v>
      </c>
      <c r="BD22" s="1" t="s">
        <v>92</v>
      </c>
      <c r="BE22" s="88">
        <v>50.15</v>
      </c>
      <c r="BG22" s="7" t="s">
        <v>44</v>
      </c>
      <c r="BH22" s="4">
        <f>SUM(BH10:BH21)</f>
        <v>100</v>
      </c>
      <c r="BJ22" s="7" t="s">
        <v>44</v>
      </c>
      <c r="BK22" s="4">
        <f>SUM(BK10:BK21)</f>
        <v>466</v>
      </c>
      <c r="BM22" s="7" t="s">
        <v>44</v>
      </c>
      <c r="BN22" s="4">
        <f>SUM(BN10:BN21)</f>
        <v>586.51</v>
      </c>
      <c r="BP22" s="7" t="s">
        <v>44</v>
      </c>
      <c r="BQ22" s="4">
        <f>SUM(BQ10:BQ21)</f>
        <v>669.43000000000006</v>
      </c>
      <c r="BS22" s="7" t="s">
        <v>44</v>
      </c>
      <c r="BT22" s="4">
        <f>SUM(BT10:BT21)</f>
        <v>229.93</v>
      </c>
      <c r="BV22" s="7" t="s">
        <v>44</v>
      </c>
      <c r="BW22" s="4">
        <f>SUM(BW10:BW21)</f>
        <v>267</v>
      </c>
    </row>
    <row r="23" spans="1:75" x14ac:dyDescent="0.25">
      <c r="H23" s="1" t="s">
        <v>89</v>
      </c>
      <c r="K23" s="1" t="s">
        <v>89</v>
      </c>
      <c r="N23" s="1" t="s">
        <v>89</v>
      </c>
      <c r="O23" s="4">
        <v>0</v>
      </c>
      <c r="Q23" s="1" t="s">
        <v>89</v>
      </c>
      <c r="R23" s="4">
        <v>540.41</v>
      </c>
      <c r="T23" s="1" t="s">
        <v>89</v>
      </c>
      <c r="U23" s="4"/>
      <c r="W23" s="1" t="s">
        <v>89</v>
      </c>
      <c r="X23" s="4">
        <f>(X5-X22)*0.5</f>
        <v>325.2774999999998</v>
      </c>
      <c r="Z23" s="1" t="s">
        <v>89</v>
      </c>
      <c r="AA23" s="4">
        <v>1000</v>
      </c>
      <c r="AC23" s="1" t="s">
        <v>89</v>
      </c>
      <c r="AD23" s="4"/>
      <c r="AF23" s="1" t="s">
        <v>89</v>
      </c>
      <c r="AG23" s="4"/>
      <c r="AI23" s="1" t="s">
        <v>89</v>
      </c>
      <c r="AJ23" s="4"/>
      <c r="AL23" s="45" t="s">
        <v>318</v>
      </c>
      <c r="AM23" s="46">
        <v>25</v>
      </c>
      <c r="AO23" s="39" t="s">
        <v>89</v>
      </c>
      <c r="AP23" s="40">
        <v>205</v>
      </c>
      <c r="AR23" s="39" t="s">
        <v>89</v>
      </c>
      <c r="AS23" s="40">
        <v>1112.69</v>
      </c>
      <c r="AU23" s="39" t="s">
        <v>89</v>
      </c>
      <c r="AV23" s="40"/>
      <c r="AX23" s="39" t="s">
        <v>89</v>
      </c>
      <c r="AY23" s="40"/>
      <c r="BA23" s="39" t="s">
        <v>89</v>
      </c>
      <c r="BB23" s="40"/>
      <c r="BD23" s="45" t="s">
        <v>356</v>
      </c>
      <c r="BE23" s="1">
        <v>15.43</v>
      </c>
      <c r="BG23" s="39" t="s">
        <v>89</v>
      </c>
      <c r="BH23" s="40">
        <v>506.98</v>
      </c>
      <c r="BJ23" s="39" t="s">
        <v>89</v>
      </c>
      <c r="BK23" s="40"/>
      <c r="BM23" s="39" t="s">
        <v>89</v>
      </c>
      <c r="BN23" s="40"/>
      <c r="BP23" s="39" t="s">
        <v>89</v>
      </c>
      <c r="BQ23" s="40"/>
      <c r="BS23" s="39" t="s">
        <v>89</v>
      </c>
      <c r="BT23" s="40"/>
      <c r="BV23" s="39" t="s">
        <v>89</v>
      </c>
      <c r="BW23" s="40"/>
    </row>
    <row r="24" spans="1:75" x14ac:dyDescent="0.25">
      <c r="A24" s="6" t="s">
        <v>22</v>
      </c>
      <c r="H24" s="31" t="s">
        <v>61</v>
      </c>
      <c r="I24" s="32">
        <f>(I4+I5)-I22</f>
        <v>135.54999999999973</v>
      </c>
      <c r="J24" s="17"/>
      <c r="K24" s="31" t="s">
        <v>61</v>
      </c>
      <c r="L24" s="32">
        <f>(L4+L5)-L22</f>
        <v>117.31999999999972</v>
      </c>
      <c r="M24" s="17"/>
      <c r="N24" s="31" t="s">
        <v>61</v>
      </c>
      <c r="O24" s="33">
        <f>(O5-O22)+2400</f>
        <v>1651.7099999999996</v>
      </c>
      <c r="P24" s="17"/>
      <c r="Q24" s="31" t="s">
        <v>61</v>
      </c>
      <c r="R24" s="33">
        <f>R5-R22-R23</f>
        <v>553.8349999999997</v>
      </c>
      <c r="S24" s="17"/>
      <c r="T24" s="31" t="s">
        <v>61</v>
      </c>
      <c r="U24" s="33">
        <f>U5-U22-U23</f>
        <v>374.79499999999962</v>
      </c>
      <c r="W24" s="31" t="s">
        <v>61</v>
      </c>
      <c r="X24" s="33">
        <f>X5-X22-X23</f>
        <v>325.2774999999998</v>
      </c>
      <c r="Z24" s="31" t="s">
        <v>61</v>
      </c>
      <c r="AA24" s="33">
        <f>AA5-AA22-AA23</f>
        <v>962.36749999999984</v>
      </c>
      <c r="AC24" s="31" t="s">
        <v>61</v>
      </c>
      <c r="AD24" s="33">
        <f>AD5-AD22-AD23</f>
        <v>419.34749999999985</v>
      </c>
      <c r="AF24" s="31" t="s">
        <v>61</v>
      </c>
      <c r="AG24" s="33">
        <f>AG5-AG22-AG23</f>
        <v>351.57749999999976</v>
      </c>
      <c r="AI24" s="31" t="s">
        <v>61</v>
      </c>
      <c r="AJ24" s="33">
        <f>AJ5-AJ22-AJ23</f>
        <v>1866.1075000000001</v>
      </c>
      <c r="AL24" s="45" t="s">
        <v>270</v>
      </c>
      <c r="AM24" s="46">
        <v>87.5</v>
      </c>
      <c r="AO24" s="39" t="s">
        <v>126</v>
      </c>
      <c r="AP24" s="40">
        <v>0</v>
      </c>
      <c r="AR24" s="39" t="s">
        <v>126</v>
      </c>
      <c r="AS24" s="40"/>
      <c r="AU24" s="39" t="s">
        <v>126</v>
      </c>
      <c r="AV24" s="40">
        <v>0</v>
      </c>
      <c r="AX24" s="39" t="s">
        <v>126</v>
      </c>
      <c r="AY24" s="40">
        <v>0</v>
      </c>
      <c r="BA24" s="39" t="s">
        <v>126</v>
      </c>
      <c r="BB24" s="40"/>
      <c r="BD24" s="45" t="s">
        <v>357</v>
      </c>
      <c r="BE24" s="1">
        <v>124.19</v>
      </c>
      <c r="BG24" s="39" t="s">
        <v>126</v>
      </c>
      <c r="BH24" s="40"/>
      <c r="BJ24" s="39" t="s">
        <v>126</v>
      </c>
      <c r="BK24" s="40">
        <f>BK23+BK7</f>
        <v>506.98</v>
      </c>
      <c r="BM24" s="39" t="s">
        <v>126</v>
      </c>
      <c r="BN24" s="40">
        <f>BN7</f>
        <v>506.98</v>
      </c>
      <c r="BP24" s="39" t="s">
        <v>126</v>
      </c>
      <c r="BQ24" s="40"/>
      <c r="BS24" s="39" t="s">
        <v>126</v>
      </c>
      <c r="BT24" s="40"/>
      <c r="BV24" s="39" t="s">
        <v>126</v>
      </c>
      <c r="BW24" s="40"/>
    </row>
    <row r="25" spans="1:75" x14ac:dyDescent="0.25">
      <c r="A25" s="1" t="s">
        <v>28</v>
      </c>
      <c r="B25" s="1" t="s">
        <v>14</v>
      </c>
      <c r="D25" s="9">
        <f>C25</f>
        <v>0</v>
      </c>
      <c r="E25" s="1">
        <v>18.989999999999998</v>
      </c>
      <c r="L25" s="5"/>
      <c r="Q25" s="1" t="s">
        <v>124</v>
      </c>
      <c r="R25" s="5">
        <f>R24*0</f>
        <v>0</v>
      </c>
      <c r="T25" s="1" t="s">
        <v>124</v>
      </c>
      <c r="U25" s="5"/>
      <c r="W25" s="1" t="s">
        <v>124</v>
      </c>
      <c r="X25" s="5"/>
      <c r="Z25" s="1" t="s">
        <v>124</v>
      </c>
      <c r="AA25" s="5"/>
      <c r="AC25" s="1" t="s">
        <v>124</v>
      </c>
      <c r="AD25" s="5"/>
      <c r="AF25" s="1" t="s">
        <v>124</v>
      </c>
      <c r="AG25" s="5"/>
      <c r="AI25" s="1" t="s">
        <v>124</v>
      </c>
      <c r="AJ25" s="5"/>
      <c r="AL25" s="45" t="s">
        <v>270</v>
      </c>
      <c r="AM25" s="46">
        <v>122.5</v>
      </c>
      <c r="AO25" s="31" t="s">
        <v>61</v>
      </c>
      <c r="AP25" s="33">
        <f>AP5-AP22-AP23</f>
        <v>142.26999999999998</v>
      </c>
      <c r="AR25" s="31" t="s">
        <v>61</v>
      </c>
      <c r="AS25" s="33">
        <f>AS5-AS22-AS23</f>
        <v>704.49999999999977</v>
      </c>
      <c r="AU25" s="31" t="s">
        <v>61</v>
      </c>
      <c r="AV25" s="33">
        <f>AV5-AV22-AV23+101.13</f>
        <v>-246.52000000000032</v>
      </c>
      <c r="AX25" s="31" t="s">
        <v>61</v>
      </c>
      <c r="AY25" s="33">
        <f>AY5-AY22-AY23</f>
        <v>111.11999999999966</v>
      </c>
      <c r="BA25" s="31" t="s">
        <v>61</v>
      </c>
      <c r="BB25" s="33">
        <f>BB5-BB22-BB23</f>
        <v>2260.2699999999995</v>
      </c>
      <c r="BD25" s="45" t="s">
        <v>358</v>
      </c>
      <c r="BE25" s="1">
        <v>78.8</v>
      </c>
      <c r="BG25" s="31" t="s">
        <v>61</v>
      </c>
      <c r="BH25" s="33">
        <f>BH5-BH22-BH23</f>
        <v>306.97000000000003</v>
      </c>
      <c r="BJ25" s="31" t="s">
        <v>61</v>
      </c>
      <c r="BK25" s="33">
        <f>BK5-BK22-BK23</f>
        <v>2147.13</v>
      </c>
      <c r="BM25" s="31" t="s">
        <v>61</v>
      </c>
      <c r="BN25" s="33">
        <f>BN5-BN22-BN23</f>
        <v>1560.6200000000001</v>
      </c>
      <c r="BP25" s="31" t="s">
        <v>61</v>
      </c>
      <c r="BQ25" s="33">
        <f>BQ5-BQ22-BQ23</f>
        <v>891.19</v>
      </c>
      <c r="BS25" s="31" t="s">
        <v>61</v>
      </c>
      <c r="BT25" s="33">
        <f>BT5-BT22-BT23</f>
        <v>2967.42</v>
      </c>
      <c r="BV25" s="31" t="s">
        <v>61</v>
      </c>
      <c r="BW25" s="33">
        <f>BW5-BW22-BW23</f>
        <v>2700.42</v>
      </c>
    </row>
    <row r="26" spans="1:75" x14ac:dyDescent="0.25">
      <c r="A26" s="24" t="s">
        <v>74</v>
      </c>
      <c r="B26" s="1" t="s">
        <v>19</v>
      </c>
      <c r="C26" s="9">
        <v>262</v>
      </c>
      <c r="D26" s="9">
        <f>C26</f>
        <v>262</v>
      </c>
      <c r="H26" s="2" t="s">
        <v>97</v>
      </c>
      <c r="K26" s="2" t="s">
        <v>97</v>
      </c>
      <c r="N26" s="1" t="s">
        <v>97</v>
      </c>
      <c r="Q26" s="38" t="s">
        <v>125</v>
      </c>
      <c r="R26" s="37">
        <f>R24-R25</f>
        <v>553.8349999999997</v>
      </c>
      <c r="T26" s="38" t="s">
        <v>125</v>
      </c>
      <c r="U26" s="37">
        <f>U24-U25</f>
        <v>374.79499999999962</v>
      </c>
      <c r="W26" s="38" t="s">
        <v>125</v>
      </c>
      <c r="X26" s="37">
        <f>X24-X25</f>
        <v>325.2774999999998</v>
      </c>
      <c r="Z26" s="38" t="s">
        <v>125</v>
      </c>
      <c r="AA26" s="37">
        <f>AA24-AA25</f>
        <v>962.36749999999984</v>
      </c>
      <c r="AC26" s="38" t="s">
        <v>125</v>
      </c>
      <c r="AD26" s="37">
        <f>AD24-AD25</f>
        <v>419.34749999999985</v>
      </c>
      <c r="AF26" s="38" t="s">
        <v>125</v>
      </c>
      <c r="AG26" s="37">
        <f>AG24-AG25</f>
        <v>351.57749999999976</v>
      </c>
      <c r="AI26" s="38" t="s">
        <v>125</v>
      </c>
      <c r="AJ26" s="37">
        <f>AJ24-AJ25</f>
        <v>1866.1075000000001</v>
      </c>
      <c r="AL26" s="7" t="s">
        <v>44</v>
      </c>
      <c r="AM26" s="4">
        <f>SUM(AM11:AM25)</f>
        <v>1454.1399999999999</v>
      </c>
      <c r="AO26" s="1" t="s">
        <v>124</v>
      </c>
      <c r="AP26" s="5"/>
      <c r="AR26" s="1" t="s">
        <v>124</v>
      </c>
      <c r="AS26" s="5">
        <v>223</v>
      </c>
      <c r="AU26" s="1" t="s">
        <v>124</v>
      </c>
      <c r="AV26" s="5"/>
      <c r="AX26" s="1" t="s">
        <v>124</v>
      </c>
      <c r="AY26" s="5"/>
      <c r="BA26" s="1" t="s">
        <v>124</v>
      </c>
      <c r="BB26" s="5"/>
      <c r="BD26" s="7" t="s">
        <v>44</v>
      </c>
      <c r="BE26" s="4">
        <f>SUM(BE10:BE25)</f>
        <v>4559.3599999999997</v>
      </c>
      <c r="BG26" s="1" t="s">
        <v>124</v>
      </c>
      <c r="BH26" s="5">
        <v>100</v>
      </c>
      <c r="BJ26" s="1" t="s">
        <v>124</v>
      </c>
      <c r="BK26" s="5"/>
      <c r="BM26" s="1" t="s">
        <v>124</v>
      </c>
      <c r="BN26" s="5"/>
      <c r="BP26" s="1" t="s">
        <v>124</v>
      </c>
      <c r="BQ26" s="5"/>
      <c r="BS26" s="1" t="s">
        <v>124</v>
      </c>
      <c r="BT26" s="5"/>
      <c r="BV26" s="1" t="s">
        <v>124</v>
      </c>
      <c r="BW26" s="5"/>
    </row>
    <row r="27" spans="1:75" x14ac:dyDescent="0.25">
      <c r="A27" s="1" t="s">
        <v>33</v>
      </c>
      <c r="B27" s="1" t="s">
        <v>19</v>
      </c>
      <c r="C27" s="9">
        <v>78</v>
      </c>
      <c r="D27" s="9">
        <f t="shared" ref="D27:D35" si="2">C27</f>
        <v>78</v>
      </c>
      <c r="H27" s="34">
        <v>45072</v>
      </c>
      <c r="K27" s="1" t="s">
        <v>149</v>
      </c>
      <c r="N27" s="1" t="s">
        <v>151</v>
      </c>
      <c r="AL27" s="39" t="s">
        <v>89</v>
      </c>
      <c r="AM27" s="40">
        <v>400</v>
      </c>
      <c r="AO27" s="38" t="s">
        <v>125</v>
      </c>
      <c r="AP27" s="37">
        <f>AP25-AP26</f>
        <v>142.26999999999998</v>
      </c>
      <c r="AR27" s="60" t="s">
        <v>195</v>
      </c>
      <c r="AS27" s="61">
        <v>100</v>
      </c>
      <c r="AU27" s="38" t="s">
        <v>125</v>
      </c>
      <c r="AV27" s="37">
        <f>AV25-AV26</f>
        <v>-246.52000000000032</v>
      </c>
      <c r="AX27" s="38" t="s">
        <v>125</v>
      </c>
      <c r="AY27" s="37">
        <f>AY25-AY26</f>
        <v>111.11999999999966</v>
      </c>
      <c r="BA27" s="38" t="s">
        <v>125</v>
      </c>
      <c r="BB27" s="37">
        <f>BB25-BB26</f>
        <v>2260.2699999999995</v>
      </c>
      <c r="BD27" s="39" t="s">
        <v>89</v>
      </c>
      <c r="BE27" s="40"/>
      <c r="BG27" s="38" t="s">
        <v>125</v>
      </c>
      <c r="BH27" s="37">
        <f>BH25</f>
        <v>306.97000000000003</v>
      </c>
      <c r="BJ27" s="38" t="s">
        <v>125</v>
      </c>
      <c r="BK27" s="37">
        <f>BK25-BK26</f>
        <v>2147.13</v>
      </c>
      <c r="BM27" s="38" t="s">
        <v>125</v>
      </c>
      <c r="BN27" s="37">
        <f>BN25-BN26</f>
        <v>1560.6200000000001</v>
      </c>
      <c r="BP27" s="38" t="s">
        <v>125</v>
      </c>
      <c r="BQ27" s="37">
        <f>BQ25-BQ26</f>
        <v>891.19</v>
      </c>
      <c r="BS27" s="38" t="s">
        <v>125</v>
      </c>
      <c r="BT27" s="37">
        <f>BT25-BT26</f>
        <v>2967.42</v>
      </c>
      <c r="BV27" s="38" t="s">
        <v>125</v>
      </c>
      <c r="BW27" s="37">
        <f>BW25-BW26</f>
        <v>2700.42</v>
      </c>
    </row>
    <row r="28" spans="1:75" x14ac:dyDescent="0.25">
      <c r="A28" s="1" t="s">
        <v>38</v>
      </c>
      <c r="B28" s="1" t="s">
        <v>19</v>
      </c>
      <c r="C28" s="9">
        <v>53</v>
      </c>
      <c r="D28" s="9">
        <f t="shared" si="2"/>
        <v>53</v>
      </c>
      <c r="H28" s="1" t="s">
        <v>99</v>
      </c>
      <c r="K28" s="1" t="s">
        <v>148</v>
      </c>
      <c r="Q28" s="2" t="s">
        <v>97</v>
      </c>
      <c r="T28" s="2" t="s">
        <v>97</v>
      </c>
      <c r="W28" s="2" t="s">
        <v>117</v>
      </c>
      <c r="X28" s="2"/>
      <c r="Y28" s="2"/>
      <c r="Z28" s="2" t="s">
        <v>117</v>
      </c>
      <c r="AC28" s="2" t="s">
        <v>117</v>
      </c>
      <c r="AL28" s="39" t="s">
        <v>126</v>
      </c>
      <c r="AM28" s="40">
        <f>AM7-AM10</f>
        <v>1425.3874999999998</v>
      </c>
      <c r="AR28" s="38" t="s">
        <v>125</v>
      </c>
      <c r="AS28" s="37">
        <f>AS25-AS26-AS27</f>
        <v>381.49999999999977</v>
      </c>
      <c r="BD28" s="39" t="s">
        <v>126</v>
      </c>
      <c r="BE28" s="40">
        <f>BE7-BE10</f>
        <v>21.947499999999764</v>
      </c>
    </row>
    <row r="29" spans="1:75" x14ac:dyDescent="0.25">
      <c r="A29" s="1" t="s">
        <v>43</v>
      </c>
      <c r="B29" s="1" t="s">
        <v>19</v>
      </c>
      <c r="C29" s="9">
        <v>480</v>
      </c>
      <c r="D29" s="9">
        <f t="shared" si="2"/>
        <v>480</v>
      </c>
      <c r="H29" s="1" t="s">
        <v>100</v>
      </c>
      <c r="T29" s="1" t="s">
        <v>208</v>
      </c>
      <c r="U29" s="63">
        <v>58.1</v>
      </c>
      <c r="W29" s="1" t="s">
        <v>206</v>
      </c>
      <c r="Z29" s="1" t="s">
        <v>241</v>
      </c>
      <c r="AC29" s="1" t="s">
        <v>263</v>
      </c>
      <c r="AL29" s="31" t="s">
        <v>61</v>
      </c>
      <c r="AM29" s="33">
        <f>AM5-AM26-AM27</f>
        <v>515.9675000000002</v>
      </c>
      <c r="AS29" s="5"/>
      <c r="BD29" s="31" t="s">
        <v>61</v>
      </c>
      <c r="BE29" s="89">
        <v>509.95</v>
      </c>
      <c r="BF29" s="1" t="s">
        <v>367</v>
      </c>
    </row>
    <row r="30" spans="1:75" x14ac:dyDescent="0.25">
      <c r="A30" s="26" t="s">
        <v>29</v>
      </c>
      <c r="B30" s="25" t="s">
        <v>93</v>
      </c>
      <c r="C30" s="27">
        <v>82</v>
      </c>
      <c r="D30" s="27">
        <f>C30</f>
        <v>82</v>
      </c>
      <c r="H30" s="1" t="s">
        <v>142</v>
      </c>
      <c r="N30" s="5"/>
      <c r="R30" s="5"/>
      <c r="W30" s="5"/>
      <c r="AC30" s="1" t="s">
        <v>268</v>
      </c>
      <c r="AL30" s="1" t="s">
        <v>124</v>
      </c>
      <c r="AM30" s="5">
        <v>100</v>
      </c>
      <c r="AS30" s="5"/>
      <c r="AU30" s="2" t="s">
        <v>346</v>
      </c>
      <c r="AV30" s="5"/>
      <c r="AX30" s="2" t="s">
        <v>346</v>
      </c>
      <c r="BD30" s="1" t="s">
        <v>124</v>
      </c>
      <c r="BE30" s="5">
        <v>100</v>
      </c>
      <c r="BH30" s="5"/>
    </row>
    <row r="31" spans="1:75" x14ac:dyDescent="0.25">
      <c r="A31" s="1" t="s">
        <v>34</v>
      </c>
      <c r="B31" s="1" t="s">
        <v>30</v>
      </c>
      <c r="C31" s="9">
        <v>69</v>
      </c>
      <c r="D31" s="9">
        <f>C31</f>
        <v>69</v>
      </c>
      <c r="R31" s="5"/>
      <c r="AL31" s="38" t="s">
        <v>125</v>
      </c>
      <c r="AM31" s="84">
        <f>AM29-AM30</f>
        <v>415.9675000000002</v>
      </c>
      <c r="AS31" s="5"/>
      <c r="AU31" s="1" t="s">
        <v>347</v>
      </c>
      <c r="AV31" s="5"/>
      <c r="AX31" s="1" t="s">
        <v>348</v>
      </c>
      <c r="BD31" s="38" t="s">
        <v>125</v>
      </c>
      <c r="BE31" s="37">
        <f>BE29-BE30</f>
        <v>409.95</v>
      </c>
    </row>
    <row r="32" spans="1:75" x14ac:dyDescent="0.25">
      <c r="A32" s="1" t="s">
        <v>41</v>
      </c>
      <c r="B32" s="1" t="s">
        <v>42</v>
      </c>
      <c r="C32" s="9">
        <v>99</v>
      </c>
      <c r="D32" s="9">
        <f>C32</f>
        <v>99</v>
      </c>
      <c r="H32" s="42" t="s">
        <v>143</v>
      </c>
      <c r="R32" s="5"/>
      <c r="X32" s="4"/>
    </row>
    <row r="33" spans="1:57" x14ac:dyDescent="0.25">
      <c r="A33" s="26" t="s">
        <v>35</v>
      </c>
      <c r="B33" s="25" t="s">
        <v>73</v>
      </c>
      <c r="C33" s="27">
        <v>290</v>
      </c>
      <c r="D33" s="27">
        <f t="shared" si="2"/>
        <v>290</v>
      </c>
      <c r="H33" s="45" t="s">
        <v>154</v>
      </c>
      <c r="X33" s="5"/>
      <c r="AL33" s="2" t="s">
        <v>117</v>
      </c>
      <c r="AS33" s="4"/>
    </row>
    <row r="34" spans="1:57" x14ac:dyDescent="0.25">
      <c r="A34" s="24" t="s">
        <v>83</v>
      </c>
      <c r="B34" s="1" t="s">
        <v>25</v>
      </c>
      <c r="C34" s="9">
        <v>270</v>
      </c>
      <c r="D34" s="9">
        <f t="shared" si="2"/>
        <v>270</v>
      </c>
      <c r="X34" s="5"/>
      <c r="AA34" s="5"/>
      <c r="AC34" s="4"/>
      <c r="AD34" s="5"/>
      <c r="AL34" s="80" t="s">
        <v>275</v>
      </c>
      <c r="AM34" s="5"/>
      <c r="AS34" s="4"/>
    </row>
    <row r="35" spans="1:57" x14ac:dyDescent="0.25">
      <c r="A35" s="1" t="s">
        <v>32</v>
      </c>
      <c r="B35" s="1" t="s">
        <v>94</v>
      </c>
      <c r="C35" s="10">
        <v>99.93</v>
      </c>
      <c r="D35" s="9">
        <f t="shared" si="2"/>
        <v>99.93</v>
      </c>
      <c r="AA35" s="5"/>
      <c r="AC35" s="4"/>
      <c r="AM35" s="5"/>
      <c r="BE35" s="5"/>
    </row>
    <row r="36" spans="1:57" ht="15.75" thickBot="1" x14ac:dyDescent="0.3">
      <c r="AA36" s="5"/>
      <c r="AC36" s="4"/>
    </row>
    <row r="37" spans="1:57" ht="15.75" thickBot="1" x14ac:dyDescent="0.3">
      <c r="A37" s="12" t="s">
        <v>44</v>
      </c>
      <c r="B37" s="13"/>
      <c r="C37" s="14">
        <f>SUM(C2:C36)</f>
        <v>6625.4100000000008</v>
      </c>
      <c r="D37" s="15">
        <f>SUM(D2:D36)</f>
        <v>6460.2400000000007</v>
      </c>
      <c r="AC37" s="4"/>
    </row>
    <row r="38" spans="1:57" x14ac:dyDescent="0.25">
      <c r="R38" s="5"/>
    </row>
    <row r="39" spans="1:57" x14ac:dyDescent="0.25">
      <c r="R39" s="5"/>
    </row>
    <row r="50" spans="49:49" x14ac:dyDescent="0.25">
      <c r="AW50" s="9"/>
    </row>
    <row r="51" spans="49:49" x14ac:dyDescent="0.25">
      <c r="AW51" s="4"/>
    </row>
    <row r="52" spans="49:49" x14ac:dyDescent="0.25">
      <c r="AW52" s="4"/>
    </row>
    <row r="53" spans="49:49" x14ac:dyDescent="0.25">
      <c r="AW53" s="4"/>
    </row>
    <row r="58" spans="49:49" x14ac:dyDescent="0.25">
      <c r="AW58" s="5"/>
    </row>
    <row r="59" spans="49:49" x14ac:dyDescent="0.25">
      <c r="AW59" s="5"/>
    </row>
  </sheetData>
  <mergeCells count="1">
    <mergeCell ref="Q9:R9"/>
  </mergeCells>
  <phoneticPr fontId="4" type="noConversion"/>
  <conditionalFormatting sqref="H24:M24 P24:U24 W24:X24 Z24:AA24 AC24:AD24">
    <cfRule type="cellIs" dxfId="35" priority="36" operator="lessThan">
      <formula>0</formula>
    </cfRule>
  </conditionalFormatting>
  <conditionalFormatting sqref="Q26">
    <cfRule type="cellIs" dxfId="34" priority="32" operator="lessThan">
      <formula>0</formula>
    </cfRule>
  </conditionalFormatting>
  <conditionalFormatting sqref="T26">
    <cfRule type="cellIs" dxfId="33" priority="31" operator="lessThan">
      <formula>0</formula>
    </cfRule>
  </conditionalFormatting>
  <conditionalFormatting sqref="W26">
    <cfRule type="cellIs" dxfId="32" priority="30" operator="lessThan">
      <formula>0</formula>
    </cfRule>
  </conditionalFormatting>
  <conditionalFormatting sqref="Z26">
    <cfRule type="cellIs" dxfId="31" priority="29" operator="lessThan">
      <formula>0</formula>
    </cfRule>
  </conditionalFormatting>
  <conditionalFormatting sqref="AC26">
    <cfRule type="cellIs" dxfId="30" priority="28" operator="lessThan">
      <formula>0</formula>
    </cfRule>
  </conditionalFormatting>
  <conditionalFormatting sqref="AF26">
    <cfRule type="cellIs" dxfId="29" priority="27" operator="lessThan">
      <formula>0</formula>
    </cfRule>
  </conditionalFormatting>
  <conditionalFormatting sqref="AF24:AG24">
    <cfRule type="cellIs" dxfId="28" priority="35" operator="lessThan">
      <formula>0</formula>
    </cfRule>
  </conditionalFormatting>
  <conditionalFormatting sqref="AI26">
    <cfRule type="cellIs" dxfId="27" priority="26" operator="lessThan">
      <formula>0</formula>
    </cfRule>
  </conditionalFormatting>
  <conditionalFormatting sqref="AI24:AJ24">
    <cfRule type="cellIs" dxfId="26" priority="34" operator="lessThan">
      <formula>0</formula>
    </cfRule>
  </conditionalFormatting>
  <conditionalFormatting sqref="AL31">
    <cfRule type="cellIs" dxfId="25" priority="25" operator="lessThan">
      <formula>0</formula>
    </cfRule>
  </conditionalFormatting>
  <conditionalFormatting sqref="AL29:AM29">
    <cfRule type="cellIs" dxfId="24" priority="33" operator="lessThan">
      <formula>0</formula>
    </cfRule>
  </conditionalFormatting>
  <conditionalFormatting sqref="AO27">
    <cfRule type="cellIs" dxfId="23" priority="23" operator="lessThan">
      <formula>0</formula>
    </cfRule>
  </conditionalFormatting>
  <conditionalFormatting sqref="AO25:AP25">
    <cfRule type="cellIs" dxfId="22" priority="24" operator="lessThan">
      <formula>0</formula>
    </cfRule>
  </conditionalFormatting>
  <conditionalFormatting sqref="AR28">
    <cfRule type="cellIs" dxfId="21" priority="21" operator="lessThan">
      <formula>0</formula>
    </cfRule>
  </conditionalFormatting>
  <conditionalFormatting sqref="AR25:AS25">
    <cfRule type="cellIs" dxfId="20" priority="22" operator="lessThan">
      <formula>0</formula>
    </cfRule>
  </conditionalFormatting>
  <conditionalFormatting sqref="AU27">
    <cfRule type="cellIs" dxfId="19" priority="19" operator="lessThan">
      <formula>0</formula>
    </cfRule>
  </conditionalFormatting>
  <conditionalFormatting sqref="AU25:AV25">
    <cfRule type="cellIs" dxfId="18" priority="20" operator="lessThan">
      <formula>0</formula>
    </cfRule>
  </conditionalFormatting>
  <conditionalFormatting sqref="AX27">
    <cfRule type="cellIs" dxfId="17" priority="17" operator="lessThan">
      <formula>0</formula>
    </cfRule>
  </conditionalFormatting>
  <conditionalFormatting sqref="AX25:AY25">
    <cfRule type="cellIs" dxfId="16" priority="18" operator="lessThan">
      <formula>0</formula>
    </cfRule>
  </conditionalFormatting>
  <conditionalFormatting sqref="BA27">
    <cfRule type="cellIs" dxfId="15" priority="15" operator="lessThan">
      <formula>0</formula>
    </cfRule>
  </conditionalFormatting>
  <conditionalFormatting sqref="BA25:BB25">
    <cfRule type="cellIs" dxfId="14" priority="16" operator="lessThan">
      <formula>0</formula>
    </cfRule>
  </conditionalFormatting>
  <conditionalFormatting sqref="BD31">
    <cfRule type="cellIs" dxfId="13" priority="13" operator="lessThan">
      <formula>0</formula>
    </cfRule>
  </conditionalFormatting>
  <conditionalFormatting sqref="BD29:BE29">
    <cfRule type="cellIs" dxfId="12" priority="14" operator="lessThan">
      <formula>0</formula>
    </cfRule>
  </conditionalFormatting>
  <conditionalFormatting sqref="BG27">
    <cfRule type="cellIs" dxfId="11" priority="11" operator="lessThan">
      <formula>0</formula>
    </cfRule>
  </conditionalFormatting>
  <conditionalFormatting sqref="BG25:BH25">
    <cfRule type="cellIs" dxfId="10" priority="12" operator="lessThan">
      <formula>0</formula>
    </cfRule>
  </conditionalFormatting>
  <conditionalFormatting sqref="BJ27">
    <cfRule type="cellIs" dxfId="9" priority="9" operator="lessThan">
      <formula>0</formula>
    </cfRule>
  </conditionalFormatting>
  <conditionalFormatting sqref="BJ25:BK25">
    <cfRule type="cellIs" dxfId="8" priority="10" operator="lessThan">
      <formula>0</formula>
    </cfRule>
  </conditionalFormatting>
  <conditionalFormatting sqref="BM27">
    <cfRule type="cellIs" dxfId="7" priority="7" operator="lessThan">
      <formula>0</formula>
    </cfRule>
  </conditionalFormatting>
  <conditionalFormatting sqref="BM25:BN25">
    <cfRule type="cellIs" dxfId="6" priority="8" operator="lessThan">
      <formula>0</formula>
    </cfRule>
  </conditionalFormatting>
  <conditionalFormatting sqref="BP27">
    <cfRule type="cellIs" dxfId="5" priority="5" operator="lessThan">
      <formula>0</formula>
    </cfRule>
  </conditionalFormatting>
  <conditionalFormatting sqref="BP25:BQ25">
    <cfRule type="cellIs" dxfId="4" priority="6" operator="lessThan">
      <formula>0</formula>
    </cfRule>
  </conditionalFormatting>
  <conditionalFormatting sqref="BS27">
    <cfRule type="cellIs" dxfId="3" priority="3" operator="lessThan">
      <formula>0</formula>
    </cfRule>
  </conditionalFormatting>
  <conditionalFormatting sqref="BS25:BT25">
    <cfRule type="cellIs" dxfId="2" priority="4" operator="lessThan">
      <formula>0</formula>
    </cfRule>
  </conditionalFormatting>
  <conditionalFormatting sqref="BV27">
    <cfRule type="cellIs" dxfId="1" priority="1" operator="lessThan">
      <formula>0</formula>
    </cfRule>
  </conditionalFormatting>
  <conditionalFormatting sqref="BV25:BW25">
    <cfRule type="cellIs" dxfId="0" priority="2" operator="lessThan">
      <formula>0</formula>
    </cfRule>
  </conditionalFormatting>
  <pageMargins left="0.7" right="0.7" top="0.75" bottom="0.75" header="0.3" footer="0.3"/>
  <pageSetup orientation="portrait" verticalDpi="300" copies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8F72-83C9-441C-9C43-371B300769DE}">
  <dimension ref="A1:P44"/>
  <sheetViews>
    <sheetView topLeftCell="E1" zoomScale="90" zoomScaleNormal="90" workbookViewId="0">
      <selection activeCell="P23" sqref="P23"/>
    </sheetView>
  </sheetViews>
  <sheetFormatPr defaultRowHeight="15" x14ac:dyDescent="0.25"/>
  <cols>
    <col min="1" max="1" width="33.140625" bestFit="1" customWidth="1"/>
    <col min="2" max="2" width="9.5703125" bestFit="1" customWidth="1"/>
    <col min="3" max="3" width="18.140625" bestFit="1" customWidth="1"/>
    <col min="4" max="4" width="9.5703125" bestFit="1" customWidth="1"/>
    <col min="5" max="5" width="31.7109375" bestFit="1" customWidth="1"/>
    <col min="6" max="6" width="9.7109375" style="53" bestFit="1" customWidth="1"/>
    <col min="7" max="7" width="25.42578125" bestFit="1" customWidth="1"/>
    <col min="8" max="8" width="9.5703125" style="53" bestFit="1" customWidth="1"/>
    <col min="9" max="9" width="20.28515625" bestFit="1" customWidth="1"/>
    <col min="10" max="10" width="10.140625" style="53" bestFit="1" customWidth="1"/>
    <col min="11" max="11" width="1.7109375" style="76" customWidth="1"/>
    <col min="12" max="12" width="14.140625" bestFit="1" customWidth="1"/>
    <col min="13" max="13" width="9.5703125" style="53" bestFit="1" customWidth="1"/>
    <col min="14" max="14" width="1.28515625" customWidth="1"/>
    <col min="15" max="15" width="13.140625" customWidth="1"/>
    <col min="16" max="16" width="8.7109375" style="53"/>
  </cols>
  <sheetData>
    <row r="1" spans="1:16" x14ac:dyDescent="0.25">
      <c r="A1" s="56" t="s">
        <v>158</v>
      </c>
      <c r="B1" s="70">
        <v>45081</v>
      </c>
      <c r="C1" s="70"/>
      <c r="D1" s="70">
        <v>45085</v>
      </c>
      <c r="E1" s="70">
        <v>45087</v>
      </c>
      <c r="G1" s="70">
        <v>45094</v>
      </c>
      <c r="I1" s="70">
        <v>45101</v>
      </c>
      <c r="L1" s="70">
        <v>45108</v>
      </c>
      <c r="N1" s="76"/>
      <c r="O1" s="70">
        <v>45122</v>
      </c>
    </row>
    <row r="2" spans="1:16" x14ac:dyDescent="0.25">
      <c r="A2" s="52" t="s">
        <v>159</v>
      </c>
      <c r="B2" s="52" t="s">
        <v>160</v>
      </c>
      <c r="C2" s="52" t="s">
        <v>159</v>
      </c>
      <c r="D2" s="52" t="s">
        <v>160</v>
      </c>
      <c r="E2" s="52" t="s">
        <v>159</v>
      </c>
      <c r="F2" s="64" t="s">
        <v>160</v>
      </c>
      <c r="G2" s="52" t="s">
        <v>159</v>
      </c>
      <c r="H2" s="64" t="s">
        <v>160</v>
      </c>
      <c r="I2" s="52" t="s">
        <v>159</v>
      </c>
      <c r="J2" s="64" t="s">
        <v>160</v>
      </c>
      <c r="L2" s="52" t="s">
        <v>159</v>
      </c>
      <c r="M2" s="64" t="s">
        <v>160</v>
      </c>
      <c r="N2" s="76"/>
      <c r="O2" s="52" t="s">
        <v>159</v>
      </c>
      <c r="P2" s="64" t="s">
        <v>160</v>
      </c>
    </row>
    <row r="3" spans="1:16" x14ac:dyDescent="0.25">
      <c r="A3" s="51" t="s">
        <v>163</v>
      </c>
      <c r="B3" s="53"/>
      <c r="E3" s="51" t="s">
        <v>163</v>
      </c>
      <c r="G3" s="51" t="s">
        <v>163</v>
      </c>
      <c r="I3" s="51" t="s">
        <v>163</v>
      </c>
      <c r="L3" s="51" t="s">
        <v>163</v>
      </c>
      <c r="N3" s="76"/>
      <c r="O3" s="51" t="s">
        <v>163</v>
      </c>
    </row>
    <row r="4" spans="1:16" x14ac:dyDescent="0.25">
      <c r="A4" t="s">
        <v>164</v>
      </c>
      <c r="B4" s="53">
        <v>9.93</v>
      </c>
      <c r="E4" t="s">
        <v>211</v>
      </c>
      <c r="F4" s="53">
        <v>10.38</v>
      </c>
      <c r="G4" t="s">
        <v>245</v>
      </c>
      <c r="H4" s="53">
        <v>11.99</v>
      </c>
      <c r="L4" t="s">
        <v>296</v>
      </c>
      <c r="M4" s="53">
        <v>3.84</v>
      </c>
      <c r="N4" s="76"/>
      <c r="O4" t="s">
        <v>326</v>
      </c>
      <c r="P4" s="53">
        <v>13.98</v>
      </c>
    </row>
    <row r="5" spans="1:16" x14ac:dyDescent="0.25">
      <c r="A5" t="s">
        <v>165</v>
      </c>
      <c r="B5" s="53">
        <v>9.44</v>
      </c>
      <c r="E5" s="51" t="s">
        <v>167</v>
      </c>
      <c r="G5" s="51" t="s">
        <v>167</v>
      </c>
      <c r="I5" s="51" t="s">
        <v>167</v>
      </c>
      <c r="L5" t="s">
        <v>297</v>
      </c>
      <c r="M5" s="53">
        <v>9.67</v>
      </c>
      <c r="N5" s="76"/>
      <c r="O5" s="51" t="s">
        <v>167</v>
      </c>
    </row>
    <row r="6" spans="1:16" x14ac:dyDescent="0.25">
      <c r="A6" t="s">
        <v>166</v>
      </c>
      <c r="B6" s="53">
        <v>12.03</v>
      </c>
      <c r="E6" s="76" t="s">
        <v>213</v>
      </c>
      <c r="F6" s="72">
        <v>2.4900000000000002</v>
      </c>
      <c r="G6" s="76" t="s">
        <v>246</v>
      </c>
      <c r="H6" s="72">
        <v>2.36</v>
      </c>
      <c r="I6" t="s">
        <v>276</v>
      </c>
      <c r="J6" s="53">
        <v>1.33</v>
      </c>
      <c r="L6" s="51" t="s">
        <v>167</v>
      </c>
      <c r="N6" s="76"/>
      <c r="O6" s="76" t="s">
        <v>298</v>
      </c>
      <c r="P6" s="72">
        <v>2</v>
      </c>
    </row>
    <row r="7" spans="1:16" x14ac:dyDescent="0.25">
      <c r="A7" s="51" t="s">
        <v>167</v>
      </c>
      <c r="B7" s="53"/>
      <c r="E7" t="s">
        <v>212</v>
      </c>
      <c r="F7" s="53">
        <v>2</v>
      </c>
      <c r="G7" s="76" t="s">
        <v>213</v>
      </c>
      <c r="H7" s="72">
        <v>2.4900000000000002</v>
      </c>
      <c r="I7" t="s">
        <v>286</v>
      </c>
      <c r="J7" s="53">
        <v>3</v>
      </c>
      <c r="L7" s="76" t="s">
        <v>298</v>
      </c>
      <c r="M7" s="72">
        <v>5.12</v>
      </c>
      <c r="N7" s="76"/>
      <c r="O7" t="s">
        <v>327</v>
      </c>
      <c r="P7" s="53">
        <v>2.0499999999999998</v>
      </c>
    </row>
    <row r="8" spans="1:16" x14ac:dyDescent="0.25">
      <c r="A8" s="76" t="s">
        <v>168</v>
      </c>
      <c r="B8" s="72">
        <v>2.4900000000000002</v>
      </c>
      <c r="E8" s="76" t="s">
        <v>214</v>
      </c>
      <c r="F8" s="72">
        <v>1.97</v>
      </c>
      <c r="G8" t="s">
        <v>247</v>
      </c>
      <c r="H8" s="53">
        <v>0.28000000000000003</v>
      </c>
      <c r="I8" t="s">
        <v>277</v>
      </c>
      <c r="J8" s="53">
        <v>5</v>
      </c>
      <c r="L8" t="s">
        <v>299</v>
      </c>
      <c r="M8" s="53">
        <v>1.8</v>
      </c>
      <c r="N8" s="76"/>
      <c r="O8" s="76" t="s">
        <v>328</v>
      </c>
      <c r="P8" s="72">
        <v>1.69</v>
      </c>
    </row>
    <row r="9" spans="1:16" x14ac:dyDescent="0.25">
      <c r="A9" t="s">
        <v>169</v>
      </c>
      <c r="B9" s="53">
        <v>0.99</v>
      </c>
      <c r="E9" t="s">
        <v>171</v>
      </c>
      <c r="F9" s="53">
        <v>0.99</v>
      </c>
      <c r="G9" s="76" t="s">
        <v>173</v>
      </c>
      <c r="H9" s="72">
        <v>3.41</v>
      </c>
      <c r="I9" t="s">
        <v>278</v>
      </c>
      <c r="J9" s="53">
        <v>2.4300000000000002</v>
      </c>
      <c r="L9" s="76" t="s">
        <v>280</v>
      </c>
      <c r="M9" s="72">
        <v>2.16</v>
      </c>
      <c r="N9" s="76"/>
      <c r="O9" t="s">
        <v>329</v>
      </c>
      <c r="P9" s="53">
        <v>1.32</v>
      </c>
    </row>
    <row r="10" spans="1:16" x14ac:dyDescent="0.25">
      <c r="A10" t="s">
        <v>170</v>
      </c>
      <c r="B10" s="53">
        <v>0.52</v>
      </c>
      <c r="E10" t="s">
        <v>215</v>
      </c>
      <c r="F10" s="53">
        <v>2.99</v>
      </c>
      <c r="G10" t="s">
        <v>248</v>
      </c>
      <c r="H10" s="53">
        <v>0.88</v>
      </c>
      <c r="I10" t="s">
        <v>279</v>
      </c>
      <c r="J10" s="53">
        <v>1.33</v>
      </c>
      <c r="L10" t="s">
        <v>300</v>
      </c>
      <c r="M10" s="53">
        <v>1.48</v>
      </c>
      <c r="N10" s="76"/>
      <c r="O10" t="s">
        <v>278</v>
      </c>
      <c r="P10" s="53">
        <v>2.38</v>
      </c>
    </row>
    <row r="11" spans="1:16" x14ac:dyDescent="0.25">
      <c r="A11" t="s">
        <v>171</v>
      </c>
      <c r="B11" s="53">
        <v>0.99</v>
      </c>
      <c r="E11" s="76" t="s">
        <v>175</v>
      </c>
      <c r="F11" s="72">
        <v>1.99</v>
      </c>
      <c r="G11" t="s">
        <v>249</v>
      </c>
      <c r="H11" s="53">
        <v>0.99</v>
      </c>
      <c r="I11" s="76" t="s">
        <v>280</v>
      </c>
      <c r="J11" s="72">
        <v>1.33</v>
      </c>
      <c r="L11" t="s">
        <v>301</v>
      </c>
      <c r="M11" s="53">
        <v>0.99</v>
      </c>
      <c r="N11" s="76"/>
      <c r="O11" t="s">
        <v>330</v>
      </c>
      <c r="P11" s="53">
        <v>2.31</v>
      </c>
    </row>
    <row r="12" spans="1:16" x14ac:dyDescent="0.25">
      <c r="A12" t="s">
        <v>172</v>
      </c>
      <c r="B12" s="53">
        <v>2.69</v>
      </c>
      <c r="E12" t="s">
        <v>216</v>
      </c>
      <c r="F12" s="53">
        <v>1.6</v>
      </c>
      <c r="I12" s="76" t="s">
        <v>281</v>
      </c>
      <c r="J12" s="72">
        <v>1.99</v>
      </c>
      <c r="L12" s="76" t="s">
        <v>302</v>
      </c>
      <c r="M12" s="72">
        <v>1.42</v>
      </c>
      <c r="N12" s="76"/>
      <c r="O12" t="s">
        <v>331</v>
      </c>
      <c r="P12" s="53">
        <v>1</v>
      </c>
    </row>
    <row r="13" spans="1:16" x14ac:dyDescent="0.25">
      <c r="A13" s="76" t="s">
        <v>173</v>
      </c>
      <c r="B13" s="72">
        <v>2.93</v>
      </c>
      <c r="E13" t="s">
        <v>217</v>
      </c>
      <c r="F13" s="53">
        <v>2.97</v>
      </c>
      <c r="I13" t="s">
        <v>284</v>
      </c>
      <c r="J13" s="53">
        <v>1.24</v>
      </c>
      <c r="L13" t="s">
        <v>303</v>
      </c>
      <c r="M13" s="53">
        <v>1.25</v>
      </c>
      <c r="N13" s="76"/>
      <c r="O13" s="51" t="s">
        <v>222</v>
      </c>
    </row>
    <row r="14" spans="1:16" x14ac:dyDescent="0.25">
      <c r="A14" t="s">
        <v>174</v>
      </c>
      <c r="B14" s="53">
        <v>3.41</v>
      </c>
      <c r="E14" t="s">
        <v>218</v>
      </c>
      <c r="F14" s="53">
        <v>1.2</v>
      </c>
      <c r="I14" t="s">
        <v>282</v>
      </c>
      <c r="J14" s="53">
        <v>0.34</v>
      </c>
      <c r="L14" s="76" t="s">
        <v>213</v>
      </c>
      <c r="M14" s="72">
        <v>1.99</v>
      </c>
      <c r="N14" s="76"/>
      <c r="O14" s="76" t="s">
        <v>305</v>
      </c>
      <c r="P14" s="53">
        <v>0.97</v>
      </c>
    </row>
    <row r="15" spans="1:16" x14ac:dyDescent="0.25">
      <c r="A15" s="76" t="s">
        <v>175</v>
      </c>
      <c r="B15" s="72">
        <v>1.99</v>
      </c>
      <c r="E15" t="s">
        <v>220</v>
      </c>
      <c r="F15" s="53">
        <v>0.66</v>
      </c>
      <c r="I15" t="s">
        <v>283</v>
      </c>
      <c r="J15" s="53">
        <v>2.06</v>
      </c>
      <c r="L15" t="s">
        <v>304</v>
      </c>
      <c r="M15" s="53">
        <v>1.99</v>
      </c>
      <c r="N15" s="76"/>
      <c r="O15" s="51" t="s">
        <v>178</v>
      </c>
    </row>
    <row r="16" spans="1:16" x14ac:dyDescent="0.25">
      <c r="A16" t="s">
        <v>176</v>
      </c>
      <c r="B16" s="53">
        <v>1.18</v>
      </c>
      <c r="E16" t="s">
        <v>221</v>
      </c>
      <c r="F16" s="53">
        <v>2</v>
      </c>
      <c r="I16" s="76" t="s">
        <v>285</v>
      </c>
      <c r="J16" s="72">
        <v>0.63</v>
      </c>
      <c r="L16" t="s">
        <v>287</v>
      </c>
      <c r="M16" s="53">
        <v>0.66</v>
      </c>
      <c r="N16" s="76"/>
      <c r="O16" s="76" t="s">
        <v>288</v>
      </c>
      <c r="P16" s="53">
        <v>6</v>
      </c>
    </row>
    <row r="17" spans="1:16" x14ac:dyDescent="0.25">
      <c r="A17" s="76" t="s">
        <v>177</v>
      </c>
      <c r="B17" s="72">
        <v>1.1299999999999999</v>
      </c>
      <c r="E17" s="51" t="s">
        <v>222</v>
      </c>
      <c r="G17" s="51" t="s">
        <v>222</v>
      </c>
      <c r="I17" t="s">
        <v>287</v>
      </c>
      <c r="J17" s="53">
        <v>1.33</v>
      </c>
      <c r="L17" s="51" t="s">
        <v>222</v>
      </c>
      <c r="N17" s="76"/>
      <c r="O17" t="s">
        <v>332</v>
      </c>
      <c r="P17" s="53">
        <v>5.69</v>
      </c>
    </row>
    <row r="18" spans="1:16" x14ac:dyDescent="0.25">
      <c r="A18" s="51" t="s">
        <v>178</v>
      </c>
      <c r="B18" s="53"/>
      <c r="E18" t="s">
        <v>219</v>
      </c>
      <c r="F18" s="53">
        <v>2.4900000000000002</v>
      </c>
      <c r="G18" t="s">
        <v>250</v>
      </c>
      <c r="H18" s="53">
        <v>5.71</v>
      </c>
      <c r="I18" s="51" t="s">
        <v>222</v>
      </c>
      <c r="L18" s="76" t="s">
        <v>305</v>
      </c>
      <c r="M18" s="72">
        <v>0.88</v>
      </c>
      <c r="N18" s="76"/>
      <c r="O18" t="s">
        <v>333</v>
      </c>
      <c r="P18" s="53">
        <v>5.69</v>
      </c>
    </row>
    <row r="19" spans="1:16" x14ac:dyDescent="0.25">
      <c r="A19" s="76" t="s">
        <v>179</v>
      </c>
      <c r="B19" s="72">
        <v>6.79</v>
      </c>
      <c r="E19" s="76" t="s">
        <v>177</v>
      </c>
      <c r="F19" s="72">
        <v>1.22</v>
      </c>
      <c r="G19" s="76" t="s">
        <v>177</v>
      </c>
      <c r="H19" s="72">
        <v>1.33</v>
      </c>
      <c r="I19" s="76" t="s">
        <v>177</v>
      </c>
      <c r="J19" s="72">
        <v>1.01</v>
      </c>
      <c r="L19" s="51" t="s">
        <v>178</v>
      </c>
      <c r="N19" s="76"/>
      <c r="O19" t="s">
        <v>334</v>
      </c>
      <c r="P19" s="53">
        <f>17.99+0.6</f>
        <v>18.59</v>
      </c>
    </row>
    <row r="20" spans="1:16" x14ac:dyDescent="0.25">
      <c r="A20" t="s">
        <v>180</v>
      </c>
      <c r="B20" s="53">
        <v>3.99</v>
      </c>
      <c r="E20" s="51" t="s">
        <v>178</v>
      </c>
      <c r="G20" s="51" t="s">
        <v>178</v>
      </c>
      <c r="I20" s="51" t="s">
        <v>178</v>
      </c>
      <c r="L20" s="76" t="s">
        <v>288</v>
      </c>
      <c r="M20" s="53">
        <v>6.17</v>
      </c>
      <c r="N20" s="76"/>
      <c r="O20" t="s">
        <v>335</v>
      </c>
      <c r="P20" s="53">
        <v>4.99</v>
      </c>
    </row>
    <row r="21" spans="1:16" x14ac:dyDescent="0.25">
      <c r="A21" t="s">
        <v>181</v>
      </c>
      <c r="B21" s="53">
        <v>1.79</v>
      </c>
      <c r="E21" s="76" t="s">
        <v>179</v>
      </c>
      <c r="F21" s="72">
        <v>6.79</v>
      </c>
      <c r="G21" t="s">
        <v>251</v>
      </c>
      <c r="H21" s="53">
        <v>4.1900000000000004</v>
      </c>
      <c r="I21" s="76" t="s">
        <v>288</v>
      </c>
      <c r="J21" s="53">
        <v>4.99</v>
      </c>
      <c r="L21" s="76" t="s">
        <v>306</v>
      </c>
      <c r="M21" s="72">
        <v>6.79</v>
      </c>
      <c r="N21" s="76"/>
      <c r="O21" t="s">
        <v>336</v>
      </c>
      <c r="P21" s="53">
        <v>10</v>
      </c>
    </row>
    <row r="22" spans="1:16" x14ac:dyDescent="0.25">
      <c r="A22" t="s">
        <v>202</v>
      </c>
      <c r="B22" s="53">
        <v>6.65</v>
      </c>
      <c r="C22" t="s">
        <v>203</v>
      </c>
      <c r="D22">
        <v>13.05</v>
      </c>
      <c r="E22" t="s">
        <v>223</v>
      </c>
      <c r="F22" s="53">
        <v>6.69</v>
      </c>
      <c r="G22" t="s">
        <v>252</v>
      </c>
      <c r="H22" s="53">
        <v>5.99</v>
      </c>
      <c r="I22" t="s">
        <v>289</v>
      </c>
      <c r="J22" s="53">
        <v>6.49</v>
      </c>
      <c r="L22" t="s">
        <v>307</v>
      </c>
      <c r="M22" s="53">
        <v>2.4900000000000002</v>
      </c>
      <c r="N22" s="76"/>
      <c r="O22" t="s">
        <v>337</v>
      </c>
      <c r="P22" s="53">
        <v>4.49</v>
      </c>
    </row>
    <row r="23" spans="1:16" x14ac:dyDescent="0.25">
      <c r="A23" s="67" t="s">
        <v>182</v>
      </c>
      <c r="B23" s="68"/>
      <c r="E23" t="s">
        <v>224</v>
      </c>
      <c r="F23" s="53">
        <v>2.69</v>
      </c>
      <c r="G23" t="s">
        <v>253</v>
      </c>
      <c r="H23" s="53">
        <v>2.39</v>
      </c>
      <c r="I23" t="s">
        <v>290</v>
      </c>
      <c r="J23" s="53">
        <v>4.99</v>
      </c>
      <c r="L23" t="s">
        <v>308</v>
      </c>
      <c r="M23" s="53">
        <v>4.1900000000000004</v>
      </c>
      <c r="N23" s="76"/>
      <c r="O23" t="s">
        <v>338</v>
      </c>
      <c r="P23" s="53">
        <v>2.39</v>
      </c>
    </row>
    <row r="24" spans="1:16" x14ac:dyDescent="0.25">
      <c r="A24" s="69" t="s">
        <v>183</v>
      </c>
      <c r="B24" s="68">
        <v>1.98</v>
      </c>
      <c r="E24" t="s">
        <v>205</v>
      </c>
      <c r="F24" s="53">
        <v>17.989999999999998</v>
      </c>
      <c r="G24" t="s">
        <v>254</v>
      </c>
      <c r="H24" s="53">
        <v>2.4900000000000002</v>
      </c>
      <c r="I24" t="s">
        <v>291</v>
      </c>
      <c r="J24" s="53">
        <v>5.59</v>
      </c>
      <c r="L24" t="s">
        <v>309</v>
      </c>
      <c r="M24" s="53">
        <v>1.99</v>
      </c>
      <c r="N24" s="76"/>
      <c r="O24" t="s">
        <v>339</v>
      </c>
      <c r="P24" s="53">
        <v>1.49</v>
      </c>
    </row>
    <row r="25" spans="1:16" x14ac:dyDescent="0.25">
      <c r="A25" s="69" t="s">
        <v>184</v>
      </c>
      <c r="B25" s="68">
        <v>1.98</v>
      </c>
      <c r="E25" s="51" t="s">
        <v>225</v>
      </c>
      <c r="F25" s="53">
        <v>6.99</v>
      </c>
      <c r="G25" t="s">
        <v>255</v>
      </c>
      <c r="H25" s="53">
        <v>1.69</v>
      </c>
      <c r="I25" t="s">
        <v>292</v>
      </c>
      <c r="J25" s="53">
        <f>18.99+0.6</f>
        <v>19.59</v>
      </c>
      <c r="L25" t="s">
        <v>310</v>
      </c>
      <c r="M25" s="53">
        <v>4.1900000000000004</v>
      </c>
      <c r="N25" s="76"/>
    </row>
    <row r="26" spans="1:16" x14ac:dyDescent="0.25">
      <c r="A26" t="s">
        <v>161</v>
      </c>
      <c r="B26" s="53">
        <v>3.99</v>
      </c>
      <c r="E26" t="s">
        <v>226</v>
      </c>
      <c r="F26" s="53">
        <v>4.79</v>
      </c>
      <c r="G26" s="76" t="s">
        <v>256</v>
      </c>
      <c r="H26" s="72">
        <v>11.99</v>
      </c>
      <c r="L26" t="s">
        <v>311</v>
      </c>
      <c r="M26" s="53">
        <v>1.89</v>
      </c>
      <c r="N26" s="76"/>
    </row>
    <row r="27" spans="1:16" x14ac:dyDescent="0.25">
      <c r="A27" t="s">
        <v>162</v>
      </c>
      <c r="B27" s="53">
        <v>3.99</v>
      </c>
      <c r="E27" t="s">
        <v>227</v>
      </c>
      <c r="F27" s="53">
        <v>1.39</v>
      </c>
      <c r="G27" t="s">
        <v>230</v>
      </c>
      <c r="H27" s="53">
        <v>5.69</v>
      </c>
      <c r="L27" t="s">
        <v>312</v>
      </c>
      <c r="M27" s="53">
        <v>7.99</v>
      </c>
      <c r="N27" s="76"/>
    </row>
    <row r="28" spans="1:16" x14ac:dyDescent="0.25">
      <c r="A28" t="s">
        <v>204</v>
      </c>
      <c r="B28" s="53"/>
      <c r="C28" t="s">
        <v>205</v>
      </c>
      <c r="D28">
        <v>17.989999999999998</v>
      </c>
      <c r="E28" t="s">
        <v>228</v>
      </c>
      <c r="F28" s="53">
        <v>7.69</v>
      </c>
      <c r="G28" t="s">
        <v>204</v>
      </c>
      <c r="H28" s="53">
        <v>28.99</v>
      </c>
      <c r="L28" t="s">
        <v>313</v>
      </c>
      <c r="M28" s="53">
        <v>3.49</v>
      </c>
      <c r="N28" s="76"/>
    </row>
    <row r="29" spans="1:16" x14ac:dyDescent="0.25">
      <c r="B29" s="53"/>
      <c r="E29" t="s">
        <v>229</v>
      </c>
      <c r="F29" s="53">
        <v>4.99</v>
      </c>
      <c r="L29" t="s">
        <v>314</v>
      </c>
      <c r="M29" s="53">
        <v>3.5</v>
      </c>
      <c r="N29" s="76"/>
    </row>
    <row r="30" spans="1:16" x14ac:dyDescent="0.25">
      <c r="A30" s="65" t="s">
        <v>233</v>
      </c>
      <c r="B30" s="66">
        <v>22</v>
      </c>
      <c r="C30" s="65" t="s">
        <v>233</v>
      </c>
      <c r="D30">
        <v>2</v>
      </c>
      <c r="E30" t="s">
        <v>230</v>
      </c>
      <c r="F30" s="53">
        <v>5.69</v>
      </c>
      <c r="L30" t="s">
        <v>315</v>
      </c>
      <c r="M30" s="53">
        <v>5.69</v>
      </c>
      <c r="N30" s="76"/>
    </row>
    <row r="31" spans="1:16" x14ac:dyDescent="0.25">
      <c r="A31" s="54" t="s">
        <v>185</v>
      </c>
      <c r="B31" s="55">
        <f>SUM(B3:B27)</f>
        <v>80.88000000000001</v>
      </c>
      <c r="C31" s="54" t="s">
        <v>185</v>
      </c>
      <c r="D31" s="55">
        <f>SUM(D3:D25)</f>
        <v>13.05</v>
      </c>
      <c r="E31" s="65" t="s">
        <v>233</v>
      </c>
      <c r="F31" s="53">
        <v>23</v>
      </c>
      <c r="G31" s="65" t="s">
        <v>233</v>
      </c>
      <c r="H31" s="74">
        <v>17</v>
      </c>
      <c r="I31" s="65" t="s">
        <v>233</v>
      </c>
      <c r="J31" s="74">
        <v>18</v>
      </c>
      <c r="L31" t="s">
        <v>316</v>
      </c>
      <c r="M31" s="53">
        <f>18.99+0.6</f>
        <v>19.59</v>
      </c>
      <c r="N31" s="76"/>
    </row>
    <row r="32" spans="1:16" x14ac:dyDescent="0.25">
      <c r="E32" s="54" t="s">
        <v>185</v>
      </c>
      <c r="F32" s="55">
        <f>SUM(F3:F30)+5.71</f>
        <v>106.35999999999997</v>
      </c>
      <c r="G32" s="54" t="s">
        <v>185</v>
      </c>
      <c r="H32" s="55">
        <f>SUM(H3:H30)+5.71</f>
        <v>98.57</v>
      </c>
      <c r="I32" s="54" t="s">
        <v>185</v>
      </c>
      <c r="J32" s="55">
        <v>80</v>
      </c>
      <c r="L32" s="54" t="s">
        <v>185</v>
      </c>
      <c r="M32" s="55">
        <f>SUM(M4:M31)</f>
        <v>101.21999999999998</v>
      </c>
      <c r="N32" s="76"/>
      <c r="O32" s="54" t="s">
        <v>185</v>
      </c>
      <c r="P32" s="55">
        <f>SUM(P4:P31)</f>
        <v>87.029999999999987</v>
      </c>
    </row>
    <row r="33" spans="1:14" x14ac:dyDescent="0.25">
      <c r="A33" s="57" t="s">
        <v>186</v>
      </c>
      <c r="B33" s="50">
        <v>45081</v>
      </c>
      <c r="M33" s="53">
        <v>108.95</v>
      </c>
      <c r="N33" s="76"/>
    </row>
    <row r="34" spans="1:14" x14ac:dyDescent="0.25">
      <c r="A34" t="s">
        <v>187</v>
      </c>
      <c r="B34" s="53">
        <f>31.99+1.2</f>
        <v>33.19</v>
      </c>
      <c r="E34" s="57" t="s">
        <v>186</v>
      </c>
      <c r="G34" s="57" t="s">
        <v>257</v>
      </c>
      <c r="L34" s="65" t="s">
        <v>233</v>
      </c>
      <c r="M34" s="83">
        <v>25</v>
      </c>
      <c r="N34" s="76"/>
    </row>
    <row r="35" spans="1:14" x14ac:dyDescent="0.25">
      <c r="A35" t="s">
        <v>189</v>
      </c>
      <c r="B35" s="53">
        <f>14.99*2</f>
        <v>29.98</v>
      </c>
      <c r="E35" t="s">
        <v>231</v>
      </c>
      <c r="F35" s="53">
        <v>41.91</v>
      </c>
      <c r="G35" s="76" t="s">
        <v>179</v>
      </c>
      <c r="H35" s="72">
        <v>7.99</v>
      </c>
      <c r="I35" s="58"/>
      <c r="N35" s="76"/>
    </row>
    <row r="36" spans="1:14" x14ac:dyDescent="0.25">
      <c r="A36" t="s">
        <v>188</v>
      </c>
      <c r="B36" s="53">
        <v>13.99</v>
      </c>
      <c r="E36" t="s">
        <v>232</v>
      </c>
      <c r="F36" s="53">
        <v>4.99</v>
      </c>
      <c r="G36" t="s">
        <v>258</v>
      </c>
      <c r="H36" s="53">
        <v>4.49</v>
      </c>
    </row>
    <row r="37" spans="1:14" x14ac:dyDescent="0.25">
      <c r="A37" t="s">
        <v>190</v>
      </c>
      <c r="B37">
        <v>35.270000000000003</v>
      </c>
      <c r="G37" t="s">
        <v>259</v>
      </c>
      <c r="H37" s="53">
        <f>8*3.99</f>
        <v>31.92</v>
      </c>
    </row>
    <row r="38" spans="1:14" x14ac:dyDescent="0.25">
      <c r="G38" t="s">
        <v>260</v>
      </c>
      <c r="H38" s="53">
        <v>6.59</v>
      </c>
    </row>
    <row r="39" spans="1:14" x14ac:dyDescent="0.25">
      <c r="A39" s="54" t="s">
        <v>185</v>
      </c>
      <c r="B39" s="58">
        <f>B31+SUM(B34:B37)</f>
        <v>193.31</v>
      </c>
      <c r="F39" s="54"/>
      <c r="G39" s="54" t="s">
        <v>185</v>
      </c>
      <c r="H39" s="58">
        <f>SUM(H35:H38)</f>
        <v>50.990000000000009</v>
      </c>
    </row>
    <row r="40" spans="1:14" x14ac:dyDescent="0.25">
      <c r="G40" s="54" t="s">
        <v>261</v>
      </c>
      <c r="H40" s="75">
        <f>H39+H32</f>
        <v>149.56</v>
      </c>
    </row>
    <row r="41" spans="1:14" x14ac:dyDescent="0.25">
      <c r="I41" t="s">
        <v>294</v>
      </c>
      <c r="J41" s="53">
        <f>110*4</f>
        <v>440</v>
      </c>
    </row>
    <row r="42" spans="1:14" x14ac:dyDescent="0.25">
      <c r="I42" t="s">
        <v>293</v>
      </c>
      <c r="J42" s="53">
        <f>J32+H32+F32+B31+D31</f>
        <v>378.85999999999996</v>
      </c>
    </row>
    <row r="43" spans="1:14" x14ac:dyDescent="0.25">
      <c r="J43" s="53">
        <f>J41-J42</f>
        <v>61.140000000000043</v>
      </c>
    </row>
    <row r="44" spans="1:14" x14ac:dyDescent="0.25">
      <c r="I44" s="24" t="s">
        <v>295</v>
      </c>
      <c r="J44" s="82">
        <f>J32+H40+F32+F35+F36+B39</f>
        <v>576.12999999999988</v>
      </c>
    </row>
  </sheetData>
  <pageMargins left="0.7" right="0.7" top="0.75" bottom="0.75" header="0.3" footer="0.3"/>
  <pageSetup orientation="portrait" verticalDpi="3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Expenses only</vt:lpstr>
      <vt:lpstr>Credit Card </vt:lpstr>
      <vt:lpstr>Vacation 205- Exepneses </vt:lpstr>
      <vt:lpstr>Poland and South France 2025</vt:lpstr>
      <vt:lpstr>Japan </vt:lpstr>
      <vt:lpstr>Abue transfe</vt:lpstr>
      <vt:lpstr>Expenses </vt:lpstr>
      <vt:lpstr>Grocery expenses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Lyenfa Margarita Lusinski</dc:creator>
  <cp:lastModifiedBy>Lyenfa Margarita Lusinski</cp:lastModifiedBy>
  <dcterms:created xsi:type="dcterms:W3CDTF">2023-05-25T13:25:19Z</dcterms:created>
  <dcterms:modified xsi:type="dcterms:W3CDTF">2025-04-11T14:24:28Z</dcterms:modified>
</cp:coreProperties>
</file>