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ulator\Documents\GitHub\Lysimeter-design\"/>
    </mc:Choice>
  </mc:AlternateContent>
  <xr:revisionPtr revIDLastSave="0" documentId="13_ncr:1_{7C768ED7-C68D-415B-968A-39F3C4FEFABF}" xr6:coauthVersionLast="47" xr6:coauthVersionMax="47" xr10:uidLastSave="{00000000-0000-0000-0000-000000000000}"/>
  <bookViews>
    <workbookView xWindow="377" yWindow="377" windowWidth="24686" windowHeight="13149" activeTab="1" xr2:uid="{00000000-000D-0000-FFFF-FFFF00000000}"/>
  </bookViews>
  <sheets>
    <sheet name="Requirements" sheetId="1" r:id="rId1"/>
    <sheet name="Design as torque" sheetId="6" r:id="rId2"/>
    <sheet name="Drainage Calcs" sheetId="5" r:id="rId3"/>
    <sheet name="Counter Wt." sheetId="8" r:id="rId4"/>
    <sheet name="Transducer Calib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8" i="6" l="1"/>
  <c r="Q38" i="6" s="1"/>
  <c r="R38" i="6" s="1"/>
  <c r="O40" i="6"/>
  <c r="O39" i="6"/>
  <c r="G18" i="6"/>
  <c r="L18" i="6" s="1"/>
  <c r="G17" i="6"/>
  <c r="L17" i="6" s="1"/>
  <c r="G7" i="6"/>
  <c r="L7" i="6" s="1"/>
  <c r="G6" i="6"/>
  <c r="L6" i="6" s="1"/>
  <c r="H7" i="1"/>
  <c r="H10" i="1"/>
  <c r="B5" i="8"/>
  <c r="B6" i="8" s="1"/>
  <c r="H11" i="1" l="1"/>
  <c r="H12" i="1" s="1"/>
  <c r="H14" i="1" s="1"/>
  <c r="H15" i="1" s="1"/>
  <c r="H36" i="1" s="1"/>
  <c r="A14" i="1"/>
  <c r="A11" i="1"/>
  <c r="H20" i="7"/>
  <c r="D20" i="7"/>
  <c r="E20" i="7"/>
  <c r="F20" i="7"/>
  <c r="D21" i="7"/>
  <c r="E21" i="7"/>
  <c r="F21" i="7"/>
  <c r="C21" i="7"/>
  <c r="C20" i="7"/>
  <c r="A30" i="5"/>
  <c r="A29" i="5"/>
  <c r="A22" i="5"/>
  <c r="D41" i="6"/>
  <c r="D42" i="6" s="1"/>
  <c r="D43" i="6"/>
  <c r="D10" i="6"/>
  <c r="D29" i="6"/>
  <c r="D30" i="6"/>
  <c r="B31" i="6"/>
  <c r="D31" i="6" s="1"/>
  <c r="D33" i="6" s="1"/>
  <c r="D35" i="6" s="1"/>
  <c r="D37" i="6" s="1"/>
  <c r="J11" i="6" s="1"/>
  <c r="D21" i="6"/>
  <c r="B21" i="6" s="1"/>
  <c r="B44" i="6" s="1"/>
  <c r="D44" i="6" s="1"/>
  <c r="J18" i="6"/>
  <c r="J17" i="6"/>
  <c r="J7" i="6"/>
  <c r="J6" i="6"/>
  <c r="D32" i="6" l="1"/>
  <c r="D46" i="6"/>
  <c r="D48" i="6" s="1"/>
  <c r="D50" i="6" s="1"/>
  <c r="J22" i="6" s="1"/>
  <c r="D45" i="6"/>
  <c r="D47" i="6" s="1"/>
  <c r="D49" i="6" s="1"/>
  <c r="J21" i="6" s="1"/>
  <c r="D34" i="6"/>
  <c r="D36" i="6" l="1"/>
  <c r="J10" i="6" s="1"/>
  <c r="A12" i="5"/>
  <c r="A14" i="5" s="1"/>
  <c r="A15" i="5" s="1"/>
  <c r="A6" i="5"/>
  <c r="A16" i="5" l="1"/>
  <c r="A17" i="5" s="1"/>
  <c r="A23" i="5"/>
  <c r="A24" i="5" s="1"/>
  <c r="E17" i="1" l="1"/>
  <c r="N17" i="1" l="1"/>
  <c r="N19" i="1" s="1"/>
  <c r="N20" i="1" s="1"/>
  <c r="N26" i="1" s="1"/>
  <c r="N14" i="1"/>
  <c r="H17" i="1" l="1"/>
  <c r="H19" i="1" l="1"/>
  <c r="H20" i="1" s="1"/>
  <c r="H26" i="1" l="1"/>
  <c r="H21" i="1"/>
  <c r="A28" i="1"/>
  <c r="A13" i="1"/>
  <c r="A16" i="1" s="1"/>
  <c r="T21" i="1" s="1"/>
  <c r="H32" i="1" l="1"/>
  <c r="H33" i="1" s="1"/>
  <c r="A7" i="5"/>
  <c r="H22" i="1"/>
  <c r="H27" i="1"/>
  <c r="H28" i="1" s="1"/>
  <c r="N27" i="1"/>
  <c r="N28" i="1" s="1"/>
  <c r="A29" i="1"/>
  <c r="A30" i="1" s="1"/>
  <c r="A31" i="1" s="1"/>
  <c r="A17" i="1"/>
  <c r="A21" i="1" s="1"/>
  <c r="A8" i="5" l="1"/>
  <c r="A9" i="5" s="1"/>
  <c r="A31" i="5"/>
  <c r="D21" i="1"/>
  <c r="D35" i="1"/>
  <c r="A18" i="1"/>
  <c r="A19" i="1" l="1"/>
  <c r="A22" i="1" l="1"/>
  <c r="D22" i="1" s="1"/>
  <c r="D19" i="1"/>
  <c r="B4" i="6" l="1"/>
  <c r="A35" i="1"/>
  <c r="A23" i="1"/>
  <c r="B8" i="6" l="1"/>
  <c r="B9" i="6" s="1"/>
  <c r="B5" i="6" s="1"/>
  <c r="B15" i="6" s="1"/>
  <c r="B19" i="6" s="1"/>
  <c r="B20" i="6" s="1"/>
  <c r="B16" i="6" s="1"/>
  <c r="D16" i="6" s="1"/>
  <c r="R40" i="6"/>
  <c r="P40" i="6"/>
  <c r="Q40" i="6"/>
  <c r="R39" i="6"/>
  <c r="A37" i="1"/>
  <c r="A38" i="1" s="1"/>
  <c r="A39" i="1" s="1"/>
  <c r="A40" i="1"/>
  <c r="D40" i="1" s="1"/>
  <c r="P39" i="6"/>
  <c r="J4" i="6"/>
  <c r="Q39" i="6"/>
  <c r="B24" i="6" l="1"/>
  <c r="J8" i="6"/>
  <c r="J9" i="6" s="1"/>
  <c r="J5" i="6" s="1"/>
  <c r="J15" i="6" s="1"/>
  <c r="J19" i="6" s="1"/>
  <c r="J20" i="6" s="1"/>
  <c r="J16" i="6" s="1"/>
  <c r="J14" i="6" s="1"/>
  <c r="L4" i="6"/>
  <c r="L8" i="6"/>
  <c r="L9" i="6" s="1"/>
  <c r="L5" i="6" s="1"/>
  <c r="L15" i="6" s="1"/>
  <c r="L19" i="6" s="1"/>
  <c r="L20" i="6" s="1"/>
  <c r="L16" i="6" s="1"/>
  <c r="L24" i="6" s="1"/>
  <c r="J24" i="6" l="1"/>
</calcChain>
</file>

<file path=xl/sharedStrings.xml><?xml version="1.0" encoding="utf-8"?>
<sst xmlns="http://schemas.openxmlformats.org/spreadsheetml/2006/main" count="258" uniqueCount="174">
  <si>
    <t>diameter (cm)</t>
  </si>
  <si>
    <t>radius (cm)</t>
  </si>
  <si>
    <t>h (cm)</t>
  </si>
  <si>
    <t>area (cm^2)</t>
  </si>
  <si>
    <t>volume (cm^3)</t>
  </si>
  <si>
    <t>bulk density (gm/cm^3)</t>
  </si>
  <si>
    <t>load cell calcs</t>
  </si>
  <si>
    <t>max load (lbs)</t>
  </si>
  <si>
    <t>accuracy (+/- percent of FSR)</t>
  </si>
  <si>
    <t>accuracy (+/- pounds)</t>
  </si>
  <si>
    <t>water bulk density (gm/cm^3)</t>
  </si>
  <si>
    <t>flux requirement (mm)</t>
  </si>
  <si>
    <t>flux requirement (cm)</t>
  </si>
  <si>
    <t>vol of water (cm^3)</t>
  </si>
  <si>
    <t>mass of water (gm)</t>
  </si>
  <si>
    <t>Lyimeter mass mechanical advantage</t>
  </si>
  <si>
    <t>xxx times mechanical advantage</t>
  </si>
  <si>
    <t>F1</t>
  </si>
  <si>
    <t>F2</t>
  </si>
  <si>
    <t>d2</t>
  </si>
  <si>
    <t>d1</t>
  </si>
  <si>
    <t>M1</t>
  </si>
  <si>
    <t>M2</t>
  </si>
  <si>
    <t>Lysimeter design</t>
  </si>
  <si>
    <t>X factor</t>
  </si>
  <si>
    <t>mechanical advantage</t>
  </si>
  <si>
    <t>max load (kg)</t>
  </si>
  <si>
    <t>accuracy (+/- FSR)</t>
  </si>
  <si>
    <t>accuracy (+/- kg)</t>
  </si>
  <si>
    <t>accuracy (+/- gm)</t>
  </si>
  <si>
    <t>flux(cm)</t>
  </si>
  <si>
    <t>flux(mm)</t>
  </si>
  <si>
    <t>total mass (kg)</t>
  </si>
  <si>
    <t>mechanical mass (kg)</t>
  </si>
  <si>
    <t>water mass at field capacity (kg)</t>
  </si>
  <si>
    <t>accuracy as water(cc)</t>
  </si>
  <si>
    <t>Flux Requirements</t>
  </si>
  <si>
    <t>Load (kg)</t>
  </si>
  <si>
    <t>Wt at link (kg)</t>
  </si>
  <si>
    <t>field capacity (%)</t>
  </si>
  <si>
    <t>soil porosity (%)</t>
  </si>
  <si>
    <t>soil mass (gm)</t>
  </si>
  <si>
    <t>soil mass (kg)</t>
  </si>
  <si>
    <t>without mechanical advantage</t>
  </si>
  <si>
    <t>total mass (lbs)</t>
  </si>
  <si>
    <t>M3</t>
  </si>
  <si>
    <t>moment from tubing mass</t>
  </si>
  <si>
    <t>diameter (in)</t>
  </si>
  <si>
    <t>wt final on load cell (kg)</t>
  </si>
  <si>
    <t>(lbs)</t>
  </si>
  <si>
    <t>F3</t>
  </si>
  <si>
    <t>F4</t>
  </si>
  <si>
    <t>d3</t>
  </si>
  <si>
    <t>d4</t>
  </si>
  <si>
    <t>M4</t>
  </si>
  <si>
    <t>M4a</t>
  </si>
  <si>
    <t>M3a</t>
  </si>
  <si>
    <t>Length to knife bearing (in)</t>
  </si>
  <si>
    <t>Length to link (in)</t>
  </si>
  <si>
    <t>moment (kg-in)</t>
  </si>
  <si>
    <t>wt at link from F2 (kg)</t>
  </si>
  <si>
    <t>Length to load cell (in)</t>
  </si>
  <si>
    <t>Orig</t>
  </si>
  <si>
    <t>Final</t>
  </si>
  <si>
    <t>2.61 ft^3</t>
  </si>
  <si>
    <t>60# sacks of sand</t>
  </si>
  <si>
    <t>theoretical accuaracy w/ 20x mechanical advantage (+/- gm)</t>
  </si>
  <si>
    <t>theoretical accuracy flux (mm)</t>
  </si>
  <si>
    <t>(gm) resolution</t>
  </si>
  <si>
    <t>resolution flux (cm)</t>
  </si>
  <si>
    <t>resolution flux (mm)</t>
  </si>
  <si>
    <t>Beam 1</t>
  </si>
  <si>
    <t>Beam 2</t>
  </si>
  <si>
    <t>Transfers load from tank to connecting rod at Beam 2</t>
  </si>
  <si>
    <t>Transfers Wt at connecting rod to load cell</t>
  </si>
  <si>
    <t>Assuming soil is at field capacitiy and all in coming precip yields 100% drainage.</t>
  </si>
  <si>
    <t>rain fall event (in)</t>
  </si>
  <si>
    <t>precip (cm)</t>
  </si>
  <si>
    <t>lysimeter area (cm^2)</t>
  </si>
  <si>
    <t>fluid volume (L)</t>
  </si>
  <si>
    <t>well dia (in)</t>
  </si>
  <si>
    <t>well depth below inlet (in)</t>
  </si>
  <si>
    <t>well dia(cm)</t>
  </si>
  <si>
    <t>well area (cm^2)</t>
  </si>
  <si>
    <t>well volume (cm^3)</t>
  </si>
  <si>
    <t>nominal pipe size</t>
  </si>
  <si>
    <t>pipe size</t>
  </si>
  <si>
    <t>avg ID</t>
  </si>
  <si>
    <t>sch 40</t>
  </si>
  <si>
    <t>well volume (L)</t>
  </si>
  <si>
    <t>Force (N)</t>
  </si>
  <si>
    <t>Length (m)</t>
  </si>
  <si>
    <t>Torque (Nm)</t>
  </si>
  <si>
    <t>2" square tubing mass</t>
  </si>
  <si>
    <t>lb/ft</t>
  </si>
  <si>
    <t>kg/m</t>
  </si>
  <si>
    <t>Beam 1 tubing torque detail</t>
  </si>
  <si>
    <t>tubing length rt of fulcrum</t>
  </si>
  <si>
    <t>tubing length lt of fulcrum</t>
  </si>
  <si>
    <t>m</t>
  </si>
  <si>
    <t>B1a_d</t>
  </si>
  <si>
    <t>B1b_d</t>
  </si>
  <si>
    <t>B1a_F</t>
  </si>
  <si>
    <t>B1b_F</t>
  </si>
  <si>
    <t>Mass rt of fulcrum</t>
  </si>
  <si>
    <t>Mass lt of fulcrum</t>
  </si>
  <si>
    <t xml:space="preserve">kg </t>
  </si>
  <si>
    <t>kg</t>
  </si>
  <si>
    <t>Force left of fulcrum</t>
  </si>
  <si>
    <t>Force right of fulcrum</t>
  </si>
  <si>
    <t>N</t>
  </si>
  <si>
    <t>Torque right of fulcrum</t>
  </si>
  <si>
    <t>Torque left of fulcrum</t>
  </si>
  <si>
    <t>Nm</t>
  </si>
  <si>
    <t>B1a_t</t>
  </si>
  <si>
    <t>B1b_t</t>
  </si>
  <si>
    <t>B1a_m</t>
  </si>
  <si>
    <t>B1b_m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</si>
  <si>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</si>
  <si>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</si>
  <si>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1"/>
        <charset val="2"/>
        <scheme val="minor"/>
      </rPr>
      <t>4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</si>
  <si>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1"/>
        <charset val="2"/>
        <scheme val="minor"/>
      </rPr>
      <t>3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</si>
  <si>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1"/>
        <charset val="2"/>
        <scheme val="minor"/>
      </rPr>
      <t>a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</si>
  <si>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1"/>
        <charset val="2"/>
        <scheme val="minor"/>
      </rPr>
      <t>b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</si>
  <si>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1"/>
        <charset val="2"/>
        <scheme val="minor"/>
      </rPr>
      <t>2a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</si>
  <si>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1"/>
        <charset val="2"/>
        <scheme val="minor"/>
      </rPr>
      <t>2b</t>
    </r>
  </si>
  <si>
    <t>Beam 2 tubing torque detail</t>
  </si>
  <si>
    <t>1" tubing mass</t>
  </si>
  <si>
    <t>Load Cell Load (kg)</t>
  </si>
  <si>
    <t>connecting rod matrix</t>
  </si>
  <si>
    <t>stage (cm)</t>
  </si>
  <si>
    <t>stage (in)</t>
  </si>
  <si>
    <t>Transducer calibrations</t>
  </si>
  <si>
    <t>Transducer was installed inside 4-inch ABS pipe allong with Turbo pump, cables and tygon tubbing</t>
  </si>
  <si>
    <t>CS451</t>
  </si>
  <si>
    <t>SN</t>
  </si>
  <si>
    <t>Stage (cm)</t>
  </si>
  <si>
    <t>Volume (ml)</t>
  </si>
  <si>
    <t>math check</t>
  </si>
  <si>
    <t>from transducer calibration</t>
  </si>
  <si>
    <t>drainage volume (cm^3)</t>
  </si>
  <si>
    <t>drainage flux (mm)</t>
  </si>
  <si>
    <t>slope</t>
  </si>
  <si>
    <t>intercept</t>
  </si>
  <si>
    <t>average</t>
  </si>
  <si>
    <t>SWE (cm)</t>
  </si>
  <si>
    <t>h (in)</t>
  </si>
  <si>
    <t>SS rod dia</t>
  </si>
  <si>
    <t>(in)</t>
  </si>
  <si>
    <t>SS rod dia (in)</t>
  </si>
  <si>
    <t>SS rod pounds per inch</t>
  </si>
  <si>
    <t>SS rod h</t>
  </si>
  <si>
    <t>SS rod wt</t>
  </si>
  <si>
    <t>(pound/in)</t>
  </si>
  <si>
    <t>(pound)</t>
  </si>
  <si>
    <t>mV/V FSR</t>
  </si>
  <si>
    <t>V excitation</t>
  </si>
  <si>
    <t>mV FSR</t>
  </si>
  <si>
    <t>mV/kg</t>
  </si>
  <si>
    <t>uV analog measurement resolution</t>
  </si>
  <si>
    <t>g/mV</t>
  </si>
  <si>
    <t>g/uV</t>
  </si>
  <si>
    <t>resolution (g)</t>
  </si>
  <si>
    <t>+/- lysimeter resolution (g)</t>
  </si>
  <si>
    <t>max load (lbs) or FSR (Full Scale range)</t>
  </si>
  <si>
    <t>lysimeter resolution (g)</t>
  </si>
  <si>
    <t>lysimeter resolution (mm)</t>
  </si>
  <si>
    <t>scale factor</t>
  </si>
  <si>
    <t>Scaled</t>
  </si>
  <si>
    <t>Max on load cell (lbs)</t>
  </si>
  <si>
    <t>Max on load cell (kg)</t>
  </si>
  <si>
    <t>Counter Wt needed for dry soil (lbs)</t>
  </si>
  <si>
    <t>BD1818 Design Details - Double Beam Pecision Weighing Lysimeter</t>
  </si>
  <si>
    <t>by Brad Lyles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</si>
</sst>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0" borderId="1" xfId="0" applyBorder="1"/>
    <xf numFmtId="0" fontId="1" fillId="0" borderId="0" xfId="0" applyFont="1"/>
    <xf numFmtId="0" fontId="4" fillId="0" borderId="0" xfId="0" applyFont="1"/>
    <xf numFmtId="166" fontId="0" fillId="0" borderId="0" xfId="0" applyNumberFormat="1"/>
    <xf numFmtId="1" fontId="0" fillId="0" borderId="1" xfId="0" applyNumberFormat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quotePrefix="1"/>
    <xf numFmtId="2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'Transducer Calib'!$C$7</c:f>
              <c:strCache>
                <c:ptCount val="1"/>
                <c:pt idx="0">
                  <c:v>20012329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'Transducer Calib'!$C$10:$C$18</c:f>
              <c:numCache>
                <c:formatCode>General</c:formatCode>
                <c:ptCount val="9"/>
                <c:pt idx="0">
                  <c:v>0</c:v>
                </c:pt>
                <c:pt idx="1">
                  <c:v>4.8</c:v>
                </c:pt>
                <c:pt idx="2">
                  <c:v>12.05</c:v>
                </c:pt>
                <c:pt idx="3">
                  <c:v>19.13</c:v>
                </c:pt>
                <c:pt idx="4">
                  <c:v>25.47</c:v>
                </c:pt>
                <c:pt idx="5">
                  <c:v>31.52</c:v>
                </c:pt>
                <c:pt idx="6">
                  <c:v>37.590000000000003</c:v>
                </c:pt>
                <c:pt idx="7">
                  <c:v>43.63</c:v>
                </c:pt>
                <c:pt idx="8">
                  <c:v>49.76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DE4-8284-231D1D5761C9}"/>
            </c:ext>
          </c:extLst>
        </c:ser>
        <c:ser>
          <c:idx val="1"/>
          <c:order val="1"/>
          <c:tx>
            <c:strRef>
              <c:f>'Transducer Calib'!$D$7</c:f>
              <c:strCache>
                <c:ptCount val="1"/>
                <c:pt idx="0">
                  <c:v>20012339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'Transducer Calib'!$D$10:$D$18</c:f>
              <c:numCache>
                <c:formatCode>General</c:formatCode>
                <c:ptCount val="9"/>
                <c:pt idx="0">
                  <c:v>0</c:v>
                </c:pt>
                <c:pt idx="1">
                  <c:v>4.41</c:v>
                </c:pt>
                <c:pt idx="2">
                  <c:v>11.63</c:v>
                </c:pt>
                <c:pt idx="3">
                  <c:v>18.809999999999999</c:v>
                </c:pt>
                <c:pt idx="4">
                  <c:v>25.15</c:v>
                </c:pt>
                <c:pt idx="5">
                  <c:v>31.26</c:v>
                </c:pt>
                <c:pt idx="6">
                  <c:v>37.19</c:v>
                </c:pt>
                <c:pt idx="7">
                  <c:v>43.3</c:v>
                </c:pt>
                <c:pt idx="8">
                  <c:v>49.43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C-4291-97DE-49BB08A97767}"/>
            </c:ext>
          </c:extLst>
        </c:ser>
        <c:ser>
          <c:idx val="2"/>
          <c:order val="2"/>
          <c:tx>
            <c:strRef>
              <c:f>'Transducer Calib'!$E$7</c:f>
              <c:strCache>
                <c:ptCount val="1"/>
                <c:pt idx="0">
                  <c:v>21102340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'Transducer Calib'!$E$10:$E$18</c:f>
              <c:numCache>
                <c:formatCode>General</c:formatCode>
                <c:ptCount val="9"/>
                <c:pt idx="0">
                  <c:v>0</c:v>
                </c:pt>
                <c:pt idx="1">
                  <c:v>4.57</c:v>
                </c:pt>
                <c:pt idx="2">
                  <c:v>11.87</c:v>
                </c:pt>
                <c:pt idx="3">
                  <c:v>18.86</c:v>
                </c:pt>
                <c:pt idx="4">
                  <c:v>25.26</c:v>
                </c:pt>
                <c:pt idx="5">
                  <c:v>31.34</c:v>
                </c:pt>
                <c:pt idx="6">
                  <c:v>37.49</c:v>
                </c:pt>
                <c:pt idx="7">
                  <c:v>43.54</c:v>
                </c:pt>
                <c:pt idx="8">
                  <c:v>49.73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C-4291-97DE-49BB08A97767}"/>
            </c:ext>
          </c:extLst>
        </c:ser>
        <c:ser>
          <c:idx val="3"/>
          <c:order val="3"/>
          <c:tx>
            <c:strRef>
              <c:f>'Transducer Calib'!$F$7</c:f>
              <c:strCache>
                <c:ptCount val="1"/>
                <c:pt idx="0">
                  <c:v>20012326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'Transducer Calib'!$F$10:$F$18</c:f>
              <c:numCache>
                <c:formatCode>General</c:formatCode>
                <c:ptCount val="9"/>
                <c:pt idx="0">
                  <c:v>0</c:v>
                </c:pt>
                <c:pt idx="1">
                  <c:v>4.0599999999999996</c:v>
                </c:pt>
                <c:pt idx="2">
                  <c:v>11.45</c:v>
                </c:pt>
                <c:pt idx="3">
                  <c:v>18.64</c:v>
                </c:pt>
                <c:pt idx="4">
                  <c:v>24.91</c:v>
                </c:pt>
                <c:pt idx="5">
                  <c:v>31.04</c:v>
                </c:pt>
                <c:pt idx="6">
                  <c:v>37.08</c:v>
                </c:pt>
                <c:pt idx="7">
                  <c:v>43.16</c:v>
                </c:pt>
                <c:pt idx="8">
                  <c:v>49.39</c:v>
                </c:pt>
              </c:numCache>
            </c:numRef>
          </c:xVal>
          <c:yVal>
            <c:numRef>
              <c:f>'Transducer Calib'!$B$10:$B$18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C-4291-97DE-49BB08A9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04655"/>
        <c:axId val="1697605903"/>
      </c:scatterChart>
      <c:valAx>
        <c:axId val="16976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Transducer Stage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05903"/>
        <c:crosses val="autoZero"/>
        <c:crossBetween val="midCat"/>
      </c:valAx>
      <c:valAx>
        <c:axId val="16976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0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449356</xdr:colOff>
      <xdr:row>3</xdr:row>
      <xdr:rowOff>47625</xdr:rowOff>
    </xdr:from>
    <xdr:to>
      <xdr:col>27</xdr:col>
      <xdr:colOff>144556</xdr:colOff>
      <xdr:row>29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B7A657-A79A-4A89-A1A0-EF78EAF5F59E}"/>
            </a:ext>
          </a:extLst>
        </xdr:cNvPr>
        <xdr:cNvSpPr txBox="1"/>
      </xdr:nvSpPr>
      <xdr:spPr>
        <a:xfrm>
          <a:off x="9835403" y="585507"/>
          <a:ext cx="8229600" cy="46140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16</xdr:col>
      <xdr:colOff>180974</xdr:colOff>
      <xdr:row>8</xdr:row>
      <xdr:rowOff>76200</xdr:rowOff>
    </xdr:from>
    <xdr:to>
      <xdr:col>25</xdr:col>
      <xdr:colOff>247649</xdr:colOff>
      <xdr:row>8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4FFB118-A838-416F-B74C-557595AE43A6}"/>
            </a:ext>
          </a:extLst>
        </xdr:cNvPr>
        <xdr:cNvSpPr/>
      </xdr:nvSpPr>
      <xdr:spPr>
        <a:xfrm>
          <a:off x="10020299" y="1600200"/>
          <a:ext cx="5553075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381000</xdr:colOff>
      <xdr:row>8</xdr:row>
      <xdr:rowOff>180975</xdr:rowOff>
    </xdr:from>
    <xdr:to>
      <xdr:col>24</xdr:col>
      <xdr:colOff>457200</xdr:colOff>
      <xdr:row>10</xdr:row>
      <xdr:rowOff>95250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D7F0F7A9-AEC8-4C94-9993-AC60C7901D8F}"/>
            </a:ext>
          </a:extLst>
        </xdr:cNvPr>
        <xdr:cNvSpPr/>
      </xdr:nvSpPr>
      <xdr:spPr>
        <a:xfrm>
          <a:off x="15097125" y="1704975"/>
          <a:ext cx="76200" cy="2952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180975</xdr:colOff>
      <xdr:row>9</xdr:row>
      <xdr:rowOff>9525</xdr:rowOff>
    </xdr:from>
    <xdr:to>
      <xdr:col>16</xdr:col>
      <xdr:colOff>180975</xdr:colOff>
      <xdr:row>10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04BA249-F31C-4EB3-A686-DF0EFFCFBD4A}"/>
            </a:ext>
          </a:extLst>
        </xdr:cNvPr>
        <xdr:cNvCxnSpPr/>
      </xdr:nvCxnSpPr>
      <xdr:spPr>
        <a:xfrm>
          <a:off x="10020300" y="172402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419100</xdr:colOff>
      <xdr:row>9</xdr:row>
      <xdr:rowOff>0</xdr:rowOff>
    </xdr:from>
    <xdr:to>
      <xdr:col>24</xdr:col>
      <xdr:colOff>419100</xdr:colOff>
      <xdr:row>10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A65414E-985B-4267-BC37-5BDA9BA31F79}"/>
            </a:ext>
          </a:extLst>
        </xdr:cNvPr>
        <xdr:cNvCxnSpPr/>
      </xdr:nvCxnSpPr>
      <xdr:spPr>
        <a:xfrm>
          <a:off x="15135225" y="1714500"/>
          <a:ext cx="0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9</xdr:row>
      <xdr:rowOff>180975</xdr:rowOff>
    </xdr:from>
    <xdr:to>
      <xdr:col>24</xdr:col>
      <xdr:colOff>352425</xdr:colOff>
      <xdr:row>10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BB331A5-DF0C-48A3-8672-427F4EEEC008}"/>
            </a:ext>
          </a:extLst>
        </xdr:cNvPr>
        <xdr:cNvCxnSpPr/>
      </xdr:nvCxnSpPr>
      <xdr:spPr>
        <a:xfrm flipV="1">
          <a:off x="10020300" y="1895475"/>
          <a:ext cx="50482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314325</xdr:colOff>
      <xdr:row>10</xdr:row>
      <xdr:rowOff>95250</xdr:rowOff>
    </xdr:from>
    <xdr:to>
      <xdr:col>24</xdr:col>
      <xdr:colOff>419101</xdr:colOff>
      <xdr:row>10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B6B8E96-C8CE-430D-B114-319B3D9D9DA6}"/>
            </a:ext>
          </a:extLst>
        </xdr:cNvPr>
        <xdr:cNvCxnSpPr/>
      </xdr:nvCxnSpPr>
      <xdr:spPr>
        <a:xfrm flipH="1">
          <a:off x="14420850" y="2000250"/>
          <a:ext cx="71437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304800</xdr:colOff>
      <xdr:row>4</xdr:row>
      <xdr:rowOff>161925</xdr:rowOff>
    </xdr:from>
    <xdr:to>
      <xdr:col>23</xdr:col>
      <xdr:colOff>314325</xdr:colOff>
      <xdr:row>8</xdr:row>
      <xdr:rowOff>47625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2A21A07-ECD4-4A1C-9B46-CAA8BB9C79E0}"/>
            </a:ext>
          </a:extLst>
        </xdr:cNvPr>
        <xdr:cNvCxnSpPr/>
      </xdr:nvCxnSpPr>
      <xdr:spPr>
        <a:xfrm>
          <a:off x="14411325" y="923925"/>
          <a:ext cx="952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10</xdr:row>
      <xdr:rowOff>142877</xdr:rowOff>
    </xdr:from>
    <xdr:to>
      <xdr:col>16</xdr:col>
      <xdr:colOff>200026</xdr:colOff>
      <xdr:row>12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88200A0-E454-49F1-B897-626A5BE492D4}"/>
            </a:ext>
          </a:extLst>
        </xdr:cNvPr>
        <xdr:cNvCxnSpPr/>
      </xdr:nvCxnSpPr>
      <xdr:spPr>
        <a:xfrm flipV="1">
          <a:off x="10039350" y="2047877"/>
          <a:ext cx="1" cy="3333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371475</xdr:colOff>
      <xdr:row>5</xdr:row>
      <xdr:rowOff>161925</xdr:rowOff>
    </xdr:from>
    <xdr:to>
      <xdr:col>24</xdr:col>
      <xdr:colOff>371475</xdr:colOff>
      <xdr:row>7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0F96775-2F39-447A-A853-56AD315F8852}"/>
            </a:ext>
          </a:extLst>
        </xdr:cNvPr>
        <xdr:cNvSpPr txBox="1"/>
      </xdr:nvSpPr>
      <xdr:spPr>
        <a:xfrm>
          <a:off x="14478000" y="1114425"/>
          <a:ext cx="6096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F1</a:t>
          </a:r>
        </a:p>
      </xdr:txBody>
    </xdr:sp>
    <xdr:clientData/>
  </xdr:twoCellAnchor>
  <xdr:twoCellAnchor>
    <xdr:from>
      <xdr:col>23</xdr:col>
      <xdr:colOff>581025</xdr:colOff>
      <xdr:row>10</xdr:row>
      <xdr:rowOff>171450</xdr:rowOff>
    </xdr:from>
    <xdr:to>
      <xdr:col>24</xdr:col>
      <xdr:colOff>552450</xdr:colOff>
      <xdr:row>12</xdr:row>
      <xdr:rowOff>180975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6F2F402-E579-4654-B936-791E05FDD184}"/>
            </a:ext>
          </a:extLst>
        </xdr:cNvPr>
        <xdr:cNvSpPr txBox="1"/>
      </xdr:nvSpPr>
      <xdr:spPr>
        <a:xfrm>
          <a:off x="14687550" y="2076450"/>
          <a:ext cx="58102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d1</a:t>
          </a:r>
        </a:p>
      </xdr:txBody>
    </xdr:sp>
    <xdr:clientData/>
  </xdr:twoCellAnchor>
  <xdr:twoCellAnchor>
    <xdr:from>
      <xdr:col>19</xdr:col>
      <xdr:colOff>133350</xdr:colOff>
      <xdr:row>10</xdr:row>
      <xdr:rowOff>104775</xdr:rowOff>
    </xdr:from>
    <xdr:to>
      <xdr:col>20</xdr:col>
      <xdr:colOff>104775</xdr:colOff>
      <xdr:row>12</xdr:row>
      <xdr:rowOff>114300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927419-ED71-4842-BEE7-3382C83B7D5B}"/>
            </a:ext>
          </a:extLst>
        </xdr:cNvPr>
        <xdr:cNvSpPr txBox="1"/>
      </xdr:nvSpPr>
      <xdr:spPr>
        <a:xfrm>
          <a:off x="11801475" y="2009775"/>
          <a:ext cx="58102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d2</a:t>
          </a:r>
        </a:p>
      </xdr:txBody>
    </xdr:sp>
    <xdr:clientData/>
  </xdr:twoCellAnchor>
  <xdr:twoCellAnchor>
    <xdr:from>
      <xdr:col>15</xdr:col>
      <xdr:colOff>389404</xdr:colOff>
      <xdr:row>11</xdr:row>
      <xdr:rowOff>23533</xdr:rowOff>
    </xdr:from>
    <xdr:to>
      <xdr:col>16</xdr:col>
      <xdr:colOff>179854</xdr:colOff>
      <xdr:row>12</xdr:row>
      <xdr:rowOff>118783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A7F5D2-BBEB-4EAC-87C3-CF7C5C7AF115}"/>
            </a:ext>
          </a:extLst>
        </xdr:cNvPr>
        <xdr:cNvSpPr txBox="1"/>
      </xdr:nvSpPr>
      <xdr:spPr>
        <a:xfrm>
          <a:off x="9578228" y="2119033"/>
          <a:ext cx="39556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F2</a:t>
          </a:r>
        </a:p>
      </xdr:txBody>
    </xdr:sp>
    <xdr:clientData/>
  </xdr:twoCellAnchor>
  <xdr:twoCellAnchor>
    <xdr:from>
      <xdr:col>19</xdr:col>
      <xdr:colOff>320488</xdr:colOff>
      <xdr:row>13</xdr:row>
      <xdr:rowOff>132790</xdr:rowOff>
    </xdr:from>
    <xdr:to>
      <xdr:col>22</xdr:col>
      <xdr:colOff>381001</xdr:colOff>
      <xdr:row>15</xdr:row>
      <xdr:rowOff>40341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B5A4FE9-4B56-4A18-896D-D8622A59C8A7}"/>
            </a:ext>
          </a:extLst>
        </xdr:cNvPr>
        <xdr:cNvSpPr txBox="1"/>
      </xdr:nvSpPr>
      <xdr:spPr>
        <a:xfrm>
          <a:off x="13140017" y="2609290"/>
          <a:ext cx="1875866" cy="28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F2*d2 = F1*d1 -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Symbol" panose="05050102010706020507" pitchFamily="18" charset="2"/>
              <a:ea typeface="+mn-ea"/>
              <a:cs typeface="+mn-cs"/>
            </a:rPr>
            <a:t>t</a:t>
          </a:r>
          <a:r>
            <a:rPr lang="en-US" sz="1100"/>
            <a:t>B1a +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tB1b</a:t>
          </a:r>
          <a:endParaRPr lang="en-US" sz="1100"/>
        </a:p>
      </xdr:txBody>
    </xdr:sp>
    <xdr:clientData/>
  </xdr:twoCellAnchor>
  <xdr:twoCellAnchor>
    <xdr:from>
      <xdr:col>14</xdr:col>
      <xdr:colOff>17369</xdr:colOff>
      <xdr:row>7</xdr:row>
      <xdr:rowOff>183776</xdr:rowOff>
    </xdr:from>
    <xdr:to>
      <xdr:col>15</xdr:col>
      <xdr:colOff>560294</xdr:colOff>
      <xdr:row>9</xdr:row>
      <xdr:rowOff>78442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AD80852-4C86-43E4-84CD-4E7A720512D4}"/>
            </a:ext>
          </a:extLst>
        </xdr:cNvPr>
        <xdr:cNvSpPr txBox="1"/>
      </xdr:nvSpPr>
      <xdr:spPr>
        <a:xfrm>
          <a:off x="9811310" y="1517276"/>
          <a:ext cx="1148043" cy="275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Level-one Beam </a:t>
          </a:r>
        </a:p>
      </xdr:txBody>
    </xdr:sp>
    <xdr:clientData/>
  </xdr:twoCellAnchor>
  <xdr:twoCellAnchor>
    <xdr:from>
      <xdr:col>20</xdr:col>
      <xdr:colOff>266700</xdr:colOff>
      <xdr:row>8</xdr:row>
      <xdr:rowOff>180975</xdr:rowOff>
    </xdr:from>
    <xdr:to>
      <xdr:col>20</xdr:col>
      <xdr:colOff>276225</xdr:colOff>
      <xdr:row>12</xdr:row>
      <xdr:rowOff>66675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64BFECE-495C-4179-AE98-8C304CD93602}"/>
            </a:ext>
          </a:extLst>
        </xdr:cNvPr>
        <xdr:cNvCxnSpPr/>
      </xdr:nvCxnSpPr>
      <xdr:spPr>
        <a:xfrm>
          <a:off x="12544425" y="1704975"/>
          <a:ext cx="9525" cy="6477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409576</xdr:colOff>
      <xdr:row>11</xdr:row>
      <xdr:rowOff>95250</xdr:rowOff>
    </xdr:from>
    <xdr:to>
      <xdr:col>21</xdr:col>
      <xdr:colOff>336176</xdr:colOff>
      <xdr:row>13</xdr:row>
      <xdr:rowOff>104775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4C3F98-E16F-46E4-B64A-EAB490891499}"/>
            </a:ext>
          </a:extLst>
        </xdr:cNvPr>
        <xdr:cNvSpPr txBox="1"/>
      </xdr:nvSpPr>
      <xdr:spPr>
        <a:xfrm>
          <a:off x="13834223" y="2190750"/>
          <a:ext cx="531718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B1b</a:t>
          </a:r>
        </a:p>
      </xdr:txBody>
    </xdr:sp>
    <xdr:clientData/>
  </xdr:twoCellAnchor>
  <xdr:twoCellAnchor>
    <xdr:from>
      <xdr:col>25</xdr:col>
      <xdr:colOff>180975</xdr:colOff>
      <xdr:row>11</xdr:row>
      <xdr:rowOff>101974</xdr:rowOff>
    </xdr:from>
    <xdr:to>
      <xdr:col>26</xdr:col>
      <xdr:colOff>123264</xdr:colOff>
      <xdr:row>13</xdr:row>
      <xdr:rowOff>111499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10CE3CF7-8241-47D4-AEA7-1429A262D0B6}"/>
            </a:ext>
          </a:extLst>
        </xdr:cNvPr>
        <xdr:cNvSpPr txBox="1"/>
      </xdr:nvSpPr>
      <xdr:spPr>
        <a:xfrm>
          <a:off x="16631210" y="2197474"/>
          <a:ext cx="547407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B1a</a:t>
          </a:r>
        </a:p>
      </xdr:txBody>
    </xdr:sp>
    <xdr:clientData/>
  </xdr:twoCellAnchor>
  <xdr:twoCellAnchor>
    <xdr:from>
      <xdr:col>25</xdr:col>
      <xdr:colOff>61073</xdr:colOff>
      <xdr:row>9</xdr:row>
      <xdr:rowOff>1681</xdr:rowOff>
    </xdr:from>
    <xdr:to>
      <xdr:col>25</xdr:col>
      <xdr:colOff>70598</xdr:colOff>
      <xdr:row>12</xdr:row>
      <xdr:rowOff>77881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4828746-BB3B-4D3A-9A75-D5884C0406A1}"/>
            </a:ext>
          </a:extLst>
        </xdr:cNvPr>
        <xdr:cNvCxnSpPr/>
      </xdr:nvCxnSpPr>
      <xdr:spPr>
        <a:xfrm>
          <a:off x="16511308" y="1716181"/>
          <a:ext cx="9525" cy="6477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203946</xdr:colOff>
      <xdr:row>20</xdr:row>
      <xdr:rowOff>177053</xdr:rowOff>
    </xdr:from>
    <xdr:to>
      <xdr:col>25</xdr:col>
      <xdr:colOff>270621</xdr:colOff>
      <xdr:row>21</xdr:row>
      <xdr:rowOff>72278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37615BAC-8059-47C7-AC0E-54519E772CD6}"/>
            </a:ext>
          </a:extLst>
        </xdr:cNvPr>
        <xdr:cNvSpPr/>
      </xdr:nvSpPr>
      <xdr:spPr>
        <a:xfrm>
          <a:off x="11208122" y="3987053"/>
          <a:ext cx="5512734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218516</xdr:colOff>
      <xdr:row>18</xdr:row>
      <xdr:rowOff>145677</xdr:rowOff>
    </xdr:from>
    <xdr:to>
      <xdr:col>16</xdr:col>
      <xdr:colOff>218516</xdr:colOff>
      <xdr:row>20</xdr:row>
      <xdr:rowOff>117102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3E6EF1A-3B15-4804-876F-2D43922749D0}"/>
            </a:ext>
          </a:extLst>
        </xdr:cNvPr>
        <xdr:cNvCxnSpPr/>
      </xdr:nvCxnSpPr>
      <xdr:spPr>
        <a:xfrm>
          <a:off x="11222692" y="3574677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407945</xdr:colOff>
      <xdr:row>18</xdr:row>
      <xdr:rowOff>148478</xdr:rowOff>
    </xdr:from>
    <xdr:to>
      <xdr:col>16</xdr:col>
      <xdr:colOff>123265</xdr:colOff>
      <xdr:row>20</xdr:row>
      <xdr:rowOff>53228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7D38DAF-8C9B-4886-9048-B6B0B92D3A12}"/>
            </a:ext>
          </a:extLst>
        </xdr:cNvPr>
        <xdr:cNvSpPr txBox="1"/>
      </xdr:nvSpPr>
      <xdr:spPr>
        <a:xfrm>
          <a:off x="10807004" y="3577478"/>
          <a:ext cx="320437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F2</a:t>
          </a:r>
        </a:p>
      </xdr:txBody>
    </xdr:sp>
    <xdr:clientData/>
  </xdr:twoCellAnchor>
  <xdr:twoCellAnchor>
    <xdr:from>
      <xdr:col>13</xdr:col>
      <xdr:colOff>476250</xdr:colOff>
      <xdr:row>3</xdr:row>
      <xdr:rowOff>47625</xdr:rowOff>
    </xdr:from>
    <xdr:to>
      <xdr:col>13</xdr:col>
      <xdr:colOff>476250</xdr:colOff>
      <xdr:row>4</xdr:row>
      <xdr:rowOff>133350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3114C4-FAB5-4BF1-B1B1-29E15CF61F5A}"/>
            </a:ext>
          </a:extLst>
        </xdr:cNvPr>
        <xdr:cNvCxnSpPr/>
      </xdr:nvCxnSpPr>
      <xdr:spPr>
        <a:xfrm>
          <a:off x="9665074" y="619125"/>
          <a:ext cx="0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330574</xdr:colOff>
      <xdr:row>21</xdr:row>
      <xdr:rowOff>81243</xdr:rowOff>
    </xdr:from>
    <xdr:to>
      <xdr:col>17</xdr:col>
      <xdr:colOff>425824</xdr:colOff>
      <xdr:row>23</xdr:row>
      <xdr:rowOff>112059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53E6E315-BD57-4CDF-B9F2-14436A3E0281}"/>
            </a:ext>
          </a:extLst>
        </xdr:cNvPr>
        <xdr:cNvSpPr/>
      </xdr:nvSpPr>
      <xdr:spPr>
        <a:xfrm>
          <a:off x="11939868" y="4081743"/>
          <a:ext cx="95250" cy="411816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575424</xdr:colOff>
      <xdr:row>21</xdr:row>
      <xdr:rowOff>81243</xdr:rowOff>
    </xdr:from>
    <xdr:to>
      <xdr:col>16</xdr:col>
      <xdr:colOff>584949</xdr:colOff>
      <xdr:row>24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9416798-DF72-4FFB-8282-8A583030FDB1}"/>
            </a:ext>
          </a:extLst>
        </xdr:cNvPr>
        <xdr:cNvCxnSpPr/>
      </xdr:nvCxnSpPr>
      <xdr:spPr>
        <a:xfrm>
          <a:off x="11579600" y="4081743"/>
          <a:ext cx="9525" cy="6477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341781</xdr:colOff>
      <xdr:row>24</xdr:row>
      <xdr:rowOff>176493</xdr:rowOff>
    </xdr:from>
    <xdr:to>
      <xdr:col>17</xdr:col>
      <xdr:colOff>313206</xdr:colOff>
      <xdr:row>26</xdr:row>
      <xdr:rowOff>186018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17E999D-D1A2-403D-B440-E19E2F9B9172}"/>
            </a:ext>
          </a:extLst>
        </xdr:cNvPr>
        <xdr:cNvSpPr txBox="1"/>
      </xdr:nvSpPr>
      <xdr:spPr>
        <a:xfrm>
          <a:off x="11345957" y="4748493"/>
          <a:ext cx="576543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B2a</a:t>
          </a:r>
        </a:p>
      </xdr:txBody>
    </xdr:sp>
    <xdr:clientData/>
  </xdr:twoCellAnchor>
  <xdr:twoCellAnchor>
    <xdr:from>
      <xdr:col>16</xdr:col>
      <xdr:colOff>215153</xdr:colOff>
      <xdr:row>21</xdr:row>
      <xdr:rowOff>132790</xdr:rowOff>
    </xdr:from>
    <xdr:to>
      <xdr:col>16</xdr:col>
      <xdr:colOff>215153</xdr:colOff>
      <xdr:row>23</xdr:row>
      <xdr:rowOff>47065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53091A19-3198-419F-839B-724DCCB2C44D}"/>
            </a:ext>
          </a:extLst>
        </xdr:cNvPr>
        <xdr:cNvCxnSpPr/>
      </xdr:nvCxnSpPr>
      <xdr:spPr>
        <a:xfrm>
          <a:off x="11219329" y="4133290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255493</xdr:colOff>
      <xdr:row>21</xdr:row>
      <xdr:rowOff>117101</xdr:rowOff>
    </xdr:from>
    <xdr:to>
      <xdr:col>25</xdr:col>
      <xdr:colOff>255493</xdr:colOff>
      <xdr:row>23</xdr:row>
      <xdr:rowOff>31376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4ACFA65-524F-4F1F-A40A-63266D3D80B6}"/>
            </a:ext>
          </a:extLst>
        </xdr:cNvPr>
        <xdr:cNvCxnSpPr/>
      </xdr:nvCxnSpPr>
      <xdr:spPr>
        <a:xfrm>
          <a:off x="16705728" y="4117601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459441</xdr:colOff>
      <xdr:row>22</xdr:row>
      <xdr:rowOff>134470</xdr:rowOff>
    </xdr:from>
    <xdr:to>
      <xdr:col>25</xdr:col>
      <xdr:colOff>268941</xdr:colOff>
      <xdr:row>22</xdr:row>
      <xdr:rowOff>156882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4EC0F22-49C0-49AE-A366-6AE65C13CA7C}"/>
            </a:ext>
          </a:extLst>
        </xdr:cNvPr>
        <xdr:cNvCxnSpPr/>
      </xdr:nvCxnSpPr>
      <xdr:spPr>
        <a:xfrm flipH="1">
          <a:off x="12068735" y="4325470"/>
          <a:ext cx="4650441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212912</xdr:colOff>
      <xdr:row>22</xdr:row>
      <xdr:rowOff>145676</xdr:rowOff>
    </xdr:from>
    <xdr:to>
      <xdr:col>17</xdr:col>
      <xdr:colOff>313765</xdr:colOff>
      <xdr:row>22</xdr:row>
      <xdr:rowOff>156882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4AF26D5-8F29-4A58-82BC-BE0B296B3325}"/>
            </a:ext>
          </a:extLst>
        </xdr:cNvPr>
        <xdr:cNvCxnSpPr/>
      </xdr:nvCxnSpPr>
      <xdr:spPr>
        <a:xfrm>
          <a:off x="11217088" y="4336676"/>
          <a:ext cx="705971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311523</xdr:colOff>
      <xdr:row>21</xdr:row>
      <xdr:rowOff>81242</xdr:rowOff>
    </xdr:from>
    <xdr:to>
      <xdr:col>21</xdr:col>
      <xdr:colOff>321048</xdr:colOff>
      <xdr:row>24</xdr:row>
      <xdr:rowOff>157442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D136D247-C52D-4CAA-936F-C9BAF33742C8}"/>
            </a:ext>
          </a:extLst>
        </xdr:cNvPr>
        <xdr:cNvCxnSpPr/>
      </xdr:nvCxnSpPr>
      <xdr:spPr>
        <a:xfrm>
          <a:off x="14341288" y="4081742"/>
          <a:ext cx="9525" cy="6477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106456</xdr:colOff>
      <xdr:row>24</xdr:row>
      <xdr:rowOff>146236</xdr:rowOff>
    </xdr:from>
    <xdr:to>
      <xdr:col>22</xdr:col>
      <xdr:colOff>77882</xdr:colOff>
      <xdr:row>26</xdr:row>
      <xdr:rowOff>155761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F12E04F-36FF-4628-9D74-1A680275AB20}"/>
            </a:ext>
          </a:extLst>
        </xdr:cNvPr>
        <xdr:cNvSpPr txBox="1"/>
      </xdr:nvSpPr>
      <xdr:spPr>
        <a:xfrm>
          <a:off x="14136221" y="4718236"/>
          <a:ext cx="576543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B2b</a:t>
          </a:r>
        </a:p>
      </xdr:txBody>
    </xdr:sp>
    <xdr:clientData/>
  </xdr:twoCellAnchor>
  <xdr:twoCellAnchor>
    <xdr:from>
      <xdr:col>17</xdr:col>
      <xdr:colOff>18801</xdr:colOff>
      <xdr:row>23</xdr:row>
      <xdr:rowOff>47626</xdr:rowOff>
    </xdr:from>
    <xdr:to>
      <xdr:col>17</xdr:col>
      <xdr:colOff>347383</xdr:colOff>
      <xdr:row>24</xdr:row>
      <xdr:rowOff>112060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C2D582F1-B40D-472F-83B0-B0773CC54EBE}"/>
            </a:ext>
          </a:extLst>
        </xdr:cNvPr>
        <xdr:cNvSpPr txBox="1"/>
      </xdr:nvSpPr>
      <xdr:spPr>
        <a:xfrm>
          <a:off x="11628095" y="4429126"/>
          <a:ext cx="328582" cy="2549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d3</a:t>
          </a:r>
        </a:p>
      </xdr:txBody>
    </xdr:sp>
    <xdr:clientData/>
  </xdr:twoCellAnchor>
  <xdr:twoCellAnchor>
    <xdr:from>
      <xdr:col>21</xdr:col>
      <xdr:colOff>599515</xdr:colOff>
      <xdr:row>22</xdr:row>
      <xdr:rowOff>188259</xdr:rowOff>
    </xdr:from>
    <xdr:to>
      <xdr:col>22</xdr:col>
      <xdr:colOff>570993</xdr:colOff>
      <xdr:row>25</xdr:row>
      <xdr:rowOff>7284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749A832E-47E1-4745-82C7-29045B6BA6C0}"/>
            </a:ext>
          </a:extLst>
        </xdr:cNvPr>
        <xdr:cNvSpPr txBox="1"/>
      </xdr:nvSpPr>
      <xdr:spPr>
        <a:xfrm>
          <a:off x="14629280" y="4379259"/>
          <a:ext cx="57659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d4</a:t>
          </a:r>
        </a:p>
      </xdr:txBody>
    </xdr:sp>
    <xdr:clientData/>
  </xdr:twoCellAnchor>
  <xdr:twoCellAnchor>
    <xdr:from>
      <xdr:col>19</xdr:col>
      <xdr:colOff>394967</xdr:colOff>
      <xdr:row>26</xdr:row>
      <xdr:rowOff>104214</xdr:rowOff>
    </xdr:from>
    <xdr:to>
      <xdr:col>22</xdr:col>
      <xdr:colOff>425326</xdr:colOff>
      <xdr:row>27</xdr:row>
      <xdr:rowOff>152399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9BEDB77-1AB3-4B7F-8BF0-500EAFD29BAD}"/>
            </a:ext>
          </a:extLst>
        </xdr:cNvPr>
        <xdr:cNvSpPr txBox="1"/>
      </xdr:nvSpPr>
      <xdr:spPr>
        <a:xfrm>
          <a:off x="13214496" y="5057214"/>
          <a:ext cx="1845712" cy="238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F4*d4 = F2*d3 + </a:t>
          </a:r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B2a - </a:t>
          </a:r>
          <a:r>
            <a:rPr lang="en-US" sz="1100">
              <a:latin typeface="Symbol" panose="05050102010706020507" pitchFamily="18" charset="2"/>
            </a:rPr>
            <a:t>t</a:t>
          </a:r>
          <a:r>
            <a:rPr lang="en-US" sz="1100"/>
            <a:t>B2b</a:t>
          </a:r>
        </a:p>
      </xdr:txBody>
    </xdr:sp>
    <xdr:clientData/>
  </xdr:twoCellAnchor>
  <xdr:twoCellAnchor>
    <xdr:from>
      <xdr:col>25</xdr:col>
      <xdr:colOff>243730</xdr:colOff>
      <xdr:row>18</xdr:row>
      <xdr:rowOff>168648</xdr:rowOff>
    </xdr:from>
    <xdr:to>
      <xdr:col>25</xdr:col>
      <xdr:colOff>243733</xdr:colOff>
      <xdr:row>20</xdr:row>
      <xdr:rowOff>63876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CC75FED-AC2E-4D1B-A314-FFBCADA8C05B}"/>
            </a:ext>
          </a:extLst>
        </xdr:cNvPr>
        <xdr:cNvCxnSpPr/>
      </xdr:nvCxnSpPr>
      <xdr:spPr>
        <a:xfrm>
          <a:off x="16693965" y="3597648"/>
          <a:ext cx="3" cy="276228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375398</xdr:colOff>
      <xdr:row>18</xdr:row>
      <xdr:rowOff>126066</xdr:rowOff>
    </xdr:from>
    <xdr:to>
      <xdr:col>26</xdr:col>
      <xdr:colOff>167280</xdr:colOff>
      <xdr:row>20</xdr:row>
      <xdr:rowOff>30816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9BA9DE9C-14DE-4C14-BBBF-1FBF73EB7635}"/>
            </a:ext>
          </a:extLst>
        </xdr:cNvPr>
        <xdr:cNvSpPr txBox="1"/>
      </xdr:nvSpPr>
      <xdr:spPr>
        <a:xfrm>
          <a:off x="16825633" y="3555066"/>
          <a:ext cx="3970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F4</a:t>
          </a:r>
        </a:p>
      </xdr:txBody>
    </xdr:sp>
    <xdr:clientData/>
  </xdr:twoCellAnchor>
  <xdr:twoCellAnchor>
    <xdr:from>
      <xdr:col>14</xdr:col>
      <xdr:colOff>91328</xdr:colOff>
      <xdr:row>20</xdr:row>
      <xdr:rowOff>89646</xdr:rowOff>
    </xdr:from>
    <xdr:to>
      <xdr:col>16</xdr:col>
      <xdr:colOff>29136</xdr:colOff>
      <xdr:row>21</xdr:row>
      <xdr:rowOff>174812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32D87B0-E564-4765-9316-2C1822DBCAB0}"/>
            </a:ext>
          </a:extLst>
        </xdr:cNvPr>
        <xdr:cNvSpPr txBox="1"/>
      </xdr:nvSpPr>
      <xdr:spPr>
        <a:xfrm>
          <a:off x="9885269" y="3899646"/>
          <a:ext cx="1148043" cy="275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Level-two Beam </a:t>
          </a:r>
        </a:p>
      </xdr:txBody>
    </xdr:sp>
    <xdr:clientData/>
  </xdr:twoCellAnchor>
  <xdr:twoCellAnchor>
    <xdr:from>
      <xdr:col>16</xdr:col>
      <xdr:colOff>168089</xdr:colOff>
      <xdr:row>12</xdr:row>
      <xdr:rowOff>134471</xdr:rowOff>
    </xdr:from>
    <xdr:to>
      <xdr:col>16</xdr:col>
      <xdr:colOff>246530</xdr:colOff>
      <xdr:row>18</xdr:row>
      <xdr:rowOff>123265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51296F36-67DB-4BCE-ABDB-A82331775A0D}"/>
            </a:ext>
          </a:extLst>
        </xdr:cNvPr>
        <xdr:cNvSpPr/>
      </xdr:nvSpPr>
      <xdr:spPr>
        <a:xfrm>
          <a:off x="11172265" y="2420471"/>
          <a:ext cx="78441" cy="11317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</xdr:row>
      <xdr:rowOff>142875</xdr:rowOff>
    </xdr:from>
    <xdr:to>
      <xdr:col>19</xdr:col>
      <xdr:colOff>495300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3CB84-19EC-4D0C-8682-BAEC5CD9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workbookViewId="0">
      <selection activeCell="A3" sqref="A3"/>
    </sheetView>
  </sheetViews>
  <sheetFormatPr defaultRowHeight="14.6"/>
  <cols>
    <col min="1" max="1" width="12" bestFit="1" customWidth="1"/>
    <col min="2" max="2" width="18.15234375" customWidth="1"/>
  </cols>
  <sheetData>
    <row r="1" spans="1:15">
      <c r="A1" t="s">
        <v>172</v>
      </c>
    </row>
    <row r="2" spans="1:15">
      <c r="A2" t="s">
        <v>173</v>
      </c>
    </row>
    <row r="5" spans="1:15">
      <c r="A5" s="2">
        <v>1.8</v>
      </c>
      <c r="B5" t="s">
        <v>5</v>
      </c>
      <c r="H5" s="3" t="s">
        <v>6</v>
      </c>
    </row>
    <row r="6" spans="1:15">
      <c r="A6" s="2">
        <v>0.3</v>
      </c>
      <c r="B6" t="s">
        <v>40</v>
      </c>
      <c r="H6">
        <v>25</v>
      </c>
      <c r="I6" t="s">
        <v>164</v>
      </c>
    </row>
    <row r="7" spans="1:15">
      <c r="A7" s="2">
        <v>0.35</v>
      </c>
      <c r="B7" t="s">
        <v>39</v>
      </c>
      <c r="H7">
        <f>H6/2.20462</f>
        <v>11.339822735890994</v>
      </c>
      <c r="I7" t="s">
        <v>26</v>
      </c>
    </row>
    <row r="8" spans="1:15">
      <c r="H8">
        <v>3.0009999999999999</v>
      </c>
      <c r="I8" t="s">
        <v>155</v>
      </c>
    </row>
    <row r="9" spans="1:15">
      <c r="H9">
        <v>2.5</v>
      </c>
      <c r="I9" t="s">
        <v>156</v>
      </c>
    </row>
    <row r="10" spans="1:15">
      <c r="H10">
        <f>H8*H9</f>
        <v>7.5024999999999995</v>
      </c>
      <c r="I10" t="s">
        <v>157</v>
      </c>
      <c r="N10" s="3" t="s">
        <v>43</v>
      </c>
    </row>
    <row r="11" spans="1:15">
      <c r="A11">
        <f>A12*2.54</f>
        <v>45.72</v>
      </c>
      <c r="B11" t="s">
        <v>0</v>
      </c>
      <c r="H11">
        <f>H10/H7</f>
        <v>0.66160646199999984</v>
      </c>
      <c r="I11" t="s">
        <v>158</v>
      </c>
      <c r="N11" s="3" t="s">
        <v>6</v>
      </c>
    </row>
    <row r="12" spans="1:15">
      <c r="A12" s="15">
        <v>18</v>
      </c>
      <c r="B12" t="s">
        <v>47</v>
      </c>
      <c r="H12">
        <f>1/H11*1000</f>
        <v>1511.4725406052642</v>
      </c>
      <c r="I12" t="s">
        <v>160</v>
      </c>
      <c r="N12">
        <v>1000</v>
      </c>
      <c r="O12" t="s">
        <v>7</v>
      </c>
    </row>
    <row r="13" spans="1:15">
      <c r="A13">
        <f>A11/2</f>
        <v>22.86</v>
      </c>
      <c r="B13" t="s">
        <v>1</v>
      </c>
      <c r="H13">
        <v>0.33</v>
      </c>
      <c r="I13" t="s">
        <v>159</v>
      </c>
      <c r="N13">
        <v>0.02</v>
      </c>
      <c r="O13" t="s">
        <v>8</v>
      </c>
    </row>
    <row r="14" spans="1:15">
      <c r="A14">
        <f>A15*2.54</f>
        <v>45.72</v>
      </c>
      <c r="B14" t="s">
        <v>2</v>
      </c>
      <c r="H14">
        <f>H12/1000</f>
        <v>1.5114725406052643</v>
      </c>
      <c r="I14" t="s">
        <v>161</v>
      </c>
      <c r="N14">
        <f>N12*N13/100</f>
        <v>0.2</v>
      </c>
      <c r="O14" t="s">
        <v>9</v>
      </c>
    </row>
    <row r="15" spans="1:15">
      <c r="A15" s="2">
        <v>18</v>
      </c>
      <c r="B15" t="s">
        <v>146</v>
      </c>
      <c r="H15">
        <f>H14*H13</f>
        <v>0.49878593839973723</v>
      </c>
      <c r="I15" t="s">
        <v>162</v>
      </c>
    </row>
    <row r="16" spans="1:15">
      <c r="A16" s="4">
        <f>A13^2*PI()</f>
        <v>1641.7322322758928</v>
      </c>
      <c r="B16" t="s">
        <v>3</v>
      </c>
    </row>
    <row r="17" spans="1:21">
      <c r="A17" s="4">
        <f>A16*A14</f>
        <v>75059.997659653818</v>
      </c>
      <c r="B17" t="s">
        <v>4</v>
      </c>
      <c r="D17" t="s">
        <v>64</v>
      </c>
      <c r="E17">
        <f>2.61/0.6</f>
        <v>4.3499999999999996</v>
      </c>
      <c r="F17" t="s">
        <v>65</v>
      </c>
      <c r="H17">
        <f>H6/2.20462</f>
        <v>11.339822735890994</v>
      </c>
      <c r="I17" t="s">
        <v>26</v>
      </c>
      <c r="N17">
        <f>N12/2.20462</f>
        <v>453.59290943563974</v>
      </c>
      <c r="O17" t="s">
        <v>26</v>
      </c>
    </row>
    <row r="18" spans="1:21">
      <c r="A18" s="4">
        <f>A17*A5</f>
        <v>135107.99578737689</v>
      </c>
      <c r="B18" t="s">
        <v>41</v>
      </c>
      <c r="H18">
        <v>3.0000000000000001E-3</v>
      </c>
      <c r="I18" t="s">
        <v>27</v>
      </c>
      <c r="N18">
        <v>0.02</v>
      </c>
      <c r="O18" t="s">
        <v>27</v>
      </c>
    </row>
    <row r="19" spans="1:21">
      <c r="A19" s="4">
        <f>A18/1000</f>
        <v>135.10799578737689</v>
      </c>
      <c r="B19" t="s">
        <v>42</v>
      </c>
      <c r="D19">
        <f>A19*2.20462</f>
        <v>297.8617896727668</v>
      </c>
      <c r="H19">
        <f>H18/100*H17</f>
        <v>3.4019468207672983E-4</v>
      </c>
      <c r="I19" t="s">
        <v>28</v>
      </c>
      <c r="N19">
        <f>N18/100*N17</f>
        <v>9.0718581887127947E-2</v>
      </c>
      <c r="O19" t="s">
        <v>28</v>
      </c>
    </row>
    <row r="20" spans="1:21">
      <c r="A20" s="2">
        <v>10</v>
      </c>
      <c r="B20" t="s">
        <v>33</v>
      </c>
      <c r="H20">
        <f>H19*1000</f>
        <v>0.34019468207672982</v>
      </c>
      <c r="I20" t="s">
        <v>29</v>
      </c>
      <c r="N20">
        <f>N19*1000</f>
        <v>90.718581887127954</v>
      </c>
      <c r="O20" t="s">
        <v>29</v>
      </c>
      <c r="T20">
        <v>1.1299999999999999</v>
      </c>
      <c r="U20" t="s">
        <v>165</v>
      </c>
    </row>
    <row r="21" spans="1:21">
      <c r="A21" s="4">
        <f>(A17*A6*A7*A26)/1000</f>
        <v>7.88129975426365</v>
      </c>
      <c r="B21" t="s">
        <v>34</v>
      </c>
      <c r="D21">
        <f>A21*2.20462</f>
        <v>17.375271064244728</v>
      </c>
      <c r="E21" t="s">
        <v>49</v>
      </c>
      <c r="H21">
        <f>H20*20</f>
        <v>6.8038936415345965</v>
      </c>
      <c r="I21" t="s">
        <v>66</v>
      </c>
      <c r="T21">
        <f>T20/A16*10</f>
        <v>6.8829738357119837E-3</v>
      </c>
      <c r="U21" t="s">
        <v>166</v>
      </c>
    </row>
    <row r="22" spans="1:21">
      <c r="A22" s="4">
        <f>A19+A20+A21</f>
        <v>152.98929554164053</v>
      </c>
      <c r="B22" t="s">
        <v>32</v>
      </c>
      <c r="D22">
        <f>A22*2.20462</f>
        <v>337.28326073701152</v>
      </c>
      <c r="H22">
        <f>H21/A16*10</f>
        <v>4.1443382226238723E-2</v>
      </c>
      <c r="I22" t="s">
        <v>67</v>
      </c>
    </row>
    <row r="23" spans="1:21">
      <c r="A23" s="4">
        <f>A22*2.20462</f>
        <v>337.28326073701152</v>
      </c>
      <c r="B23" t="s">
        <v>44</v>
      </c>
    </row>
    <row r="25" spans="1:21">
      <c r="B25" s="1" t="s">
        <v>36</v>
      </c>
      <c r="H25">
        <v>1</v>
      </c>
      <c r="I25" t="s">
        <v>10</v>
      </c>
      <c r="N25">
        <v>1</v>
      </c>
      <c r="O25" t="s">
        <v>10</v>
      </c>
    </row>
    <row r="26" spans="1:21">
      <c r="A26" s="2">
        <v>1</v>
      </c>
      <c r="B26" t="s">
        <v>10</v>
      </c>
      <c r="H26">
        <f>H20/H25</f>
        <v>0.34019468207672982</v>
      </c>
      <c r="I26" t="s">
        <v>35</v>
      </c>
      <c r="N26">
        <f>N20/N25</f>
        <v>90.718581887127954</v>
      </c>
      <c r="O26" t="s">
        <v>35</v>
      </c>
    </row>
    <row r="27" spans="1:21">
      <c r="A27" s="2">
        <v>25.4</v>
      </c>
      <c r="B27" t="s">
        <v>11</v>
      </c>
      <c r="D27" s="6">
        <v>0.01</v>
      </c>
      <c r="H27">
        <f>H26/A16</f>
        <v>2.0721691113119363E-4</v>
      </c>
      <c r="I27" t="s">
        <v>30</v>
      </c>
      <c r="N27">
        <f>N26/A16</f>
        <v>5.5257842968318302E-2</v>
      </c>
      <c r="O27" t="s">
        <v>30</v>
      </c>
    </row>
    <row r="28" spans="1:21">
      <c r="A28">
        <f>A27/10</f>
        <v>2.54</v>
      </c>
      <c r="B28" t="s">
        <v>12</v>
      </c>
      <c r="H28">
        <f>H27*10</f>
        <v>2.0721691113119362E-3</v>
      </c>
      <c r="I28" t="s">
        <v>31</v>
      </c>
      <c r="N28">
        <f>N27*10</f>
        <v>0.55257842968318305</v>
      </c>
      <c r="O28" t="s">
        <v>31</v>
      </c>
    </row>
    <row r="29" spans="1:21">
      <c r="A29" s="4">
        <f>A16</f>
        <v>1641.7322322758928</v>
      </c>
      <c r="B29" t="s">
        <v>3</v>
      </c>
    </row>
    <row r="30" spans="1:21">
      <c r="A30" s="4">
        <f>A29*A28</f>
        <v>4169.9998699807675</v>
      </c>
      <c r="B30" t="s">
        <v>13</v>
      </c>
    </row>
    <row r="31" spans="1:21">
      <c r="A31" s="4">
        <f>A30*A26</f>
        <v>4169.9998699807675</v>
      </c>
      <c r="B31" t="s">
        <v>14</v>
      </c>
      <c r="H31">
        <v>1</v>
      </c>
      <c r="I31" t="s">
        <v>68</v>
      </c>
    </row>
    <row r="32" spans="1:21">
      <c r="H32">
        <f>H31/A16</f>
        <v>6.0911272882406943E-4</v>
      </c>
      <c r="I32" t="s">
        <v>69</v>
      </c>
    </row>
    <row r="33" spans="1:9">
      <c r="H33">
        <f>H32*10</f>
        <v>6.0911272882406943E-3</v>
      </c>
      <c r="I33" t="s">
        <v>70</v>
      </c>
    </row>
    <row r="34" spans="1:9">
      <c r="B34" s="1" t="s">
        <v>15</v>
      </c>
    </row>
    <row r="35" spans="1:9">
      <c r="A35" s="4">
        <f>A22</f>
        <v>152.98929554164053</v>
      </c>
      <c r="B35" t="s">
        <v>32</v>
      </c>
      <c r="D35" s="4">
        <f>A21</f>
        <v>7.88129975426365</v>
      </c>
    </row>
    <row r="36" spans="1:9">
      <c r="A36" s="2">
        <v>8</v>
      </c>
      <c r="B36" t="s">
        <v>16</v>
      </c>
      <c r="D36" s="2">
        <v>20</v>
      </c>
      <c r="H36">
        <f>A36*H15</f>
        <v>3.9902875071978978</v>
      </c>
      <c r="I36" s="17" t="s">
        <v>163</v>
      </c>
    </row>
    <row r="37" spans="1:9">
      <c r="A37" s="4">
        <f>A35/A36</f>
        <v>19.123661942705066</v>
      </c>
      <c r="B37" t="s">
        <v>170</v>
      </c>
      <c r="D37" s="4"/>
    </row>
    <row r="38" spans="1:9">
      <c r="A38" s="4">
        <f>A37*2.20462</f>
        <v>42.16040759212644</v>
      </c>
      <c r="B38" t="s">
        <v>169</v>
      </c>
      <c r="D38" s="4"/>
    </row>
    <row r="39" spans="1:9" ht="29.15">
      <c r="A39" s="4">
        <f>A38-D21</f>
        <v>24.785136527881711</v>
      </c>
      <c r="B39" s="16" t="s">
        <v>171</v>
      </c>
      <c r="D39" s="4"/>
    </row>
    <row r="40" spans="1:9">
      <c r="A40">
        <f>A35*1000/A16</f>
        <v>93.187727288240694</v>
      </c>
      <c r="B40" t="s">
        <v>145</v>
      </c>
      <c r="D40">
        <f>A40/2.54</f>
        <v>36.68808160954358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2B2D-7DA0-48E0-9C83-973F4955A0E0}">
  <dimension ref="A1:R55"/>
  <sheetViews>
    <sheetView tabSelected="1" zoomScale="85" zoomScaleNormal="85" workbookViewId="0">
      <selection activeCell="B19" sqref="B19"/>
    </sheetView>
  </sheetViews>
  <sheetFormatPr defaultRowHeight="14.6"/>
  <cols>
    <col min="1" max="1" width="11.3046875" customWidth="1"/>
    <col min="3" max="3" width="24.69140625" bestFit="1" customWidth="1"/>
    <col min="9" max="9" width="10.53515625" customWidth="1"/>
    <col min="10" max="10" width="9.53515625" customWidth="1"/>
    <col min="11" max="11" width="15" customWidth="1"/>
    <col min="12" max="12" width="10.15234375" customWidth="1"/>
  </cols>
  <sheetData>
    <row r="1" spans="1:12">
      <c r="A1" t="s">
        <v>23</v>
      </c>
    </row>
    <row r="2" spans="1:12">
      <c r="B2" s="2">
        <v>1</v>
      </c>
      <c r="C2" s="19" t="s">
        <v>167</v>
      </c>
    </row>
    <row r="3" spans="1:12">
      <c r="A3" t="s">
        <v>71</v>
      </c>
      <c r="B3" t="s">
        <v>73</v>
      </c>
      <c r="L3" t="s">
        <v>168</v>
      </c>
    </row>
    <row r="4" spans="1:12">
      <c r="A4" t="s">
        <v>17</v>
      </c>
      <c r="B4" s="2">
        <f>Requirements!A22</f>
        <v>152.98929554164053</v>
      </c>
      <c r="C4" t="s">
        <v>37</v>
      </c>
      <c r="I4" t="s">
        <v>17</v>
      </c>
      <c r="J4" s="4">
        <f>B4*9.81</f>
        <v>1500.8249892634938</v>
      </c>
      <c r="K4" t="s">
        <v>90</v>
      </c>
      <c r="L4" s="18">
        <f>J4</f>
        <v>1500.8249892634938</v>
      </c>
    </row>
    <row r="5" spans="1:12">
      <c r="A5" t="s">
        <v>18</v>
      </c>
      <c r="B5">
        <f>B9/B7</f>
        <v>31.581859108328104</v>
      </c>
      <c r="C5" t="s">
        <v>38</v>
      </c>
      <c r="E5" t="s">
        <v>62</v>
      </c>
      <c r="F5" t="s">
        <v>63</v>
      </c>
      <c r="G5" t="s">
        <v>168</v>
      </c>
      <c r="I5" t="s">
        <v>18</v>
      </c>
      <c r="J5" s="4">
        <f>J9/J7*-1</f>
        <v>-300.54569950754922</v>
      </c>
      <c r="K5" t="s">
        <v>90</v>
      </c>
      <c r="L5" s="18">
        <f>L9/L7*-1</f>
        <v>-300.54569950754922</v>
      </c>
    </row>
    <row r="6" spans="1:12">
      <c r="A6" t="s">
        <v>20</v>
      </c>
      <c r="B6" s="2">
        <v>1</v>
      </c>
      <c r="C6" t="s">
        <v>57</v>
      </c>
      <c r="E6">
        <v>1</v>
      </c>
      <c r="F6">
        <v>1</v>
      </c>
      <c r="G6" s="19">
        <f>B6*B$2</f>
        <v>1</v>
      </c>
      <c r="I6" t="s">
        <v>20</v>
      </c>
      <c r="J6">
        <f>B6*2.54/100</f>
        <v>2.5399999999999999E-2</v>
      </c>
      <c r="K6" t="s">
        <v>91</v>
      </c>
      <c r="L6" s="19">
        <f>G6*2.54/100</f>
        <v>2.5399999999999999E-2</v>
      </c>
    </row>
    <row r="7" spans="1:12">
      <c r="A7" t="s">
        <v>19</v>
      </c>
      <c r="B7" s="2">
        <v>5</v>
      </c>
      <c r="C7" t="s">
        <v>58</v>
      </c>
      <c r="E7">
        <v>7</v>
      </c>
      <c r="F7">
        <v>5</v>
      </c>
      <c r="G7" s="19">
        <f>B7*B$2</f>
        <v>5</v>
      </c>
      <c r="I7" t="s">
        <v>19</v>
      </c>
      <c r="J7">
        <f>B7*2.54/100</f>
        <v>0.127</v>
      </c>
      <c r="K7" t="s">
        <v>91</v>
      </c>
      <c r="L7" s="19">
        <f>G7*2.54/100</f>
        <v>0.127</v>
      </c>
    </row>
    <row r="8" spans="1:12">
      <c r="A8" t="s">
        <v>21</v>
      </c>
      <c r="B8">
        <f>-B4*B6</f>
        <v>-152.98929554164053</v>
      </c>
      <c r="C8" t="s">
        <v>59</v>
      </c>
      <c r="I8" s="9" t="s">
        <v>118</v>
      </c>
      <c r="J8" s="4">
        <f>J4*J6</f>
        <v>38.120954727292741</v>
      </c>
      <c r="K8" t="s">
        <v>92</v>
      </c>
      <c r="L8" s="18">
        <f>J4*L6</f>
        <v>38.120954727292741</v>
      </c>
    </row>
    <row r="9" spans="1:12">
      <c r="A9" t="s">
        <v>22</v>
      </c>
      <c r="B9" s="5">
        <f>-(B10+B8)</f>
        <v>157.90929554164052</v>
      </c>
      <c r="C9" t="s">
        <v>59</v>
      </c>
      <c r="I9" s="9" t="s">
        <v>119</v>
      </c>
      <c r="J9" s="4">
        <f>(J8+J10+J11)</f>
        <v>38.169303837458749</v>
      </c>
      <c r="K9" t="s">
        <v>92</v>
      </c>
      <c r="L9" s="18">
        <f>L8+J10+J11</f>
        <v>38.169303837458749</v>
      </c>
    </row>
    <row r="10" spans="1:12">
      <c r="A10" t="s">
        <v>56</v>
      </c>
      <c r="B10">
        <v>-4.92</v>
      </c>
      <c r="C10" t="s">
        <v>46</v>
      </c>
      <c r="D10">
        <f>3.5*(5.41/2.2)*(7/12) - 0.5*(5.41/2.2)*1/12</f>
        <v>4.918181818181818</v>
      </c>
      <c r="I10" s="9" t="s">
        <v>122</v>
      </c>
      <c r="J10" s="10">
        <f>D36</f>
        <v>-2.0145462569168874E-3</v>
      </c>
      <c r="K10" t="s">
        <v>92</v>
      </c>
      <c r="L10" s="19"/>
    </row>
    <row r="11" spans="1:12">
      <c r="I11" s="9" t="s">
        <v>123</v>
      </c>
      <c r="J11" s="10">
        <f>D37</f>
        <v>5.0363656422922197E-2</v>
      </c>
      <c r="K11" t="s">
        <v>92</v>
      </c>
      <c r="L11" s="19"/>
    </row>
    <row r="12" spans="1:12">
      <c r="L12" s="19"/>
    </row>
    <row r="13" spans="1:12">
      <c r="A13" t="s">
        <v>72</v>
      </c>
      <c r="B13" t="s">
        <v>74</v>
      </c>
      <c r="L13" s="19"/>
    </row>
    <row r="14" spans="1:12">
      <c r="J14">
        <f>J16/9.81</f>
        <v>10.725131043641504</v>
      </c>
      <c r="K14" t="s">
        <v>128</v>
      </c>
      <c r="L14" s="19"/>
    </row>
    <row r="15" spans="1:12">
      <c r="A15" t="s">
        <v>50</v>
      </c>
      <c r="B15">
        <f>B5</f>
        <v>31.581859108328104</v>
      </c>
      <c r="C15" t="s">
        <v>60</v>
      </c>
      <c r="I15" t="s">
        <v>18</v>
      </c>
      <c r="J15" s="4">
        <f>J5</f>
        <v>-300.54569950754922</v>
      </c>
      <c r="K15" t="s">
        <v>90</v>
      </c>
      <c r="L15" s="18">
        <f>L5</f>
        <v>-300.54569950754922</v>
      </c>
    </row>
    <row r="16" spans="1:12">
      <c r="A16" t="s">
        <v>51</v>
      </c>
      <c r="B16">
        <f>B20/B18</f>
        <v>10.663650687914835</v>
      </c>
      <c r="C16" t="s">
        <v>48</v>
      </c>
      <c r="D16" s="4">
        <f>B16*2.20462</f>
        <v>23.5092975795908</v>
      </c>
      <c r="E16" t="s">
        <v>49</v>
      </c>
      <c r="I16" t="s">
        <v>51</v>
      </c>
      <c r="J16" s="4">
        <f>J20/J18*-1</f>
        <v>105.21353553812317</v>
      </c>
      <c r="K16" t="s">
        <v>90</v>
      </c>
      <c r="L16" s="18">
        <f>L20/L18*-1</f>
        <v>105.21353553812317</v>
      </c>
    </row>
    <row r="17" spans="1:12">
      <c r="A17" t="s">
        <v>52</v>
      </c>
      <c r="B17" s="2">
        <v>3.5</v>
      </c>
      <c r="C17" t="s">
        <v>57</v>
      </c>
      <c r="E17">
        <v>1</v>
      </c>
      <c r="F17">
        <v>3</v>
      </c>
      <c r="G17" s="19">
        <f>B17*B$2</f>
        <v>3.5</v>
      </c>
      <c r="I17" t="s">
        <v>52</v>
      </c>
      <c r="J17">
        <f>B17*2.54/100</f>
        <v>8.8900000000000007E-2</v>
      </c>
      <c r="K17" t="s">
        <v>91</v>
      </c>
      <c r="L17" s="19">
        <f>G17*2.54/100</f>
        <v>8.8900000000000007E-2</v>
      </c>
    </row>
    <row r="18" spans="1:12">
      <c r="A18" t="s">
        <v>53</v>
      </c>
      <c r="B18" s="2">
        <v>10</v>
      </c>
      <c r="C18" t="s">
        <v>61</v>
      </c>
      <c r="E18">
        <v>12</v>
      </c>
      <c r="F18">
        <v>12</v>
      </c>
      <c r="G18" s="19">
        <f>B18*B$2</f>
        <v>10</v>
      </c>
      <c r="I18" t="s">
        <v>53</v>
      </c>
      <c r="J18">
        <f>B18*2.54/100</f>
        <v>0.254</v>
      </c>
      <c r="K18" t="s">
        <v>91</v>
      </c>
      <c r="L18" s="19">
        <f>G18*2.54/100</f>
        <v>0.254</v>
      </c>
    </row>
    <row r="19" spans="1:12">
      <c r="A19" t="s">
        <v>45</v>
      </c>
      <c r="B19">
        <f>B15*B17</f>
        <v>110.53650687914836</v>
      </c>
      <c r="C19" t="s">
        <v>59</v>
      </c>
      <c r="I19" s="9" t="s">
        <v>121</v>
      </c>
      <c r="J19" s="4">
        <f>J15*J17</f>
        <v>-26.718512686221128</v>
      </c>
      <c r="K19" t="s">
        <v>92</v>
      </c>
      <c r="L19" s="18">
        <f>L15*L17</f>
        <v>-26.718512686221128</v>
      </c>
    </row>
    <row r="20" spans="1:12">
      <c r="A20" t="s">
        <v>54</v>
      </c>
      <c r="B20">
        <f>B19+B21</f>
        <v>106.63650687914836</v>
      </c>
      <c r="C20" t="s">
        <v>59</v>
      </c>
      <c r="I20" s="9" t="s">
        <v>120</v>
      </c>
      <c r="J20" s="4">
        <f>J19+J21+J22</f>
        <v>-26.724238026683285</v>
      </c>
      <c r="K20" t="s">
        <v>92</v>
      </c>
      <c r="L20" s="18">
        <f>L19+J21+J22</f>
        <v>-26.724238026683285</v>
      </c>
    </row>
    <row r="21" spans="1:12">
      <c r="A21" t="s">
        <v>55</v>
      </c>
      <c r="B21">
        <f>D21*-1</f>
        <v>-3.8999999999999995</v>
      </c>
      <c r="C21" t="s">
        <v>46</v>
      </c>
      <c r="D21">
        <f>6*(1.44/2.2)*(12/12) - 0.5*(1.44/2.2)*1/12</f>
        <v>3.8999999999999995</v>
      </c>
      <c r="I21" s="9" t="s">
        <v>124</v>
      </c>
      <c r="J21" s="5">
        <f>D49</f>
        <v>4.0290925138337745E-4</v>
      </c>
      <c r="K21" t="s">
        <v>92</v>
      </c>
      <c r="L21" s="19"/>
    </row>
    <row r="22" spans="1:12">
      <c r="I22" s="9" t="s">
        <v>125</v>
      </c>
      <c r="J22" s="5">
        <f>D50</f>
        <v>-6.1282497135411685E-3</v>
      </c>
      <c r="K22" t="s">
        <v>92</v>
      </c>
      <c r="L22" s="19"/>
    </row>
    <row r="23" spans="1:12">
      <c r="L23" s="19"/>
    </row>
    <row r="24" spans="1:12">
      <c r="A24" t="s">
        <v>24</v>
      </c>
      <c r="B24">
        <f>B4/B16</f>
        <v>14.346802986994314</v>
      </c>
      <c r="C24" t="s">
        <v>25</v>
      </c>
      <c r="J24" s="4">
        <f>J4/J16</f>
        <v>14.264561889184719</v>
      </c>
      <c r="L24" s="18">
        <f>L4/L16</f>
        <v>14.264561889184719</v>
      </c>
    </row>
    <row r="27" spans="1:12">
      <c r="A27" t="s">
        <v>96</v>
      </c>
    </row>
    <row r="28" spans="1:12">
      <c r="C28" t="s">
        <v>93</v>
      </c>
      <c r="D28">
        <v>4.6048</v>
      </c>
      <c r="E28" t="s">
        <v>94</v>
      </c>
    </row>
    <row r="29" spans="1:12">
      <c r="C29" t="s">
        <v>93</v>
      </c>
      <c r="D29">
        <f>D28/2.20462/3.281</f>
        <v>0.63660610465383538</v>
      </c>
      <c r="E29" t="s">
        <v>95</v>
      </c>
    </row>
    <row r="30" spans="1:12">
      <c r="A30" t="s">
        <v>100</v>
      </c>
      <c r="B30">
        <v>0.5</v>
      </c>
      <c r="C30" t="s">
        <v>97</v>
      </c>
      <c r="D30">
        <f>B30*2.54/100</f>
        <v>1.2699999999999999E-2</v>
      </c>
      <c r="E30" t="s">
        <v>99</v>
      </c>
    </row>
    <row r="31" spans="1:12">
      <c r="A31" t="s">
        <v>101</v>
      </c>
      <c r="B31">
        <f>B7/2</f>
        <v>2.5</v>
      </c>
      <c r="C31" t="s">
        <v>98</v>
      </c>
      <c r="D31">
        <f>B31*2.54/100</f>
        <v>6.3500000000000001E-2</v>
      </c>
      <c r="E31" t="s">
        <v>99</v>
      </c>
    </row>
    <row r="32" spans="1:12">
      <c r="A32" t="s">
        <v>116</v>
      </c>
      <c r="C32" t="s">
        <v>104</v>
      </c>
      <c r="D32">
        <f>D29*D30*2</f>
        <v>1.6169795058207419E-2</v>
      </c>
      <c r="E32" t="s">
        <v>107</v>
      </c>
    </row>
    <row r="33" spans="1:18">
      <c r="A33" t="s">
        <v>117</v>
      </c>
      <c r="C33" t="s">
        <v>105</v>
      </c>
      <c r="D33">
        <f>D29*D31*2</f>
        <v>8.0848975291037101E-2</v>
      </c>
      <c r="E33" t="s">
        <v>106</v>
      </c>
    </row>
    <row r="34" spans="1:18">
      <c r="A34" t="s">
        <v>102</v>
      </c>
      <c r="C34" t="s">
        <v>109</v>
      </c>
      <c r="D34">
        <f>D32*9.81</f>
        <v>0.15862568952101477</v>
      </c>
      <c r="E34" t="s">
        <v>110</v>
      </c>
      <c r="J34" s="8"/>
      <c r="K34" s="8"/>
    </row>
    <row r="35" spans="1:18">
      <c r="A35" t="s">
        <v>103</v>
      </c>
      <c r="C35" t="s">
        <v>108</v>
      </c>
      <c r="D35">
        <f>D33*9.81</f>
        <v>0.79312844760507395</v>
      </c>
      <c r="E35" t="s">
        <v>110</v>
      </c>
    </row>
    <row r="36" spans="1:18">
      <c r="A36" t="s">
        <v>114</v>
      </c>
      <c r="C36" t="s">
        <v>111</v>
      </c>
      <c r="D36">
        <f>-1*(D34*D30)</f>
        <v>-2.0145462569168874E-3</v>
      </c>
      <c r="E36" t="s">
        <v>113</v>
      </c>
      <c r="O36" t="s">
        <v>129</v>
      </c>
    </row>
    <row r="37" spans="1:18">
      <c r="A37" t="s">
        <v>115</v>
      </c>
      <c r="C37" t="s">
        <v>112</v>
      </c>
      <c r="D37">
        <f>D35*D31</f>
        <v>5.0363656422922197E-2</v>
      </c>
      <c r="E37" t="s">
        <v>113</v>
      </c>
      <c r="O37" s="7"/>
      <c r="P37" s="22" t="s">
        <v>19</v>
      </c>
      <c r="Q37" s="22"/>
      <c r="R37" s="22"/>
    </row>
    <row r="38" spans="1:18">
      <c r="O38" s="13" t="s">
        <v>52</v>
      </c>
      <c r="P38" s="12">
        <f>B$7</f>
        <v>5</v>
      </c>
      <c r="Q38" s="12">
        <f>P38+1</f>
        <v>6</v>
      </c>
      <c r="R38" s="12">
        <f>Q38+1</f>
        <v>7</v>
      </c>
    </row>
    <row r="39" spans="1:18">
      <c r="O39" s="13">
        <f>B17-1</f>
        <v>2.5</v>
      </c>
      <c r="P39" s="11">
        <f t="shared" ref="P39:R40" si="0">$B$4/((((($B$4*$B$6)+4.92)/P$38)*$O39-3.9)/$B$18)</f>
        <v>20.383720407135094</v>
      </c>
      <c r="Q39" s="11">
        <f t="shared" si="0"/>
        <v>24.717337632679179</v>
      </c>
      <c r="R39" s="11">
        <f t="shared" si="0"/>
        <v>29.142940371140206</v>
      </c>
    </row>
    <row r="40" spans="1:18">
      <c r="A40" t="s">
        <v>126</v>
      </c>
      <c r="O40" s="13">
        <f>B$17</f>
        <v>3.5</v>
      </c>
      <c r="P40" s="11">
        <f t="shared" si="0"/>
        <v>14.346802986994314</v>
      </c>
      <c r="Q40" s="11">
        <f t="shared" si="0"/>
        <v>17.343020288735001</v>
      </c>
      <c r="R40" s="11">
        <f t="shared" si="0"/>
        <v>20.383720407135094</v>
      </c>
    </row>
    <row r="41" spans="1:18">
      <c r="C41" t="s">
        <v>127</v>
      </c>
      <c r="D41">
        <f>4.6048/5</f>
        <v>0.92096</v>
      </c>
      <c r="E41" t="s">
        <v>94</v>
      </c>
    </row>
    <row r="42" spans="1:18">
      <c r="C42" t="s">
        <v>93</v>
      </c>
      <c r="D42">
        <f>D41/2.20462/3.281</f>
        <v>0.12732122093076706</v>
      </c>
      <c r="E42" t="s">
        <v>95</v>
      </c>
    </row>
    <row r="43" spans="1:18">
      <c r="A43" t="s">
        <v>100</v>
      </c>
      <c r="B43">
        <v>0.5</v>
      </c>
      <c r="C43" t="s">
        <v>97</v>
      </c>
      <c r="D43">
        <f>B43*2.54/100</f>
        <v>1.2699999999999999E-2</v>
      </c>
      <c r="E43" t="s">
        <v>99</v>
      </c>
    </row>
    <row r="44" spans="1:18">
      <c r="A44" t="s">
        <v>101</v>
      </c>
      <c r="B44">
        <f>B21/2</f>
        <v>-1.9499999999999997</v>
      </c>
      <c r="C44" t="s">
        <v>98</v>
      </c>
      <c r="D44">
        <f>B44*2.54/100</f>
        <v>-4.9529999999999991E-2</v>
      </c>
      <c r="E44" t="s">
        <v>99</v>
      </c>
    </row>
    <row r="45" spans="1:18">
      <c r="A45" t="s">
        <v>116</v>
      </c>
      <c r="C45" t="s">
        <v>104</v>
      </c>
      <c r="D45">
        <f>D42*D43*2</f>
        <v>3.2339590116414831E-3</v>
      </c>
      <c r="E45" t="s">
        <v>107</v>
      </c>
      <c r="O45" s="20"/>
    </row>
    <row r="46" spans="1:18">
      <c r="A46" t="s">
        <v>117</v>
      </c>
      <c r="C46" t="s">
        <v>105</v>
      </c>
      <c r="D46">
        <f>D42*D44*2</f>
        <v>-1.2612440145401782E-2</v>
      </c>
      <c r="E46" t="s">
        <v>106</v>
      </c>
      <c r="O46" s="20"/>
      <c r="P46" s="21"/>
      <c r="Q46" s="21"/>
      <c r="R46" s="21"/>
    </row>
    <row r="47" spans="1:18">
      <c r="A47" t="s">
        <v>102</v>
      </c>
      <c r="C47" t="s">
        <v>109</v>
      </c>
      <c r="D47">
        <f>D45*9.81</f>
        <v>3.1725137904202949E-2</v>
      </c>
      <c r="E47" t="s">
        <v>110</v>
      </c>
      <c r="O47" s="20"/>
      <c r="P47" s="21"/>
      <c r="Q47" s="21"/>
      <c r="R47" s="21"/>
    </row>
    <row r="48" spans="1:18">
      <c r="A48" t="s">
        <v>103</v>
      </c>
      <c r="C48" t="s">
        <v>108</v>
      </c>
      <c r="D48">
        <f>D46*9.81</f>
        <v>-0.12372803782639148</v>
      </c>
      <c r="E48" t="s">
        <v>110</v>
      </c>
      <c r="O48" s="20"/>
      <c r="P48" s="21"/>
      <c r="Q48" s="21"/>
      <c r="R48" s="21"/>
    </row>
    <row r="49" spans="1:18">
      <c r="A49" t="s">
        <v>114</v>
      </c>
      <c r="C49" t="s">
        <v>111</v>
      </c>
      <c r="D49">
        <f>(D47*D43)</f>
        <v>4.0290925138337745E-4</v>
      </c>
      <c r="E49" t="s">
        <v>113</v>
      </c>
    </row>
    <row r="50" spans="1:18">
      <c r="A50" t="s">
        <v>115</v>
      </c>
      <c r="C50" t="s">
        <v>112</v>
      </c>
      <c r="D50">
        <f>D48*D44*-1</f>
        <v>-6.1282497135411685E-3</v>
      </c>
      <c r="E50" t="s">
        <v>113</v>
      </c>
    </row>
    <row r="52" spans="1:18">
      <c r="O52" s="20"/>
    </row>
    <row r="53" spans="1:18">
      <c r="O53" s="20"/>
      <c r="P53" s="21"/>
      <c r="Q53" s="21"/>
      <c r="R53" s="21"/>
    </row>
    <row r="54" spans="1:18">
      <c r="O54" s="20"/>
      <c r="P54" s="21"/>
      <c r="Q54" s="21"/>
      <c r="R54" s="21"/>
    </row>
    <row r="55" spans="1:18">
      <c r="O55" s="20"/>
      <c r="P55" s="21"/>
      <c r="Q55" s="21"/>
    </row>
  </sheetData>
  <mergeCells count="1">
    <mergeCell ref="P37:R3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6EE2-0E04-4223-B94B-CF6230099E2D}">
  <dimension ref="A4:I31"/>
  <sheetViews>
    <sheetView workbookViewId="0">
      <selection activeCell="F18" sqref="F18"/>
    </sheetView>
  </sheetViews>
  <sheetFormatPr defaultRowHeight="14.6"/>
  <sheetData>
    <row r="4" spans="1:9">
      <c r="A4" t="s">
        <v>75</v>
      </c>
    </row>
    <row r="5" spans="1:9">
      <c r="A5" s="2">
        <v>1</v>
      </c>
      <c r="B5" t="s">
        <v>76</v>
      </c>
    </row>
    <row r="6" spans="1:9">
      <c r="A6">
        <f>A5*2.54</f>
        <v>2.54</v>
      </c>
      <c r="B6" t="s">
        <v>77</v>
      </c>
    </row>
    <row r="7" spans="1:9">
      <c r="A7" s="4">
        <f>Requirements!A16</f>
        <v>1641.7322322758928</v>
      </c>
      <c r="B7" t="s">
        <v>78</v>
      </c>
    </row>
    <row r="8" spans="1:9">
      <c r="A8">
        <f>A7*A6</f>
        <v>4169.9998699807675</v>
      </c>
      <c r="B8" t="s">
        <v>4</v>
      </c>
    </row>
    <row r="9" spans="1:9">
      <c r="A9">
        <f>A8/1000</f>
        <v>4.1699998699807672</v>
      </c>
      <c r="B9" t="s">
        <v>79</v>
      </c>
      <c r="I9" t="s">
        <v>88</v>
      </c>
    </row>
    <row r="10" spans="1:9">
      <c r="H10" t="s">
        <v>86</v>
      </c>
      <c r="I10" t="s">
        <v>87</v>
      </c>
    </row>
    <row r="11" spans="1:9">
      <c r="A11" s="2">
        <v>4</v>
      </c>
      <c r="B11" t="s">
        <v>85</v>
      </c>
      <c r="H11">
        <v>2</v>
      </c>
      <c r="I11">
        <v>2.0470000000000002</v>
      </c>
    </row>
    <row r="12" spans="1:9">
      <c r="A12">
        <f>LOOKUP(A11,H11:H15,I11:I15)</f>
        <v>3.9980000000000002</v>
      </c>
      <c r="B12" t="s">
        <v>80</v>
      </c>
      <c r="H12">
        <v>3</v>
      </c>
      <c r="I12">
        <v>3.0419999999999998</v>
      </c>
    </row>
    <row r="13" spans="1:9">
      <c r="A13" s="2">
        <v>24</v>
      </c>
      <c r="B13" t="s">
        <v>81</v>
      </c>
      <c r="H13">
        <v>4</v>
      </c>
      <c r="I13">
        <v>3.9980000000000002</v>
      </c>
    </row>
    <row r="14" spans="1:9">
      <c r="A14">
        <f>A12*2.54</f>
        <v>10.154920000000001</v>
      </c>
      <c r="B14" t="s">
        <v>82</v>
      </c>
      <c r="H14">
        <v>5</v>
      </c>
      <c r="I14">
        <v>5.016</v>
      </c>
    </row>
    <row r="15" spans="1:9">
      <c r="A15">
        <f>(A14/2)^2*PI()</f>
        <v>80.992143727243217</v>
      </c>
      <c r="B15" t="s">
        <v>83</v>
      </c>
      <c r="H15">
        <v>6</v>
      </c>
      <c r="I15">
        <v>6.0309999999999997</v>
      </c>
    </row>
    <row r="16" spans="1:9">
      <c r="A16">
        <f>A13*2.54*A15</f>
        <v>4937.2810816127467</v>
      </c>
      <c r="B16" t="s">
        <v>84</v>
      </c>
    </row>
    <row r="17" spans="1:2">
      <c r="A17" s="4">
        <f>A16/1000</f>
        <v>4.9372810816127464</v>
      </c>
      <c r="B17" t="s">
        <v>89</v>
      </c>
    </row>
    <row r="20" spans="1:2">
      <c r="A20" t="s">
        <v>138</v>
      </c>
    </row>
    <row r="21" spans="1:2">
      <c r="A21" s="2">
        <v>24</v>
      </c>
      <c r="B21" t="s">
        <v>131</v>
      </c>
    </row>
    <row r="22" spans="1:2">
      <c r="A22">
        <f>A21*2.54</f>
        <v>60.96</v>
      </c>
      <c r="B22" t="s">
        <v>130</v>
      </c>
    </row>
    <row r="23" spans="1:2">
      <c r="A23">
        <f>A15*A22</f>
        <v>4937.2810816127467</v>
      </c>
      <c r="B23" t="s">
        <v>84</v>
      </c>
    </row>
    <row r="24" spans="1:2">
      <c r="A24" s="4">
        <f>A23/1000</f>
        <v>4.9372810816127464</v>
      </c>
      <c r="B24" t="s">
        <v>89</v>
      </c>
    </row>
    <row r="27" spans="1:2">
      <c r="A27" t="s">
        <v>139</v>
      </c>
    </row>
    <row r="28" spans="1:2">
      <c r="A28" s="2">
        <v>18</v>
      </c>
      <c r="B28" t="s">
        <v>131</v>
      </c>
    </row>
    <row r="29" spans="1:2">
      <c r="A29">
        <f>A28*2.54</f>
        <v>45.72</v>
      </c>
      <c r="B29" t="s">
        <v>130</v>
      </c>
    </row>
    <row r="30" spans="1:2">
      <c r="A30">
        <f>79.075*A29+32.344</f>
        <v>3647.6530000000002</v>
      </c>
      <c r="B30" t="s">
        <v>140</v>
      </c>
    </row>
    <row r="31" spans="1:2">
      <c r="A31">
        <f>(A30/A7)*10</f>
        <v>22.218318726333031</v>
      </c>
      <c r="B31" t="s">
        <v>141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FC74-7BF4-401F-AA54-BFB6637C361B}">
  <dimension ref="A2:J15"/>
  <sheetViews>
    <sheetView workbookViewId="0">
      <selection activeCell="C27" sqref="C27"/>
    </sheetView>
  </sheetViews>
  <sheetFormatPr defaultRowHeight="14.6"/>
  <sheetData>
    <row r="2" spans="1:10" s="16" customFormat="1" ht="43.75">
      <c r="I2" s="16" t="s">
        <v>149</v>
      </c>
      <c r="J2" s="16" t="s">
        <v>150</v>
      </c>
    </row>
    <row r="3" spans="1:10">
      <c r="A3" t="s">
        <v>147</v>
      </c>
      <c r="B3">
        <v>2</v>
      </c>
      <c r="C3" t="s">
        <v>148</v>
      </c>
      <c r="I3">
        <v>0.25</v>
      </c>
      <c r="J3">
        <v>1.4E-2</v>
      </c>
    </row>
    <row r="4" spans="1:10">
      <c r="A4" t="s">
        <v>151</v>
      </c>
      <c r="B4">
        <v>28</v>
      </c>
      <c r="C4" t="s">
        <v>148</v>
      </c>
      <c r="I4">
        <v>1</v>
      </c>
      <c r="J4">
        <v>0.22900000000000001</v>
      </c>
    </row>
    <row r="5" spans="1:10">
      <c r="A5" t="s">
        <v>152</v>
      </c>
      <c r="B5">
        <f>LOOKUP(B3,I4:I15,J4:J15)</f>
        <v>0.91700000000000004</v>
      </c>
      <c r="C5" t="s">
        <v>153</v>
      </c>
      <c r="I5">
        <v>1.25</v>
      </c>
      <c r="J5">
        <v>0.35799999999999998</v>
      </c>
    </row>
    <row r="6" spans="1:10">
      <c r="A6" t="s">
        <v>152</v>
      </c>
      <c r="B6">
        <f>B5*B4-(J3*B4)</f>
        <v>25.284000000000002</v>
      </c>
      <c r="C6" t="s">
        <v>154</v>
      </c>
      <c r="I6">
        <v>1.5</v>
      </c>
      <c r="J6">
        <v>0.51600000000000001</v>
      </c>
    </row>
    <row r="7" spans="1:10">
      <c r="I7">
        <v>1.75</v>
      </c>
      <c r="J7">
        <v>0.70199999999999996</v>
      </c>
    </row>
    <row r="8" spans="1:10">
      <c r="I8">
        <v>2</v>
      </c>
      <c r="J8">
        <v>0.91700000000000004</v>
      </c>
    </row>
    <row r="9" spans="1:10">
      <c r="I9">
        <v>2.25</v>
      </c>
      <c r="J9">
        <v>1.161</v>
      </c>
    </row>
    <row r="10" spans="1:10">
      <c r="I10">
        <v>2.5</v>
      </c>
      <c r="J10">
        <v>1.4330000000000001</v>
      </c>
    </row>
    <row r="11" spans="1:10">
      <c r="I11">
        <v>2.75</v>
      </c>
      <c r="J11">
        <v>1.734</v>
      </c>
    </row>
    <row r="12" spans="1:10">
      <c r="I12">
        <v>3</v>
      </c>
      <c r="J12">
        <v>2.0640000000000001</v>
      </c>
    </row>
    <row r="13" spans="1:10">
      <c r="I13">
        <v>4</v>
      </c>
      <c r="J13">
        <v>3.669</v>
      </c>
    </row>
    <row r="14" spans="1:10">
      <c r="I14">
        <v>5</v>
      </c>
      <c r="J14">
        <v>5.7329999999999997</v>
      </c>
    </row>
    <row r="15" spans="1:10">
      <c r="I15">
        <v>6</v>
      </c>
      <c r="J15">
        <v>8.2560000000000002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848F0-2353-420E-B612-7D09B8235789}">
  <dimension ref="A1:H21"/>
  <sheetViews>
    <sheetView workbookViewId="0">
      <selection activeCell="K38" sqref="K38"/>
    </sheetView>
  </sheetViews>
  <sheetFormatPr defaultRowHeight="14.6"/>
  <cols>
    <col min="1" max="1" width="10.84375" customWidth="1"/>
    <col min="2" max="2" width="12.15234375" customWidth="1"/>
    <col min="3" max="4" width="10" customWidth="1"/>
    <col min="5" max="5" width="10.53515625" customWidth="1"/>
    <col min="6" max="6" width="10.15234375" customWidth="1"/>
  </cols>
  <sheetData>
    <row r="1" spans="1:6">
      <c r="A1" t="s">
        <v>132</v>
      </c>
    </row>
    <row r="3" spans="1:6">
      <c r="A3" t="s">
        <v>133</v>
      </c>
    </row>
    <row r="5" spans="1:6">
      <c r="A5" t="s">
        <v>134</v>
      </c>
    </row>
    <row r="6" spans="1:6">
      <c r="C6" t="s">
        <v>135</v>
      </c>
    </row>
    <row r="7" spans="1:6">
      <c r="C7">
        <v>20012329</v>
      </c>
      <c r="D7">
        <v>20012339</v>
      </c>
      <c r="E7">
        <v>21102340</v>
      </c>
      <c r="F7">
        <v>20012326</v>
      </c>
    </row>
    <row r="9" spans="1:6">
      <c r="B9" t="s">
        <v>137</v>
      </c>
      <c r="C9" t="s">
        <v>136</v>
      </c>
      <c r="D9" t="s">
        <v>136</v>
      </c>
      <c r="E9" t="s">
        <v>136</v>
      </c>
      <c r="F9" t="s">
        <v>136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500</v>
      </c>
      <c r="C11">
        <v>4.8</v>
      </c>
      <c r="D11">
        <v>4.41</v>
      </c>
      <c r="E11">
        <v>4.57</v>
      </c>
      <c r="F11">
        <v>4.0599999999999996</v>
      </c>
    </row>
    <row r="12" spans="1:6">
      <c r="B12">
        <v>1000</v>
      </c>
      <c r="C12">
        <v>12.05</v>
      </c>
      <c r="D12">
        <v>11.63</v>
      </c>
      <c r="E12">
        <v>11.87</v>
      </c>
      <c r="F12">
        <v>11.45</v>
      </c>
    </row>
    <row r="13" spans="1:6">
      <c r="B13">
        <v>1500</v>
      </c>
      <c r="C13">
        <v>19.13</v>
      </c>
      <c r="D13">
        <v>18.809999999999999</v>
      </c>
      <c r="E13">
        <v>18.86</v>
      </c>
      <c r="F13">
        <v>18.64</v>
      </c>
    </row>
    <row r="14" spans="1:6">
      <c r="B14">
        <v>2000</v>
      </c>
      <c r="C14">
        <v>25.47</v>
      </c>
      <c r="D14">
        <v>25.15</v>
      </c>
      <c r="E14">
        <v>25.26</v>
      </c>
      <c r="F14">
        <v>24.91</v>
      </c>
    </row>
    <row r="15" spans="1:6">
      <c r="B15">
        <v>2500</v>
      </c>
      <c r="C15">
        <v>31.52</v>
      </c>
      <c r="D15">
        <v>31.26</v>
      </c>
      <c r="E15">
        <v>31.34</v>
      </c>
      <c r="F15">
        <v>31.04</v>
      </c>
    </row>
    <row r="16" spans="1:6">
      <c r="B16">
        <v>3000</v>
      </c>
      <c r="C16">
        <v>37.590000000000003</v>
      </c>
      <c r="D16">
        <v>37.19</v>
      </c>
      <c r="E16">
        <v>37.49</v>
      </c>
      <c r="F16">
        <v>37.08</v>
      </c>
    </row>
    <row r="17" spans="2:8">
      <c r="B17">
        <v>3500</v>
      </c>
      <c r="C17">
        <v>43.63</v>
      </c>
      <c r="D17">
        <v>43.3</v>
      </c>
      <c r="E17">
        <v>43.54</v>
      </c>
      <c r="F17">
        <v>43.16</v>
      </c>
    </row>
    <row r="18" spans="2:8">
      <c r="B18">
        <v>4000</v>
      </c>
      <c r="C18">
        <v>49.76</v>
      </c>
      <c r="D18">
        <v>49.43</v>
      </c>
      <c r="E18">
        <v>49.73</v>
      </c>
      <c r="F18">
        <v>49.39</v>
      </c>
    </row>
    <row r="19" spans="2:8">
      <c r="H19" t="s">
        <v>144</v>
      </c>
    </row>
    <row r="20" spans="2:8">
      <c r="B20" t="s">
        <v>142</v>
      </c>
      <c r="C20" s="14">
        <f>SLOPE($B10:$B18,C10:C18)</f>
        <v>79.075272482122315</v>
      </c>
      <c r="D20" s="14">
        <f>SLOPE($B10:$B18,D10:D18)</f>
        <v>79.272767047622949</v>
      </c>
      <c r="E20" s="14">
        <f>SLOPE($B10:$B18,E10:E18)</f>
        <v>78.95971475561204</v>
      </c>
      <c r="F20" s="14">
        <f>SLOPE($B10:$B18,F10:F18)</f>
        <v>79.137834241477478</v>
      </c>
      <c r="H20" s="14">
        <f>AVERAGE(C20:F20)</f>
        <v>79.111397131708699</v>
      </c>
    </row>
    <row r="21" spans="2:8">
      <c r="B21" t="s">
        <v>143</v>
      </c>
      <c r="C21" s="14">
        <f>INTERCEPT($B10:$B18,C10:C18)</f>
        <v>32.343636403189748</v>
      </c>
      <c r="D21" s="14">
        <f>INTERCEPT($B10:$B18,D10:D18)</f>
        <v>51.827709378528425</v>
      </c>
      <c r="E21" s="14">
        <f>INTERCEPT($B10:$B18,E10:E18)</f>
        <v>46.536656946158246</v>
      </c>
      <c r="F21" s="14">
        <f>INTERCEPT($B10:$B18,F10:F18)</f>
        <v>67.893742457795042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Design as torque</vt:lpstr>
      <vt:lpstr>Drainage Calcs</vt:lpstr>
      <vt:lpstr>Counter Wt.</vt:lpstr>
      <vt:lpstr>Transducer 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Lyles</dc:creator>
  <cp:lastModifiedBy>Redei, Alex</cp:lastModifiedBy>
  <dcterms:created xsi:type="dcterms:W3CDTF">2020-01-29T16:13:22Z</dcterms:created>
  <dcterms:modified xsi:type="dcterms:W3CDTF">2024-02-12T16:39:17Z</dcterms:modified>
</cp:coreProperties>
</file>