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mulator\Desktop\Lysimeters\SB1236\"/>
    </mc:Choice>
  </mc:AlternateContent>
  <xr:revisionPtr revIDLastSave="0" documentId="13_ncr:1_{7E2706A2-3E62-4677-A574-060206E252DE}" xr6:coauthVersionLast="47" xr6:coauthVersionMax="47" xr10:uidLastSave="{00000000-0000-0000-0000-000000000000}"/>
  <bookViews>
    <workbookView xWindow="377" yWindow="377" windowWidth="24686" windowHeight="13149" xr2:uid="{00000000-000D-0000-FFFF-FFFF00000000}"/>
  </bookViews>
  <sheets>
    <sheet name="Requirements" sheetId="1" r:id="rId1"/>
    <sheet name="Design as torque" sheetId="6" r:id="rId2"/>
    <sheet name="Drainage Calcs" sheetId="5" r:id="rId3"/>
    <sheet name="Counter Wt." sheetId="8" r:id="rId4"/>
    <sheet name="Transducer Calib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4" i="1" l="1"/>
  <c r="E43" i="1"/>
  <c r="E42" i="1"/>
  <c r="E45" i="1" s="1"/>
  <c r="D42" i="1"/>
  <c r="C42" i="1"/>
  <c r="B32" i="8"/>
  <c r="B31" i="8"/>
  <c r="B30" i="8"/>
  <c r="B23" i="8"/>
  <c r="B25" i="8" s="1"/>
  <c r="B20" i="8"/>
  <c r="B18" i="8"/>
  <c r="L9" i="6"/>
  <c r="L8" i="6"/>
  <c r="D12" i="6"/>
  <c r="H13" i="1" l="1"/>
  <c r="H9" i="1"/>
  <c r="D41" i="1"/>
  <c r="C41" i="1"/>
  <c r="N7" i="8"/>
  <c r="N8" i="8"/>
  <c r="N14" i="8"/>
  <c r="N15" i="8"/>
  <c r="N16" i="8"/>
  <c r="M7" i="8"/>
  <c r="M8" i="8"/>
  <c r="M9" i="8"/>
  <c r="N9" i="8" s="1"/>
  <c r="M10" i="8"/>
  <c r="N10" i="8" s="1"/>
  <c r="M11" i="8"/>
  <c r="N11" i="8" s="1"/>
  <c r="M12" i="8"/>
  <c r="M13" i="8"/>
  <c r="N13" i="8" s="1"/>
  <c r="K13" i="8" s="1"/>
  <c r="Q13" i="8" s="1"/>
  <c r="M14" i="8"/>
  <c r="M15" i="8"/>
  <c r="M16" i="8"/>
  <c r="M17" i="8"/>
  <c r="N17" i="8" s="1"/>
  <c r="M18" i="8"/>
  <c r="N18" i="8" s="1"/>
  <c r="M6" i="8"/>
  <c r="N6" i="8" s="1"/>
  <c r="P6" i="8"/>
  <c r="P7" i="8"/>
  <c r="P8" i="8"/>
  <c r="P9" i="8"/>
  <c r="P10" i="8"/>
  <c r="P11" i="8"/>
  <c r="P12" i="8"/>
  <c r="P13" i="8"/>
  <c r="P14" i="8"/>
  <c r="P15" i="8"/>
  <c r="P16" i="8"/>
  <c r="P17" i="8"/>
  <c r="P18" i="8"/>
  <c r="O7" i="8"/>
  <c r="O8" i="8"/>
  <c r="O9" i="8"/>
  <c r="O10" i="8"/>
  <c r="O11" i="8"/>
  <c r="O12" i="8"/>
  <c r="O13" i="8"/>
  <c r="O14" i="8"/>
  <c r="O15" i="8"/>
  <c r="O16" i="8"/>
  <c r="O17" i="8"/>
  <c r="O18" i="8"/>
  <c r="O6" i="8"/>
  <c r="L7" i="8"/>
  <c r="K7" i="8" s="1"/>
  <c r="Q7" i="8" s="1"/>
  <c r="L8" i="8"/>
  <c r="K8" i="8" s="1"/>
  <c r="Q8" i="8" s="1"/>
  <c r="L9" i="8"/>
  <c r="K9" i="8" s="1"/>
  <c r="Q9" i="8" s="1"/>
  <c r="L10" i="8"/>
  <c r="L11" i="8"/>
  <c r="L12" i="8"/>
  <c r="L13" i="8"/>
  <c r="L14" i="8"/>
  <c r="K14" i="8" s="1"/>
  <c r="L15" i="8"/>
  <c r="K15" i="8" s="1"/>
  <c r="Q15" i="8" s="1"/>
  <c r="L16" i="8"/>
  <c r="K16" i="8" s="1"/>
  <c r="Q16" i="8" s="1"/>
  <c r="L17" i="8"/>
  <c r="K17" i="8" s="1"/>
  <c r="Q17" i="8" s="1"/>
  <c r="L18" i="8"/>
  <c r="L6" i="8"/>
  <c r="B14" i="8" l="1"/>
  <c r="B15" i="8" s="1"/>
  <c r="E41" i="1" s="1"/>
  <c r="Q14" i="8"/>
  <c r="K6" i="8"/>
  <c r="Q6" i="8" s="1"/>
  <c r="K11" i="8"/>
  <c r="Q11" i="8" s="1"/>
  <c r="K18" i="8"/>
  <c r="Q18" i="8" s="1"/>
  <c r="K10" i="8"/>
  <c r="Q10" i="8" s="1"/>
  <c r="N12" i="8"/>
  <c r="K12" i="8" s="1"/>
  <c r="Q12" i="8" s="1"/>
  <c r="B25" i="6" l="1"/>
  <c r="D40" i="1"/>
  <c r="C40" i="1"/>
  <c r="B24" i="6"/>
  <c r="H7" i="1"/>
  <c r="H10" i="1"/>
  <c r="H11" i="1" s="1"/>
  <c r="H12" i="1" s="1"/>
  <c r="H14" i="1" s="1"/>
  <c r="H15" i="1" s="1"/>
  <c r="B8" i="8"/>
  <c r="B9" i="8" l="1"/>
  <c r="E40" i="1" s="1"/>
  <c r="A14" i="1"/>
  <c r="A11" i="1"/>
  <c r="H20" i="7"/>
  <c r="D20" i="7"/>
  <c r="E20" i="7"/>
  <c r="F20" i="7"/>
  <c r="D21" i="7"/>
  <c r="E21" i="7"/>
  <c r="F21" i="7"/>
  <c r="C21" i="7"/>
  <c r="C20" i="7"/>
  <c r="A30" i="5"/>
  <c r="A29" i="5"/>
  <c r="A22" i="5"/>
  <c r="D22" i="6"/>
  <c r="D23" i="6" s="1"/>
  <c r="D24" i="6"/>
  <c r="B12" i="6"/>
  <c r="D25" i="6" s="1"/>
  <c r="J9" i="6"/>
  <c r="J8" i="6"/>
  <c r="D27" i="6" l="1"/>
  <c r="D29" i="6" s="1"/>
  <c r="D31" i="6" s="1"/>
  <c r="J13" i="6" s="1"/>
  <c r="D26" i="6"/>
  <c r="D28" i="6" s="1"/>
  <c r="D30" i="6" s="1"/>
  <c r="J12" i="6" s="1"/>
  <c r="A12" i="5" l="1"/>
  <c r="A14" i="5" s="1"/>
  <c r="A15" i="5" s="1"/>
  <c r="A6" i="5"/>
  <c r="A16" i="5" l="1"/>
  <c r="A17" i="5" s="1"/>
  <c r="A23" i="5"/>
  <c r="A24" i="5" s="1"/>
  <c r="E17" i="1" l="1"/>
  <c r="N17" i="1" l="1"/>
  <c r="N19" i="1" s="1"/>
  <c r="N20" i="1" s="1"/>
  <c r="N26" i="1" s="1"/>
  <c r="N14" i="1"/>
  <c r="A28" i="1" l="1"/>
  <c r="A13" i="1"/>
  <c r="A16" i="1" s="1"/>
  <c r="H32" i="1" l="1"/>
  <c r="H33" i="1" s="1"/>
  <c r="A7" i="5"/>
  <c r="N27" i="1"/>
  <c r="N28" i="1" s="1"/>
  <c r="A29" i="1"/>
  <c r="A30" i="1" s="1"/>
  <c r="A31" i="1" s="1"/>
  <c r="A17" i="1"/>
  <c r="A21" i="1" s="1"/>
  <c r="D21" i="1" s="1"/>
  <c r="A8" i="5" l="1"/>
  <c r="A9" i="5" s="1"/>
  <c r="A31" i="5"/>
  <c r="A18" i="1"/>
  <c r="A19" i="1" l="1"/>
  <c r="A22" i="1" l="1"/>
  <c r="D19" i="1"/>
  <c r="D22" i="1" l="1"/>
  <c r="B6" i="6"/>
  <c r="J6" i="6" s="1"/>
  <c r="L6" i="6" s="1"/>
  <c r="A35" i="1"/>
  <c r="A23" i="1"/>
  <c r="B10" i="6" l="1"/>
  <c r="B11" i="6" s="1"/>
  <c r="B7" i="6" s="1"/>
  <c r="D7" i="6" l="1"/>
  <c r="B15" i="6"/>
  <c r="A36" i="1" s="1"/>
  <c r="H40" i="1" s="1"/>
  <c r="H41" i="1" s="1"/>
  <c r="J40" i="1" s="1"/>
  <c r="J41" i="1" s="1"/>
  <c r="J10" i="6"/>
  <c r="J11" i="6" s="1"/>
  <c r="J7" i="6" s="1"/>
  <c r="H26" i="1" l="1"/>
  <c r="H27" i="1" s="1"/>
  <c r="H28" i="1" s="1"/>
  <c r="H36" i="1"/>
  <c r="A39" i="1"/>
  <c r="A37" i="1"/>
  <c r="A38" i="1" s="1"/>
  <c r="J5" i="6"/>
  <c r="J15" i="6"/>
  <c r="L10" i="6"/>
  <c r="L11" i="6" s="1"/>
  <c r="L7" i="6" s="1"/>
  <c r="L15" i="6" s="1"/>
</calcChain>
</file>

<file path=xl/sharedStrings.xml><?xml version="1.0" encoding="utf-8"?>
<sst xmlns="http://schemas.openxmlformats.org/spreadsheetml/2006/main" count="257" uniqueCount="201">
  <si>
    <t>diameter (cm)</t>
  </si>
  <si>
    <t>radius (cm)</t>
  </si>
  <si>
    <t>h (cm)</t>
  </si>
  <si>
    <t>area (cm^2)</t>
  </si>
  <si>
    <t>volume (cm^3)</t>
  </si>
  <si>
    <t>bulk density (gm/cm^3)</t>
  </si>
  <si>
    <t>load cell calcs</t>
  </si>
  <si>
    <t>max load (lbs)</t>
  </si>
  <si>
    <t>accuracy (+/- percent of FSR)</t>
  </si>
  <si>
    <t>accuracy (+/- pounds)</t>
  </si>
  <si>
    <t>water bulk density (gm/cm^3)</t>
  </si>
  <si>
    <t>flux requirement (mm)</t>
  </si>
  <si>
    <t>flux requirement (cm)</t>
  </si>
  <si>
    <t>vol of water (cm^3)</t>
  </si>
  <si>
    <t>mass of water (gm)</t>
  </si>
  <si>
    <t>Lyimeter mass mechanical advantage</t>
  </si>
  <si>
    <t>xxx times mechanical advantage</t>
  </si>
  <si>
    <t>F1</t>
  </si>
  <si>
    <t>F2</t>
  </si>
  <si>
    <t>d2</t>
  </si>
  <si>
    <t>d1</t>
  </si>
  <si>
    <t>M1</t>
  </si>
  <si>
    <t>M2</t>
  </si>
  <si>
    <t>X factor</t>
  </si>
  <si>
    <t>mechanical advantage</t>
  </si>
  <si>
    <t>max load (kg)</t>
  </si>
  <si>
    <t>accuracy (+/- FSR)</t>
  </si>
  <si>
    <t>accuracy (+/- kg)</t>
  </si>
  <si>
    <t>accuracy (+/- gm)</t>
  </si>
  <si>
    <t>flux(cm)</t>
  </si>
  <si>
    <t>flux(mm)</t>
  </si>
  <si>
    <t>total mass (kg)</t>
  </si>
  <si>
    <t>mechanical mass (kg)</t>
  </si>
  <si>
    <t>water mass at field capacity (kg)</t>
  </si>
  <si>
    <t>accuracy as water(cc)</t>
  </si>
  <si>
    <t>Flux Requirements</t>
  </si>
  <si>
    <t>field capacity (%)</t>
  </si>
  <si>
    <t>soil porosity (%)</t>
  </si>
  <si>
    <t>soil mass (gm)</t>
  </si>
  <si>
    <t>soil mass (kg)</t>
  </si>
  <si>
    <t>without mechanical advantage</t>
  </si>
  <si>
    <t>total mass (lbs)</t>
  </si>
  <si>
    <t>moment from tubing mass</t>
  </si>
  <si>
    <t>diameter (in)</t>
  </si>
  <si>
    <t>wt final on load cell (kg)</t>
  </si>
  <si>
    <t>(lbs)</t>
  </si>
  <si>
    <t>Length to knife bearing (in)</t>
  </si>
  <si>
    <t>moment (kg-in)</t>
  </si>
  <si>
    <t>wt at link from F2 (kg)</t>
  </si>
  <si>
    <t>Length to load cell (in)</t>
  </si>
  <si>
    <t>2.61 ft^3</t>
  </si>
  <si>
    <t>60# sacks of sand</t>
  </si>
  <si>
    <t>(gm) resolution</t>
  </si>
  <si>
    <t>resolution flux (cm)</t>
  </si>
  <si>
    <t>resolution flux (mm)</t>
  </si>
  <si>
    <t>Assuming soil is at field capacitiy and all in coming precip yields 100% drainage.</t>
  </si>
  <si>
    <t>rain fall event (in)</t>
  </si>
  <si>
    <t>precip (cm)</t>
  </si>
  <si>
    <t>lysimeter area (cm^2)</t>
  </si>
  <si>
    <t>fluid volume (L)</t>
  </si>
  <si>
    <t>well dia (in)</t>
  </si>
  <si>
    <t>well depth below inlet (in)</t>
  </si>
  <si>
    <t>well dia(cm)</t>
  </si>
  <si>
    <t>well area (cm^2)</t>
  </si>
  <si>
    <t>well volume (cm^3)</t>
  </si>
  <si>
    <t>nominal pipe size</t>
  </si>
  <si>
    <t>pipe size</t>
  </si>
  <si>
    <t>avg ID</t>
  </si>
  <si>
    <t>sch 40</t>
  </si>
  <si>
    <t>well volume (L)</t>
  </si>
  <si>
    <t>Force (N)</t>
  </si>
  <si>
    <t>Length (m)</t>
  </si>
  <si>
    <t>Torque (Nm)</t>
  </si>
  <si>
    <t>t1</t>
  </si>
  <si>
    <t>t2</t>
  </si>
  <si>
    <t>2" square tubing mass</t>
  </si>
  <si>
    <t>lb/ft</t>
  </si>
  <si>
    <t>kg/m</t>
  </si>
  <si>
    <t>tubing length rt of fulcrum</t>
  </si>
  <si>
    <t>tubing length lt of fulcrum</t>
  </si>
  <si>
    <t>m</t>
  </si>
  <si>
    <t>B1a_d</t>
  </si>
  <si>
    <t>B1b_d</t>
  </si>
  <si>
    <t>B1a_F</t>
  </si>
  <si>
    <t>B1b_F</t>
  </si>
  <si>
    <t>Mass rt of fulcrum</t>
  </si>
  <si>
    <t>Mass lt of fulcrum</t>
  </si>
  <si>
    <t xml:space="preserve">kg </t>
  </si>
  <si>
    <t>kg</t>
  </si>
  <si>
    <t>Force left of fulcrum</t>
  </si>
  <si>
    <t>Force right of fulcrum</t>
  </si>
  <si>
    <t>N</t>
  </si>
  <si>
    <t>Torque right of fulcrum</t>
  </si>
  <si>
    <t>Torque left of fulcrum</t>
  </si>
  <si>
    <t>Nm</t>
  </si>
  <si>
    <t>B1a_t</t>
  </si>
  <si>
    <t>B1b_t</t>
  </si>
  <si>
    <t>B1a_m</t>
  </si>
  <si>
    <t>B1b_m</t>
  </si>
  <si>
    <r>
      <rPr>
        <sz val="11"/>
        <color theme="1"/>
        <rFont val="Symbol"/>
        <family val="1"/>
        <charset val="2"/>
      </rPr>
      <t>t</t>
    </r>
    <r>
      <rPr>
        <sz val="11"/>
        <color theme="1"/>
        <rFont val="Calibri"/>
        <family val="2"/>
        <scheme val="minor"/>
      </rPr>
      <t>B1</t>
    </r>
    <r>
      <rPr>
        <sz val="11"/>
        <color theme="1"/>
        <rFont val="Calibri"/>
        <family val="1"/>
        <charset val="2"/>
        <scheme val="minor"/>
      </rPr>
      <t>a</t>
    </r>
  </si>
  <si>
    <r>
      <rPr>
        <sz val="11"/>
        <color theme="1"/>
        <rFont val="Symbol"/>
        <family val="1"/>
        <charset val="2"/>
      </rPr>
      <t>t</t>
    </r>
    <r>
      <rPr>
        <sz val="11"/>
        <color theme="1"/>
        <rFont val="Calibri"/>
        <family val="2"/>
        <scheme val="minor"/>
      </rPr>
      <t>B1</t>
    </r>
    <r>
      <rPr>
        <sz val="11"/>
        <color theme="1"/>
        <rFont val="Calibri"/>
        <family val="1"/>
        <charset val="2"/>
        <scheme val="minor"/>
      </rPr>
      <t>b</t>
    </r>
  </si>
  <si>
    <t>Beam 2 tubing torque detail</t>
  </si>
  <si>
    <t>1" tubing mass</t>
  </si>
  <si>
    <t>Load Cell Load (kg)</t>
  </si>
  <si>
    <t>stage (cm)</t>
  </si>
  <si>
    <t>stage (in)</t>
  </si>
  <si>
    <t>Transducer calibrations</t>
  </si>
  <si>
    <t>Transducer was installed inside 4-inch ABS pipe allong with Turbo pump, cables and tygon tubbing</t>
  </si>
  <si>
    <t>CS451</t>
  </si>
  <si>
    <t>SN</t>
  </si>
  <si>
    <t>Stage (cm)</t>
  </si>
  <si>
    <t>Volume (ml)</t>
  </si>
  <si>
    <t>math check</t>
  </si>
  <si>
    <t>from transducer calibration</t>
  </si>
  <si>
    <t>drainage volume (cm^3)</t>
  </si>
  <si>
    <t>drainage flux (mm)</t>
  </si>
  <si>
    <t>slope</t>
  </si>
  <si>
    <t>intercept</t>
  </si>
  <si>
    <t>average</t>
  </si>
  <si>
    <t>h (in)</t>
  </si>
  <si>
    <t>SS rod dia</t>
  </si>
  <si>
    <t>(in)</t>
  </si>
  <si>
    <t>SS rod dia (in)</t>
  </si>
  <si>
    <t>SS rod pounds per inch</t>
  </si>
  <si>
    <t>SS rod h</t>
  </si>
  <si>
    <t>SS rod wt</t>
  </si>
  <si>
    <t>(pound/in)</t>
  </si>
  <si>
    <t>(pound)</t>
  </si>
  <si>
    <t>mV/V FSR</t>
  </si>
  <si>
    <t>V excitation</t>
  </si>
  <si>
    <t>mV FSR</t>
  </si>
  <si>
    <t>mV/kg</t>
  </si>
  <si>
    <t>uV analog measurement resolution</t>
  </si>
  <si>
    <t>g/mV</t>
  </si>
  <si>
    <t>g/uV</t>
  </si>
  <si>
    <t>resolution (g)</t>
  </si>
  <si>
    <t>+/- lysimeter resolution (g)</t>
  </si>
  <si>
    <t>max load (lbs) or FSR (Full Scale range)</t>
  </si>
  <si>
    <t>Max on load cell (lbs)</t>
  </si>
  <si>
    <t>Max on load cell (kg)</t>
  </si>
  <si>
    <t>Counter Wt needed for dry soil (lbs)</t>
  </si>
  <si>
    <t>Lysimeter resolution calcs</t>
  </si>
  <si>
    <t>resolution (+/- g)</t>
  </si>
  <si>
    <t>M1a</t>
  </si>
  <si>
    <t>Torque Calcs</t>
  </si>
  <si>
    <t>Lysimeter design - Single Beam</t>
  </si>
  <si>
    <t>Moment calcs</t>
  </si>
  <si>
    <t>counter wt dia (in)</t>
  </si>
  <si>
    <t>counter wt. length (in)</t>
  </si>
  <si>
    <t>SS weight (lbs)</t>
  </si>
  <si>
    <t>sand</t>
  </si>
  <si>
    <t>soil</t>
  </si>
  <si>
    <t>(g/cm^3)</t>
  </si>
  <si>
    <t>SS tube filled with lead (lb/in)</t>
  </si>
  <si>
    <t>SS rod (lbs/in)</t>
  </si>
  <si>
    <t>Lead rod (lbs/in)</t>
  </si>
  <si>
    <t>tube inside area (cm^2)</t>
  </si>
  <si>
    <t>tube outside area (cm^2)</t>
  </si>
  <si>
    <t>Tube desisity (lbs/in)</t>
  </si>
  <si>
    <t>Density Increas (%)</t>
  </si>
  <si>
    <t>Lead filled SS tube</t>
  </si>
  <si>
    <t>Datalogger</t>
  </si>
  <si>
    <t>CR1000</t>
  </si>
  <si>
    <t>Range</t>
  </si>
  <si>
    <t>Resolution (uV)</t>
  </si>
  <si>
    <t>Max Excite (V)</t>
  </si>
  <si>
    <t>CR1000X</t>
  </si>
  <si>
    <t>CR3000</t>
  </si>
  <si>
    <t>&lt;= select datalogger used</t>
  </si>
  <si>
    <t>Density</t>
  </si>
  <si>
    <t xml:space="preserve">SS  </t>
  </si>
  <si>
    <t>Lead</t>
  </si>
  <si>
    <t>Mercury</t>
  </si>
  <si>
    <t>1st try</t>
  </si>
  <si>
    <t>2nd try</t>
  </si>
  <si>
    <t>Max load with counter weight</t>
  </si>
  <si>
    <t>(kg)</t>
  </si>
  <si>
    <t>(mm)</t>
  </si>
  <si>
    <t>(ft)</t>
  </si>
  <si>
    <t>Solid Steel Beam</t>
  </si>
  <si>
    <t>beam vol</t>
  </si>
  <si>
    <t>(in^3)</t>
  </si>
  <si>
    <t>(lb/in^3)</t>
  </si>
  <si>
    <t>mild steel</t>
  </si>
  <si>
    <t>beam wt</t>
  </si>
  <si>
    <t>(pounds)</t>
  </si>
  <si>
    <t>Disk under Beam</t>
  </si>
  <si>
    <t>Disk vol</t>
  </si>
  <si>
    <t>disk wt</t>
  </si>
  <si>
    <t>SS</t>
  </si>
  <si>
    <t>Pb filled SS tube</t>
  </si>
  <si>
    <t>MS</t>
  </si>
  <si>
    <t>Mild Steel Rod</t>
  </si>
  <si>
    <t>MS rod dia</t>
  </si>
  <si>
    <t>MS rod length</t>
  </si>
  <si>
    <t>MS rod wt</t>
  </si>
  <si>
    <t>Solid Beam</t>
  </si>
  <si>
    <t>MS Disk</t>
  </si>
  <si>
    <t>MS rod + beam + disk</t>
  </si>
  <si>
    <t>BD1818 - Double Beam precision water balance lysimeter design</t>
  </si>
  <si>
    <t>by Brad Lyles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</si>
</sst>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sz val="11"/>
      <color theme="1"/>
      <name val="Calibri"/>
      <family val="1"/>
      <charset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 applyAlignment="1">
      <alignment horizontal="center"/>
    </xf>
    <xf numFmtId="0" fontId="0" fillId="2" borderId="0" xfId="0" applyFill="1"/>
    <xf numFmtId="0" fontId="2" fillId="0" borderId="0" xfId="0" applyFont="1"/>
    <xf numFmtId="2" fontId="0" fillId="0" borderId="0" xfId="0" applyNumberFormat="1"/>
    <xf numFmtId="164" fontId="0" fillId="0" borderId="0" xfId="0" applyNumberFormat="1"/>
    <xf numFmtId="0" fontId="0" fillId="3" borderId="0" xfId="0" applyFill="1"/>
    <xf numFmtId="0" fontId="4" fillId="0" borderId="0" xfId="0" applyFont="1"/>
    <xf numFmtId="0" fontId="0" fillId="3" borderId="1" xfId="0" applyFill="1" applyBorder="1"/>
    <xf numFmtId="2" fontId="0" fillId="2" borderId="0" xfId="0" applyNumberFormat="1" applyFill="1"/>
    <xf numFmtId="0" fontId="0" fillId="0" borderId="0" xfId="0" applyAlignment="1">
      <alignment wrapText="1"/>
    </xf>
    <xf numFmtId="0" fontId="0" fillId="0" borderId="0" xfId="0" quotePrefix="1"/>
    <xf numFmtId="2" fontId="0" fillId="5" borderId="0" xfId="0" applyNumberFormat="1" applyFill="1"/>
    <xf numFmtId="0" fontId="0" fillId="5" borderId="0" xfId="0" applyFill="1"/>
    <xf numFmtId="0" fontId="3" fillId="0" borderId="0" xfId="0" applyFont="1"/>
    <xf numFmtId="2" fontId="0" fillId="0" borderId="0" xfId="0" applyNumberFormat="1" applyAlignment="1">
      <alignment wrapText="1"/>
    </xf>
    <xf numFmtId="2" fontId="0" fillId="6" borderId="0" xfId="0" applyNumberFormat="1" applyFill="1"/>
    <xf numFmtId="0" fontId="0" fillId="6" borderId="1" xfId="0" applyFill="1" applyBorder="1"/>
    <xf numFmtId="0" fontId="0" fillId="7" borderId="0" xfId="0" applyFill="1"/>
    <xf numFmtId="0" fontId="2" fillId="6" borderId="0" xfId="0" applyFont="1" applyFill="1"/>
    <xf numFmtId="2" fontId="0" fillId="9" borderId="0" xfId="0" applyNumberFormat="1" applyFill="1"/>
    <xf numFmtId="2" fontId="0" fillId="10" borderId="0" xfId="0" applyNumberFormat="1" applyFill="1"/>
    <xf numFmtId="2" fontId="0" fillId="11" borderId="0" xfId="0" applyNumberFormat="1" applyFill="1"/>
    <xf numFmtId="0" fontId="0" fillId="8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'Transducer Calib'!$C$7</c:f>
              <c:strCache>
                <c:ptCount val="1"/>
                <c:pt idx="0">
                  <c:v>20012329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'Transducer Calib'!$C$10:$C$18</c:f>
              <c:numCache>
                <c:formatCode>General</c:formatCode>
                <c:ptCount val="9"/>
                <c:pt idx="0">
                  <c:v>0</c:v>
                </c:pt>
                <c:pt idx="1">
                  <c:v>4.8</c:v>
                </c:pt>
                <c:pt idx="2">
                  <c:v>12.05</c:v>
                </c:pt>
                <c:pt idx="3">
                  <c:v>19.13</c:v>
                </c:pt>
                <c:pt idx="4">
                  <c:v>25.47</c:v>
                </c:pt>
                <c:pt idx="5">
                  <c:v>31.52</c:v>
                </c:pt>
                <c:pt idx="6">
                  <c:v>37.590000000000003</c:v>
                </c:pt>
                <c:pt idx="7">
                  <c:v>43.63</c:v>
                </c:pt>
                <c:pt idx="8">
                  <c:v>49.76</c:v>
                </c:pt>
              </c:numCache>
            </c:numRef>
          </c:xVal>
          <c:yVal>
            <c:numRef>
              <c:f>'Transducer Calib'!$B$10:$B$18</c:f>
              <c:numCache>
                <c:formatCode>General</c:formatCode>
                <c:ptCount val="9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3F-4DE4-8284-231D1D5761C9}"/>
            </c:ext>
          </c:extLst>
        </c:ser>
        <c:ser>
          <c:idx val="1"/>
          <c:order val="1"/>
          <c:tx>
            <c:strRef>
              <c:f>'Transducer Calib'!$D$7</c:f>
              <c:strCache>
                <c:ptCount val="1"/>
                <c:pt idx="0">
                  <c:v>20012339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'Transducer Calib'!$D$10:$D$18</c:f>
              <c:numCache>
                <c:formatCode>General</c:formatCode>
                <c:ptCount val="9"/>
                <c:pt idx="0">
                  <c:v>0</c:v>
                </c:pt>
                <c:pt idx="1">
                  <c:v>4.41</c:v>
                </c:pt>
                <c:pt idx="2">
                  <c:v>11.63</c:v>
                </c:pt>
                <c:pt idx="3">
                  <c:v>18.809999999999999</c:v>
                </c:pt>
                <c:pt idx="4">
                  <c:v>25.15</c:v>
                </c:pt>
                <c:pt idx="5">
                  <c:v>31.26</c:v>
                </c:pt>
                <c:pt idx="6">
                  <c:v>37.19</c:v>
                </c:pt>
                <c:pt idx="7">
                  <c:v>43.3</c:v>
                </c:pt>
                <c:pt idx="8">
                  <c:v>49.43</c:v>
                </c:pt>
              </c:numCache>
            </c:numRef>
          </c:xVal>
          <c:yVal>
            <c:numRef>
              <c:f>'Transducer Calib'!$B$10:$B$18</c:f>
              <c:numCache>
                <c:formatCode>General</c:formatCode>
                <c:ptCount val="9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F1C-4291-97DE-49BB08A97767}"/>
            </c:ext>
          </c:extLst>
        </c:ser>
        <c:ser>
          <c:idx val="2"/>
          <c:order val="2"/>
          <c:tx>
            <c:strRef>
              <c:f>'Transducer Calib'!$E$7</c:f>
              <c:strCache>
                <c:ptCount val="1"/>
                <c:pt idx="0">
                  <c:v>21102340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'Transducer Calib'!$E$10:$E$18</c:f>
              <c:numCache>
                <c:formatCode>General</c:formatCode>
                <c:ptCount val="9"/>
                <c:pt idx="0">
                  <c:v>0</c:v>
                </c:pt>
                <c:pt idx="1">
                  <c:v>4.57</c:v>
                </c:pt>
                <c:pt idx="2">
                  <c:v>11.87</c:v>
                </c:pt>
                <c:pt idx="3">
                  <c:v>18.86</c:v>
                </c:pt>
                <c:pt idx="4">
                  <c:v>25.26</c:v>
                </c:pt>
                <c:pt idx="5">
                  <c:v>31.34</c:v>
                </c:pt>
                <c:pt idx="6">
                  <c:v>37.49</c:v>
                </c:pt>
                <c:pt idx="7">
                  <c:v>43.54</c:v>
                </c:pt>
                <c:pt idx="8">
                  <c:v>49.73</c:v>
                </c:pt>
              </c:numCache>
            </c:numRef>
          </c:xVal>
          <c:yVal>
            <c:numRef>
              <c:f>'Transducer Calib'!$B$10:$B$18</c:f>
              <c:numCache>
                <c:formatCode>General</c:formatCode>
                <c:ptCount val="9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F1C-4291-97DE-49BB08A97767}"/>
            </c:ext>
          </c:extLst>
        </c:ser>
        <c:ser>
          <c:idx val="3"/>
          <c:order val="3"/>
          <c:tx>
            <c:strRef>
              <c:f>'Transducer Calib'!$F$7</c:f>
              <c:strCache>
                <c:ptCount val="1"/>
                <c:pt idx="0">
                  <c:v>20012326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'Transducer Calib'!$F$10:$F$18</c:f>
              <c:numCache>
                <c:formatCode>General</c:formatCode>
                <c:ptCount val="9"/>
                <c:pt idx="0">
                  <c:v>0</c:v>
                </c:pt>
                <c:pt idx="1">
                  <c:v>4.0599999999999996</c:v>
                </c:pt>
                <c:pt idx="2">
                  <c:v>11.45</c:v>
                </c:pt>
                <c:pt idx="3">
                  <c:v>18.64</c:v>
                </c:pt>
                <c:pt idx="4">
                  <c:v>24.91</c:v>
                </c:pt>
                <c:pt idx="5">
                  <c:v>31.04</c:v>
                </c:pt>
                <c:pt idx="6">
                  <c:v>37.08</c:v>
                </c:pt>
                <c:pt idx="7">
                  <c:v>43.16</c:v>
                </c:pt>
                <c:pt idx="8">
                  <c:v>49.39</c:v>
                </c:pt>
              </c:numCache>
            </c:numRef>
          </c:xVal>
          <c:yVal>
            <c:numRef>
              <c:f>'Transducer Calib'!$B$10:$B$18</c:f>
              <c:numCache>
                <c:formatCode>General</c:formatCode>
                <c:ptCount val="9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F1C-4291-97DE-49BB08A977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7604655"/>
        <c:axId val="1697605903"/>
      </c:scatterChart>
      <c:valAx>
        <c:axId val="1697604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Transducer Stage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7605903"/>
        <c:crosses val="autoZero"/>
        <c:crossBetween val="midCat"/>
      </c:valAx>
      <c:valAx>
        <c:axId val="169760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 (ml)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76046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449356</xdr:colOff>
      <xdr:row>6</xdr:row>
      <xdr:rowOff>89647</xdr:rowOff>
    </xdr:from>
    <xdr:to>
      <xdr:col>27</xdr:col>
      <xdr:colOff>144556</xdr:colOff>
      <xdr:row>20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CB7A657-A79A-4A89-A1A0-EF78EAF5F59E}"/>
            </a:ext>
          </a:extLst>
        </xdr:cNvPr>
        <xdr:cNvSpPr txBox="1"/>
      </xdr:nvSpPr>
      <xdr:spPr>
        <a:xfrm>
          <a:off x="10292603" y="2779059"/>
          <a:ext cx="8229600" cy="242047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twoCellAnchor>
    <xdr:from>
      <xdr:col>16</xdr:col>
      <xdr:colOff>203946</xdr:colOff>
      <xdr:row>11</xdr:row>
      <xdr:rowOff>177053</xdr:rowOff>
    </xdr:from>
    <xdr:to>
      <xdr:col>25</xdr:col>
      <xdr:colOff>270621</xdr:colOff>
      <xdr:row>12</xdr:row>
      <xdr:rowOff>72278</xdr:rowOff>
    </xdr:to>
    <xdr:sp macro="" textlink="">
      <xdr:nvSpPr>
        <xdr:cNvPr id="43" name="Rectangle 42">
          <a:extLst>
            <a:ext uri="{FF2B5EF4-FFF2-40B4-BE49-F238E27FC236}">
              <a16:creationId xmlns:a16="http://schemas.microsoft.com/office/drawing/2014/main" id="{37615BAC-8059-47C7-AC0E-54519E772CD6}"/>
            </a:ext>
          </a:extLst>
        </xdr:cNvPr>
        <xdr:cNvSpPr/>
      </xdr:nvSpPr>
      <xdr:spPr>
        <a:xfrm>
          <a:off x="11208122" y="3987053"/>
          <a:ext cx="5512734" cy="857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218516</xdr:colOff>
      <xdr:row>9</xdr:row>
      <xdr:rowOff>145677</xdr:rowOff>
    </xdr:from>
    <xdr:to>
      <xdr:col>16</xdr:col>
      <xdr:colOff>218516</xdr:colOff>
      <xdr:row>11</xdr:row>
      <xdr:rowOff>117102</xdr:rowOff>
    </xdr:to>
    <xdr:cxnSp macro="">
      <xdr:nvCxnSpPr>
        <xdr:cNvPr id="44" name="Straight Arrow Connector 43">
          <a:extLst>
            <a:ext uri="{FF2B5EF4-FFF2-40B4-BE49-F238E27FC236}">
              <a16:creationId xmlns:a16="http://schemas.microsoft.com/office/drawing/2014/main" id="{73E6EF1A-3B15-4804-876F-2D43922749D0}"/>
            </a:ext>
          </a:extLst>
        </xdr:cNvPr>
        <xdr:cNvCxnSpPr/>
      </xdr:nvCxnSpPr>
      <xdr:spPr>
        <a:xfrm>
          <a:off x="11222692" y="3574677"/>
          <a:ext cx="0" cy="3524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407945</xdr:colOff>
      <xdr:row>9</xdr:row>
      <xdr:rowOff>148478</xdr:rowOff>
    </xdr:from>
    <xdr:to>
      <xdr:col>16</xdr:col>
      <xdr:colOff>123265</xdr:colOff>
      <xdr:row>11</xdr:row>
      <xdr:rowOff>53228</xdr:rowOff>
    </xdr:to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F7D38DAF-8C9B-4886-9048-B6B0B92D3A12}"/>
            </a:ext>
          </a:extLst>
        </xdr:cNvPr>
        <xdr:cNvSpPr txBox="1"/>
      </xdr:nvSpPr>
      <xdr:spPr>
        <a:xfrm>
          <a:off x="10807004" y="3577478"/>
          <a:ext cx="320437" cy="2857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F1</a:t>
          </a:r>
        </a:p>
      </xdr:txBody>
    </xdr:sp>
    <xdr:clientData/>
  </xdr:twoCellAnchor>
  <xdr:twoCellAnchor>
    <xdr:from>
      <xdr:col>17</xdr:col>
      <xdr:colOff>330574</xdr:colOff>
      <xdr:row>12</xdr:row>
      <xdr:rowOff>81243</xdr:rowOff>
    </xdr:from>
    <xdr:to>
      <xdr:col>17</xdr:col>
      <xdr:colOff>425824</xdr:colOff>
      <xdr:row>14</xdr:row>
      <xdr:rowOff>112059</xdr:rowOff>
    </xdr:to>
    <xdr:sp macro="" textlink="">
      <xdr:nvSpPr>
        <xdr:cNvPr id="48" name="Isosceles Triangle 47">
          <a:extLst>
            <a:ext uri="{FF2B5EF4-FFF2-40B4-BE49-F238E27FC236}">
              <a16:creationId xmlns:a16="http://schemas.microsoft.com/office/drawing/2014/main" id="{53E6E315-BD57-4CDF-B9F2-14436A3E0281}"/>
            </a:ext>
          </a:extLst>
        </xdr:cNvPr>
        <xdr:cNvSpPr/>
      </xdr:nvSpPr>
      <xdr:spPr>
        <a:xfrm>
          <a:off x="11939868" y="4081743"/>
          <a:ext cx="95250" cy="411816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575424</xdr:colOff>
      <xdr:row>12</xdr:row>
      <xdr:rowOff>81243</xdr:rowOff>
    </xdr:from>
    <xdr:to>
      <xdr:col>16</xdr:col>
      <xdr:colOff>584949</xdr:colOff>
      <xdr:row>15</xdr:row>
      <xdr:rowOff>157443</xdr:rowOff>
    </xdr:to>
    <xdr:cxnSp macro="">
      <xdr:nvCxnSpPr>
        <xdr:cNvPr id="49" name="Straight Arrow Connector 48">
          <a:extLst>
            <a:ext uri="{FF2B5EF4-FFF2-40B4-BE49-F238E27FC236}">
              <a16:creationId xmlns:a16="http://schemas.microsoft.com/office/drawing/2014/main" id="{99416798-DF72-4FFB-8282-8A583030FDB1}"/>
            </a:ext>
          </a:extLst>
        </xdr:cNvPr>
        <xdr:cNvCxnSpPr/>
      </xdr:nvCxnSpPr>
      <xdr:spPr>
        <a:xfrm>
          <a:off x="11579600" y="4081743"/>
          <a:ext cx="9525" cy="647700"/>
        </a:xfrm>
        <a:prstGeom prst="straightConnector1">
          <a:avLst/>
        </a:prstGeom>
        <a:ln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341781</xdr:colOff>
      <xdr:row>15</xdr:row>
      <xdr:rowOff>176493</xdr:rowOff>
    </xdr:from>
    <xdr:to>
      <xdr:col>17</xdr:col>
      <xdr:colOff>313206</xdr:colOff>
      <xdr:row>17</xdr:row>
      <xdr:rowOff>186018</xdr:rowOff>
    </xdr:to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417E999D-D1A2-403D-B440-E19E2F9B9172}"/>
            </a:ext>
          </a:extLst>
        </xdr:cNvPr>
        <xdr:cNvSpPr txBox="1"/>
      </xdr:nvSpPr>
      <xdr:spPr>
        <a:xfrm>
          <a:off x="11345957" y="4748493"/>
          <a:ext cx="576543" cy="3905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latin typeface="Symbol" panose="05050102010706020507" pitchFamily="18" charset="2"/>
            </a:rPr>
            <a:t>t</a:t>
          </a:r>
          <a:r>
            <a:rPr lang="en-US" sz="1100"/>
            <a:t>B1a</a:t>
          </a:r>
        </a:p>
      </xdr:txBody>
    </xdr:sp>
    <xdr:clientData/>
  </xdr:twoCellAnchor>
  <xdr:twoCellAnchor>
    <xdr:from>
      <xdr:col>16</xdr:col>
      <xdr:colOff>215153</xdr:colOff>
      <xdr:row>12</xdr:row>
      <xdr:rowOff>132790</xdr:rowOff>
    </xdr:from>
    <xdr:to>
      <xdr:col>16</xdr:col>
      <xdr:colOff>215153</xdr:colOff>
      <xdr:row>14</xdr:row>
      <xdr:rowOff>47065</xdr:rowOff>
    </xdr:to>
    <xdr:cxnSp macro="">
      <xdr:nvCxnSpPr>
        <xdr:cNvPr id="59" name="Straight Connector 58">
          <a:extLst>
            <a:ext uri="{FF2B5EF4-FFF2-40B4-BE49-F238E27FC236}">
              <a16:creationId xmlns:a16="http://schemas.microsoft.com/office/drawing/2014/main" id="{53091A19-3198-419F-839B-724DCCB2C44D}"/>
            </a:ext>
          </a:extLst>
        </xdr:cNvPr>
        <xdr:cNvCxnSpPr/>
      </xdr:nvCxnSpPr>
      <xdr:spPr>
        <a:xfrm>
          <a:off x="11219329" y="4133290"/>
          <a:ext cx="0" cy="2952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255493</xdr:colOff>
      <xdr:row>12</xdr:row>
      <xdr:rowOff>117101</xdr:rowOff>
    </xdr:from>
    <xdr:to>
      <xdr:col>25</xdr:col>
      <xdr:colOff>255493</xdr:colOff>
      <xdr:row>14</xdr:row>
      <xdr:rowOff>31376</xdr:rowOff>
    </xdr:to>
    <xdr:cxnSp macro="">
      <xdr:nvCxnSpPr>
        <xdr:cNvPr id="60" name="Straight Connector 59">
          <a:extLst>
            <a:ext uri="{FF2B5EF4-FFF2-40B4-BE49-F238E27FC236}">
              <a16:creationId xmlns:a16="http://schemas.microsoft.com/office/drawing/2014/main" id="{F4ACFA65-524F-4F1F-A40A-63266D3D80B6}"/>
            </a:ext>
          </a:extLst>
        </xdr:cNvPr>
        <xdr:cNvCxnSpPr/>
      </xdr:nvCxnSpPr>
      <xdr:spPr>
        <a:xfrm>
          <a:off x="16705728" y="4117601"/>
          <a:ext cx="0" cy="2952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459441</xdr:colOff>
      <xdr:row>13</xdr:row>
      <xdr:rowOff>134470</xdr:rowOff>
    </xdr:from>
    <xdr:to>
      <xdr:col>25</xdr:col>
      <xdr:colOff>268941</xdr:colOff>
      <xdr:row>13</xdr:row>
      <xdr:rowOff>156882</xdr:rowOff>
    </xdr:to>
    <xdr:cxnSp macro="">
      <xdr:nvCxnSpPr>
        <xdr:cNvPr id="62" name="Straight Arrow Connector 61">
          <a:extLst>
            <a:ext uri="{FF2B5EF4-FFF2-40B4-BE49-F238E27FC236}">
              <a16:creationId xmlns:a16="http://schemas.microsoft.com/office/drawing/2014/main" id="{04EC0F22-49C0-49AE-A366-6AE65C13CA7C}"/>
            </a:ext>
          </a:extLst>
        </xdr:cNvPr>
        <xdr:cNvCxnSpPr/>
      </xdr:nvCxnSpPr>
      <xdr:spPr>
        <a:xfrm flipH="1">
          <a:off x="12068735" y="4325470"/>
          <a:ext cx="4650441" cy="2241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212912</xdr:colOff>
      <xdr:row>13</xdr:row>
      <xdr:rowOff>145676</xdr:rowOff>
    </xdr:from>
    <xdr:to>
      <xdr:col>17</xdr:col>
      <xdr:colOff>313765</xdr:colOff>
      <xdr:row>13</xdr:row>
      <xdr:rowOff>156882</xdr:rowOff>
    </xdr:to>
    <xdr:cxnSp macro="">
      <xdr:nvCxnSpPr>
        <xdr:cNvPr id="65" name="Straight Arrow Connector 64">
          <a:extLst>
            <a:ext uri="{FF2B5EF4-FFF2-40B4-BE49-F238E27FC236}">
              <a16:creationId xmlns:a16="http://schemas.microsoft.com/office/drawing/2014/main" id="{54AF26D5-8F29-4A58-82BC-BE0B296B3325}"/>
            </a:ext>
          </a:extLst>
        </xdr:cNvPr>
        <xdr:cNvCxnSpPr/>
      </xdr:nvCxnSpPr>
      <xdr:spPr>
        <a:xfrm>
          <a:off x="11217088" y="4336676"/>
          <a:ext cx="705971" cy="1120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311523</xdr:colOff>
      <xdr:row>12</xdr:row>
      <xdr:rowOff>81242</xdr:rowOff>
    </xdr:from>
    <xdr:to>
      <xdr:col>21</xdr:col>
      <xdr:colOff>321048</xdr:colOff>
      <xdr:row>15</xdr:row>
      <xdr:rowOff>157442</xdr:rowOff>
    </xdr:to>
    <xdr:cxnSp macro="">
      <xdr:nvCxnSpPr>
        <xdr:cNvPr id="66" name="Straight Arrow Connector 65">
          <a:extLst>
            <a:ext uri="{FF2B5EF4-FFF2-40B4-BE49-F238E27FC236}">
              <a16:creationId xmlns:a16="http://schemas.microsoft.com/office/drawing/2014/main" id="{D136D247-C52D-4CAA-936F-C9BAF33742C8}"/>
            </a:ext>
          </a:extLst>
        </xdr:cNvPr>
        <xdr:cNvCxnSpPr/>
      </xdr:nvCxnSpPr>
      <xdr:spPr>
        <a:xfrm>
          <a:off x="14341288" y="4081742"/>
          <a:ext cx="9525" cy="647700"/>
        </a:xfrm>
        <a:prstGeom prst="straightConnector1">
          <a:avLst/>
        </a:prstGeom>
        <a:ln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106456</xdr:colOff>
      <xdr:row>15</xdr:row>
      <xdr:rowOff>146236</xdr:rowOff>
    </xdr:from>
    <xdr:to>
      <xdr:col>22</xdr:col>
      <xdr:colOff>77882</xdr:colOff>
      <xdr:row>17</xdr:row>
      <xdr:rowOff>155761</xdr:rowOff>
    </xdr:to>
    <xdr:sp macro="" textlink="">
      <xdr:nvSpPr>
        <xdr:cNvPr id="67" name="TextBox 66">
          <a:extLst>
            <a:ext uri="{FF2B5EF4-FFF2-40B4-BE49-F238E27FC236}">
              <a16:creationId xmlns:a16="http://schemas.microsoft.com/office/drawing/2014/main" id="{9F12E04F-36FF-4628-9D74-1A680275AB20}"/>
            </a:ext>
          </a:extLst>
        </xdr:cNvPr>
        <xdr:cNvSpPr txBox="1"/>
      </xdr:nvSpPr>
      <xdr:spPr>
        <a:xfrm>
          <a:off x="14136221" y="4718236"/>
          <a:ext cx="576543" cy="3905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latin typeface="Symbol" panose="05050102010706020507" pitchFamily="18" charset="2"/>
            </a:rPr>
            <a:t>t</a:t>
          </a:r>
          <a:r>
            <a:rPr lang="en-US" sz="1100"/>
            <a:t>B1b</a:t>
          </a:r>
        </a:p>
      </xdr:txBody>
    </xdr:sp>
    <xdr:clientData/>
  </xdr:twoCellAnchor>
  <xdr:twoCellAnchor>
    <xdr:from>
      <xdr:col>17</xdr:col>
      <xdr:colOff>18801</xdr:colOff>
      <xdr:row>14</xdr:row>
      <xdr:rowOff>47626</xdr:rowOff>
    </xdr:from>
    <xdr:to>
      <xdr:col>17</xdr:col>
      <xdr:colOff>347383</xdr:colOff>
      <xdr:row>15</xdr:row>
      <xdr:rowOff>112060</xdr:rowOff>
    </xdr:to>
    <xdr:sp macro="" textlink="">
      <xdr:nvSpPr>
        <xdr:cNvPr id="68" name="TextBox 67">
          <a:extLst>
            <a:ext uri="{FF2B5EF4-FFF2-40B4-BE49-F238E27FC236}">
              <a16:creationId xmlns:a16="http://schemas.microsoft.com/office/drawing/2014/main" id="{C2D582F1-B40D-472F-83B0-B0773CC54EBE}"/>
            </a:ext>
          </a:extLst>
        </xdr:cNvPr>
        <xdr:cNvSpPr txBox="1"/>
      </xdr:nvSpPr>
      <xdr:spPr>
        <a:xfrm>
          <a:off x="11628095" y="4429126"/>
          <a:ext cx="328582" cy="25493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d1</a:t>
          </a:r>
        </a:p>
      </xdr:txBody>
    </xdr:sp>
    <xdr:clientData/>
  </xdr:twoCellAnchor>
  <xdr:twoCellAnchor>
    <xdr:from>
      <xdr:col>21</xdr:col>
      <xdr:colOff>599515</xdr:colOff>
      <xdr:row>13</xdr:row>
      <xdr:rowOff>188259</xdr:rowOff>
    </xdr:from>
    <xdr:to>
      <xdr:col>22</xdr:col>
      <xdr:colOff>570993</xdr:colOff>
      <xdr:row>16</xdr:row>
      <xdr:rowOff>7284</xdr:rowOff>
    </xdr:to>
    <xdr:sp macro="" textlink="">
      <xdr:nvSpPr>
        <xdr:cNvPr id="69" name="TextBox 68">
          <a:extLst>
            <a:ext uri="{FF2B5EF4-FFF2-40B4-BE49-F238E27FC236}">
              <a16:creationId xmlns:a16="http://schemas.microsoft.com/office/drawing/2014/main" id="{749A832E-47E1-4745-82C7-29045B6BA6C0}"/>
            </a:ext>
          </a:extLst>
        </xdr:cNvPr>
        <xdr:cNvSpPr txBox="1"/>
      </xdr:nvSpPr>
      <xdr:spPr>
        <a:xfrm>
          <a:off x="14629280" y="4379259"/>
          <a:ext cx="576595" cy="3905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d2</a:t>
          </a:r>
        </a:p>
      </xdr:txBody>
    </xdr:sp>
    <xdr:clientData/>
  </xdr:twoCellAnchor>
  <xdr:twoCellAnchor>
    <xdr:from>
      <xdr:col>19</xdr:col>
      <xdr:colOff>394967</xdr:colOff>
      <xdr:row>17</xdr:row>
      <xdr:rowOff>104214</xdr:rowOff>
    </xdr:from>
    <xdr:to>
      <xdr:col>22</xdr:col>
      <xdr:colOff>425326</xdr:colOff>
      <xdr:row>18</xdr:row>
      <xdr:rowOff>152399</xdr:rowOff>
    </xdr:to>
    <xdr:sp macro="" textlink="">
      <xdr:nvSpPr>
        <xdr:cNvPr id="70" name="TextBox 69">
          <a:extLst>
            <a:ext uri="{FF2B5EF4-FFF2-40B4-BE49-F238E27FC236}">
              <a16:creationId xmlns:a16="http://schemas.microsoft.com/office/drawing/2014/main" id="{69BEDB77-1AB3-4B7F-8BF0-500EAFD29BAD}"/>
            </a:ext>
          </a:extLst>
        </xdr:cNvPr>
        <xdr:cNvSpPr txBox="1"/>
      </xdr:nvSpPr>
      <xdr:spPr>
        <a:xfrm>
          <a:off x="13214496" y="5057214"/>
          <a:ext cx="1845712" cy="23868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F2*d2 = F1*d1 + </a:t>
          </a:r>
          <a:r>
            <a:rPr lang="en-US" sz="1100">
              <a:latin typeface="Symbol" panose="05050102010706020507" pitchFamily="18" charset="2"/>
            </a:rPr>
            <a:t>t</a:t>
          </a:r>
          <a:r>
            <a:rPr lang="en-US" sz="1100"/>
            <a:t>B1a - </a:t>
          </a:r>
          <a:r>
            <a:rPr lang="en-US" sz="1100">
              <a:latin typeface="Symbol" panose="05050102010706020507" pitchFamily="18" charset="2"/>
            </a:rPr>
            <a:t>t</a:t>
          </a:r>
          <a:r>
            <a:rPr lang="en-US" sz="1100"/>
            <a:t>B1b</a:t>
          </a:r>
        </a:p>
      </xdr:txBody>
    </xdr:sp>
    <xdr:clientData/>
  </xdr:twoCellAnchor>
  <xdr:twoCellAnchor>
    <xdr:from>
      <xdr:col>25</xdr:col>
      <xdr:colOff>243730</xdr:colOff>
      <xdr:row>9</xdr:row>
      <xdr:rowOff>168648</xdr:rowOff>
    </xdr:from>
    <xdr:to>
      <xdr:col>25</xdr:col>
      <xdr:colOff>243733</xdr:colOff>
      <xdr:row>11</xdr:row>
      <xdr:rowOff>63876</xdr:rowOff>
    </xdr:to>
    <xdr:cxnSp macro="">
      <xdr:nvCxnSpPr>
        <xdr:cNvPr id="72" name="Straight Arrow Connector 71">
          <a:extLst>
            <a:ext uri="{FF2B5EF4-FFF2-40B4-BE49-F238E27FC236}">
              <a16:creationId xmlns:a16="http://schemas.microsoft.com/office/drawing/2014/main" id="{ECC75FED-AC2E-4D1B-A314-FFBCADA8C05B}"/>
            </a:ext>
          </a:extLst>
        </xdr:cNvPr>
        <xdr:cNvCxnSpPr/>
      </xdr:nvCxnSpPr>
      <xdr:spPr>
        <a:xfrm>
          <a:off x="16693965" y="3597648"/>
          <a:ext cx="3" cy="276228"/>
        </a:xfrm>
        <a:prstGeom prst="straightConnector1">
          <a:avLst/>
        </a:prstGeom>
        <a:ln>
          <a:headEnd type="triangl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375398</xdr:colOff>
      <xdr:row>9</xdr:row>
      <xdr:rowOff>126066</xdr:rowOff>
    </xdr:from>
    <xdr:to>
      <xdr:col>26</xdr:col>
      <xdr:colOff>167280</xdr:colOff>
      <xdr:row>11</xdr:row>
      <xdr:rowOff>30816</xdr:rowOff>
    </xdr:to>
    <xdr:sp macro="" textlink="">
      <xdr:nvSpPr>
        <xdr:cNvPr id="73" name="TextBox 72">
          <a:extLst>
            <a:ext uri="{FF2B5EF4-FFF2-40B4-BE49-F238E27FC236}">
              <a16:creationId xmlns:a16="http://schemas.microsoft.com/office/drawing/2014/main" id="{9BA9DE9C-14DE-4C14-BBBF-1FBF73EB7635}"/>
            </a:ext>
          </a:extLst>
        </xdr:cNvPr>
        <xdr:cNvSpPr txBox="1"/>
      </xdr:nvSpPr>
      <xdr:spPr>
        <a:xfrm>
          <a:off x="16825633" y="3555066"/>
          <a:ext cx="397000" cy="2857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F2</a:t>
          </a:r>
        </a:p>
      </xdr:txBody>
    </xdr:sp>
    <xdr:clientData/>
  </xdr:twoCellAnchor>
  <xdr:twoCellAnchor>
    <xdr:from>
      <xdr:col>14</xdr:col>
      <xdr:colOff>91328</xdr:colOff>
      <xdr:row>11</xdr:row>
      <xdr:rowOff>89646</xdr:rowOff>
    </xdr:from>
    <xdr:to>
      <xdr:col>16</xdr:col>
      <xdr:colOff>29136</xdr:colOff>
      <xdr:row>12</xdr:row>
      <xdr:rowOff>174812</xdr:rowOff>
    </xdr:to>
    <xdr:sp macro="" textlink="">
      <xdr:nvSpPr>
        <xdr:cNvPr id="74" name="TextBox 73">
          <a:extLst>
            <a:ext uri="{FF2B5EF4-FFF2-40B4-BE49-F238E27FC236}">
              <a16:creationId xmlns:a16="http://schemas.microsoft.com/office/drawing/2014/main" id="{832D87B0-E564-4765-9316-2C1822DBCAB0}"/>
            </a:ext>
          </a:extLst>
        </xdr:cNvPr>
        <xdr:cNvSpPr txBox="1"/>
      </xdr:nvSpPr>
      <xdr:spPr>
        <a:xfrm>
          <a:off x="9885269" y="3899646"/>
          <a:ext cx="1148043" cy="27566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Single Beam 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419100</xdr:colOff>
      <xdr:row>2</xdr:row>
      <xdr:rowOff>142875</xdr:rowOff>
    </xdr:from>
    <xdr:to>
      <xdr:col>19</xdr:col>
      <xdr:colOff>495300</xdr:colOff>
      <xdr:row>18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E3CB84-19EC-4D0C-8682-BAEC5CD908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5"/>
  <sheetViews>
    <sheetView tabSelected="1" zoomScale="80" zoomScaleNormal="80" workbookViewId="0">
      <selection activeCell="E12" sqref="E12"/>
    </sheetView>
  </sheetViews>
  <sheetFormatPr defaultRowHeight="14.6"/>
  <cols>
    <col min="1" max="1" width="12" bestFit="1" customWidth="1"/>
    <col min="2" max="2" width="18.15234375" customWidth="1"/>
    <col min="16" max="16" width="13.3046875" customWidth="1"/>
    <col min="17" max="17" width="12.69140625" customWidth="1"/>
  </cols>
  <sheetData>
    <row r="1" spans="1:15">
      <c r="A1" t="s">
        <v>199</v>
      </c>
    </row>
    <row r="2" spans="1:15">
      <c r="A2" t="s">
        <v>200</v>
      </c>
    </row>
    <row r="3" spans="1:15">
      <c r="H3" s="17" t="s">
        <v>166</v>
      </c>
      <c r="I3" s="11" t="s">
        <v>168</v>
      </c>
    </row>
    <row r="4" spans="1:15">
      <c r="D4" t="s">
        <v>150</v>
      </c>
      <c r="E4" t="s">
        <v>151</v>
      </c>
    </row>
    <row r="5" spans="1:15">
      <c r="A5" s="2">
        <v>1.45</v>
      </c>
      <c r="B5" t="s">
        <v>5</v>
      </c>
      <c r="D5">
        <v>1.45</v>
      </c>
      <c r="E5">
        <v>0.97</v>
      </c>
      <c r="H5" s="3" t="s">
        <v>6</v>
      </c>
    </row>
    <row r="6" spans="1:15">
      <c r="A6" s="2">
        <v>0.3</v>
      </c>
      <c r="B6" t="s">
        <v>37</v>
      </c>
      <c r="H6">
        <v>25</v>
      </c>
      <c r="I6" t="s">
        <v>137</v>
      </c>
    </row>
    <row r="7" spans="1:15">
      <c r="A7" s="2">
        <v>0.4</v>
      </c>
      <c r="B7" t="s">
        <v>36</v>
      </c>
      <c r="H7">
        <f>H6/2.20462</f>
        <v>11.339822735890994</v>
      </c>
      <c r="I7" t="s">
        <v>25</v>
      </c>
    </row>
    <row r="8" spans="1:15">
      <c r="H8">
        <v>3.0009999999999999</v>
      </c>
      <c r="I8" t="s">
        <v>128</v>
      </c>
    </row>
    <row r="9" spans="1:15">
      <c r="H9" s="18">
        <f>LOOKUP(H3,N35:N37,Q35:Q37)</f>
        <v>4</v>
      </c>
      <c r="I9" t="s">
        <v>129</v>
      </c>
    </row>
    <row r="10" spans="1:15">
      <c r="H10">
        <f>H8*H9</f>
        <v>12.004</v>
      </c>
      <c r="I10" t="s">
        <v>130</v>
      </c>
      <c r="N10" s="3" t="s">
        <v>40</v>
      </c>
    </row>
    <row r="11" spans="1:15">
      <c r="A11">
        <f>A12*2.54</f>
        <v>30.48</v>
      </c>
      <c r="B11" t="s">
        <v>0</v>
      </c>
      <c r="H11">
        <f>H10/H7</f>
        <v>1.0585703391999999</v>
      </c>
      <c r="I11" t="s">
        <v>131</v>
      </c>
      <c r="N11" s="3" t="s">
        <v>6</v>
      </c>
    </row>
    <row r="12" spans="1:15">
      <c r="A12" s="9">
        <v>12</v>
      </c>
      <c r="B12" t="s">
        <v>43</v>
      </c>
      <c r="H12">
        <f>1/H11*1000</f>
        <v>944.67033787829007</v>
      </c>
      <c r="I12" t="s">
        <v>133</v>
      </c>
      <c r="N12">
        <v>300</v>
      </c>
      <c r="O12" t="s">
        <v>7</v>
      </c>
    </row>
    <row r="13" spans="1:15">
      <c r="A13">
        <f>A11/2</f>
        <v>15.24</v>
      </c>
      <c r="B13" t="s">
        <v>1</v>
      </c>
      <c r="H13" s="18">
        <f>LOOKUP(H3,N35:N37,P35:P37)</f>
        <v>0.15</v>
      </c>
      <c r="I13" t="s">
        <v>132</v>
      </c>
      <c r="N13">
        <v>0.03</v>
      </c>
      <c r="O13" t="s">
        <v>8</v>
      </c>
    </row>
    <row r="14" spans="1:15">
      <c r="A14">
        <f>A15*2.54</f>
        <v>91.44</v>
      </c>
      <c r="B14" t="s">
        <v>2</v>
      </c>
      <c r="H14">
        <f>H12/1000</f>
        <v>0.94467033787829002</v>
      </c>
      <c r="I14" t="s">
        <v>134</v>
      </c>
      <c r="N14">
        <f>N12*N13/100</f>
        <v>0.09</v>
      </c>
      <c r="O14" t="s">
        <v>9</v>
      </c>
    </row>
    <row r="15" spans="1:15">
      <c r="A15" s="2">
        <v>36</v>
      </c>
      <c r="B15" t="s">
        <v>119</v>
      </c>
      <c r="H15">
        <f>H14*H13</f>
        <v>0.1417005506817435</v>
      </c>
      <c r="I15" t="s">
        <v>135</v>
      </c>
    </row>
    <row r="16" spans="1:15">
      <c r="A16" s="4">
        <f>A13^2*PI()</f>
        <v>729.65876990039669</v>
      </c>
      <c r="B16" t="s">
        <v>3</v>
      </c>
    </row>
    <row r="17" spans="1:15">
      <c r="A17" s="4">
        <f>A16*A14</f>
        <v>66719.997919692265</v>
      </c>
      <c r="B17" t="s">
        <v>4</v>
      </c>
      <c r="D17" t="s">
        <v>50</v>
      </c>
      <c r="E17">
        <f>2.61/0.6</f>
        <v>4.3499999999999996</v>
      </c>
      <c r="F17" t="s">
        <v>51</v>
      </c>
      <c r="N17">
        <f>N12/2.20462</f>
        <v>136.07787283069192</v>
      </c>
      <c r="O17" t="s">
        <v>25</v>
      </c>
    </row>
    <row r="18" spans="1:15">
      <c r="A18" s="4">
        <f>A17*A5</f>
        <v>96743.996983553778</v>
      </c>
      <c r="B18" t="s">
        <v>38</v>
      </c>
      <c r="N18">
        <v>0.03</v>
      </c>
      <c r="O18" t="s">
        <v>26</v>
      </c>
    </row>
    <row r="19" spans="1:15">
      <c r="A19" s="4">
        <f>A18/1000</f>
        <v>96.743996983553771</v>
      </c>
      <c r="B19" t="s">
        <v>39</v>
      </c>
      <c r="D19">
        <f>A19*2.20462</f>
        <v>213.28375062988229</v>
      </c>
      <c r="N19">
        <f>N18/100*N17</f>
        <v>4.0823361849207575E-2</v>
      </c>
      <c r="O19" t="s">
        <v>27</v>
      </c>
    </row>
    <row r="20" spans="1:15">
      <c r="A20" s="2">
        <v>20</v>
      </c>
      <c r="B20" t="s">
        <v>32</v>
      </c>
      <c r="N20">
        <f>N19*1000</f>
        <v>40.823361849207572</v>
      </c>
      <c r="O20" t="s">
        <v>28</v>
      </c>
    </row>
    <row r="21" spans="1:15">
      <c r="A21" s="4">
        <f>(A17*A6*A7*A26)/1000</f>
        <v>8.0063997503630713</v>
      </c>
      <c r="B21" t="s">
        <v>33</v>
      </c>
      <c r="D21">
        <f>A21*2.20462</f>
        <v>17.651069017645433</v>
      </c>
      <c r="E21" t="s">
        <v>45</v>
      </c>
    </row>
    <row r="22" spans="1:15">
      <c r="A22" s="4">
        <f>A19+A20+A21</f>
        <v>124.75039673391684</v>
      </c>
      <c r="B22" t="s">
        <v>31</v>
      </c>
      <c r="D22">
        <f>A22*2.20462</f>
        <v>275.02721964752772</v>
      </c>
      <c r="H22" s="3" t="s">
        <v>141</v>
      </c>
    </row>
    <row r="23" spans="1:15">
      <c r="A23" s="4">
        <f>A22*2.20462</f>
        <v>275.02721964752772</v>
      </c>
      <c r="B23" t="s">
        <v>41</v>
      </c>
      <c r="H23">
        <v>1</v>
      </c>
      <c r="I23" t="s">
        <v>142</v>
      </c>
    </row>
    <row r="25" spans="1:15">
      <c r="B25" s="1" t="s">
        <v>35</v>
      </c>
      <c r="H25">
        <v>1</v>
      </c>
      <c r="I25" t="s">
        <v>10</v>
      </c>
      <c r="N25">
        <v>1</v>
      </c>
      <c r="O25" t="s">
        <v>10</v>
      </c>
    </row>
    <row r="26" spans="1:15">
      <c r="A26" s="2">
        <v>1</v>
      </c>
      <c r="B26" t="s">
        <v>10</v>
      </c>
      <c r="H26">
        <f>H23/H25</f>
        <v>1</v>
      </c>
      <c r="I26" t="s">
        <v>34</v>
      </c>
      <c r="N26">
        <f>N20/N25</f>
        <v>40.823361849207572</v>
      </c>
      <c r="O26" t="s">
        <v>34</v>
      </c>
    </row>
    <row r="27" spans="1:15">
      <c r="A27" s="2">
        <v>0.01</v>
      </c>
      <c r="B27" t="s">
        <v>11</v>
      </c>
      <c r="D27" s="6">
        <v>0.01</v>
      </c>
      <c r="H27">
        <f>H26/A16</f>
        <v>1.3705036398541563E-3</v>
      </c>
      <c r="I27" t="s">
        <v>29</v>
      </c>
      <c r="N27">
        <f>N26/A16</f>
        <v>5.5948566005422279E-2</v>
      </c>
      <c r="O27" t="s">
        <v>29</v>
      </c>
    </row>
    <row r="28" spans="1:15">
      <c r="A28">
        <f>A27/10</f>
        <v>1E-3</v>
      </c>
      <c r="B28" t="s">
        <v>12</v>
      </c>
      <c r="H28">
        <f>H27*10</f>
        <v>1.3705036398541563E-2</v>
      </c>
      <c r="I28" t="s">
        <v>30</v>
      </c>
      <c r="N28">
        <f>N27*10</f>
        <v>0.55948566005422284</v>
      </c>
      <c r="O28" t="s">
        <v>30</v>
      </c>
    </row>
    <row r="29" spans="1:15">
      <c r="A29" s="4">
        <f>A16</f>
        <v>729.65876990039669</v>
      </c>
      <c r="B29" t="s">
        <v>3</v>
      </c>
    </row>
    <row r="30" spans="1:15">
      <c r="A30" s="4">
        <f>A29*A28</f>
        <v>0.72965876990039669</v>
      </c>
      <c r="B30" t="s">
        <v>13</v>
      </c>
    </row>
    <row r="31" spans="1:15">
      <c r="A31" s="4">
        <f>A30*A26</f>
        <v>0.72965876990039669</v>
      </c>
      <c r="B31" t="s">
        <v>14</v>
      </c>
      <c r="H31">
        <v>3</v>
      </c>
      <c r="I31" t="s">
        <v>52</v>
      </c>
    </row>
    <row r="32" spans="1:15">
      <c r="H32">
        <f>H31/A16</f>
        <v>4.1115109195624692E-3</v>
      </c>
      <c r="I32" t="s">
        <v>53</v>
      </c>
    </row>
    <row r="33" spans="1:17">
      <c r="H33">
        <f>H32*10</f>
        <v>4.1115109195624694E-2</v>
      </c>
      <c r="I33" t="s">
        <v>54</v>
      </c>
    </row>
    <row r="34" spans="1:17">
      <c r="B34" s="1" t="s">
        <v>15</v>
      </c>
      <c r="N34" s="19" t="s">
        <v>161</v>
      </c>
      <c r="O34" t="s">
        <v>163</v>
      </c>
      <c r="P34" s="18" t="s">
        <v>164</v>
      </c>
      <c r="Q34" s="18" t="s">
        <v>165</v>
      </c>
    </row>
    <row r="35" spans="1:17">
      <c r="A35" s="4">
        <f>A22</f>
        <v>124.75039673391684</v>
      </c>
      <c r="B35" t="s">
        <v>31</v>
      </c>
      <c r="D35" s="4"/>
      <c r="N35" t="s">
        <v>162</v>
      </c>
      <c r="O35">
        <v>2.5</v>
      </c>
      <c r="P35">
        <v>0.33</v>
      </c>
      <c r="Q35">
        <v>2.5</v>
      </c>
    </row>
    <row r="36" spans="1:17">
      <c r="A36" s="16">
        <f>'Design as torque'!B15</f>
        <v>4.0415269438378552</v>
      </c>
      <c r="B36" t="s">
        <v>16</v>
      </c>
      <c r="H36">
        <f>A36*H15</f>
        <v>0.57268659353692797</v>
      </c>
      <c r="I36" s="11" t="s">
        <v>136</v>
      </c>
      <c r="N36" t="s">
        <v>166</v>
      </c>
      <c r="O36">
        <v>200</v>
      </c>
      <c r="P36">
        <v>0.15</v>
      </c>
      <c r="Q36">
        <v>4</v>
      </c>
    </row>
    <row r="37" spans="1:17">
      <c r="A37" s="4">
        <f>A35/A36</f>
        <v>30.867144638024662</v>
      </c>
      <c r="B37" t="s">
        <v>139</v>
      </c>
      <c r="D37" s="4"/>
      <c r="N37" t="s">
        <v>167</v>
      </c>
      <c r="O37">
        <v>20</v>
      </c>
      <c r="P37">
        <v>0.33</v>
      </c>
      <c r="Q37">
        <v>5</v>
      </c>
    </row>
    <row r="38" spans="1:17">
      <c r="A38" s="4">
        <f>A37*2.20462</f>
        <v>68.050324411881931</v>
      </c>
      <c r="B38" t="s">
        <v>138</v>
      </c>
      <c r="D38" s="4"/>
    </row>
    <row r="39" spans="1:17" ht="29.5" customHeight="1">
      <c r="A39" s="4">
        <f>(A22-A21)/A36*2.20462</f>
        <v>63.682898618876102</v>
      </c>
      <c r="B39" s="10" t="s">
        <v>140</v>
      </c>
      <c r="C39" s="10" t="s">
        <v>147</v>
      </c>
      <c r="D39" s="15" t="s">
        <v>148</v>
      </c>
      <c r="E39" s="10" t="s">
        <v>149</v>
      </c>
      <c r="H39" s="23" t="s">
        <v>175</v>
      </c>
      <c r="I39" s="23"/>
      <c r="J39" s="23"/>
    </row>
    <row r="40" spans="1:17">
      <c r="C40">
        <f>'Counter Wt.'!B6</f>
        <v>3</v>
      </c>
      <c r="D40">
        <f>'Counter Wt.'!B7</f>
        <v>22</v>
      </c>
      <c r="E40" s="22">
        <f>'Counter Wt.'!B9</f>
        <v>45.408000000000001</v>
      </c>
      <c r="F40" t="s">
        <v>189</v>
      </c>
      <c r="H40">
        <f>H6*A36</f>
        <v>101.03817359594638</v>
      </c>
      <c r="I40" t="s">
        <v>45</v>
      </c>
      <c r="J40">
        <f>H41*1000/A16*10</f>
        <v>629.42356671572998</v>
      </c>
      <c r="K40" t="s">
        <v>177</v>
      </c>
    </row>
    <row r="41" spans="1:17">
      <c r="C41">
        <f>'Counter Wt.'!B12</f>
        <v>3</v>
      </c>
      <c r="D41">
        <f>'Counter Wt.'!B13</f>
        <v>22</v>
      </c>
      <c r="E41" s="21">
        <f>'Counter Wt.'!B15</f>
        <v>62.275485104937395</v>
      </c>
      <c r="F41" t="s">
        <v>190</v>
      </c>
      <c r="H41">
        <f>H40/2.2</f>
        <v>45.926442543611984</v>
      </c>
      <c r="I41" t="s">
        <v>176</v>
      </c>
      <c r="J41">
        <f>J40/25.4/12</f>
        <v>2.0650379485424213</v>
      </c>
      <c r="K41" t="s">
        <v>178</v>
      </c>
    </row>
    <row r="42" spans="1:17">
      <c r="C42">
        <f>'Counter Wt.'!B28</f>
        <v>3</v>
      </c>
      <c r="D42">
        <f>'Counter Wt.'!B29</f>
        <v>22</v>
      </c>
      <c r="E42" s="4">
        <f>'Counter Wt.'!B32</f>
        <v>36.326400000000007</v>
      </c>
      <c r="F42" t="s">
        <v>191</v>
      </c>
    </row>
    <row r="43" spans="1:17">
      <c r="E43" s="4">
        <f>'Counter Wt.'!B20</f>
        <v>7.2800000000000011</v>
      </c>
      <c r="F43" t="s">
        <v>196</v>
      </c>
    </row>
    <row r="44" spans="1:17">
      <c r="E44" s="4">
        <f>'Counter Wt.'!B25</f>
        <v>15.833626974092558</v>
      </c>
      <c r="F44" t="s">
        <v>197</v>
      </c>
    </row>
    <row r="45" spans="1:17">
      <c r="E45" s="20">
        <f>E42+E43*0.75+E44*0.75</f>
        <v>53.661620230569426</v>
      </c>
      <c r="F45" t="s">
        <v>198</v>
      </c>
    </row>
  </sheetData>
  <mergeCells count="1">
    <mergeCell ref="H39:J3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22B2D-7DA0-48E0-9C83-973F4955A0E0}">
  <dimension ref="A1:L31"/>
  <sheetViews>
    <sheetView zoomScale="85" zoomScaleNormal="85" workbookViewId="0">
      <selection activeCell="E10" sqref="E10"/>
    </sheetView>
  </sheetViews>
  <sheetFormatPr defaultRowHeight="14.6"/>
  <cols>
    <col min="1" max="1" width="11.3046875" customWidth="1"/>
    <col min="3" max="3" width="24.69140625" bestFit="1" customWidth="1"/>
    <col min="9" max="9" width="10.53515625" customWidth="1"/>
    <col min="10" max="10" width="9.53515625" customWidth="1"/>
    <col min="11" max="11" width="15" customWidth="1"/>
    <col min="12" max="12" width="10.15234375" customWidth="1"/>
  </cols>
  <sheetData>
    <row r="1" spans="1:12">
      <c r="A1" t="s">
        <v>145</v>
      </c>
    </row>
    <row r="4" spans="1:12">
      <c r="A4" s="24" t="s">
        <v>146</v>
      </c>
      <c r="B4" s="24"/>
      <c r="C4" s="24"/>
      <c r="I4" s="24" t="s">
        <v>144</v>
      </c>
      <c r="J4" s="24"/>
      <c r="K4" s="24"/>
      <c r="L4" s="24"/>
    </row>
    <row r="5" spans="1:12">
      <c r="D5" t="s">
        <v>45</v>
      </c>
      <c r="J5">
        <f>J7/9.81</f>
        <v>31.198210611486154</v>
      </c>
      <c r="K5" t="s">
        <v>103</v>
      </c>
      <c r="L5" s="13"/>
    </row>
    <row r="6" spans="1:12">
      <c r="A6" t="s">
        <v>17</v>
      </c>
      <c r="B6" s="4">
        <f>Requirements!A22</f>
        <v>124.75039673391684</v>
      </c>
      <c r="C6" t="s">
        <v>48</v>
      </c>
      <c r="I6" t="s">
        <v>17</v>
      </c>
      <c r="J6" s="4">
        <f>B$6*9.81 * -1</f>
        <v>-1223.8013919597242</v>
      </c>
      <c r="K6" t="s">
        <v>70</v>
      </c>
      <c r="L6" s="12">
        <f>J6</f>
        <v>-1223.8013919597242</v>
      </c>
    </row>
    <row r="7" spans="1:12">
      <c r="A7" t="s">
        <v>18</v>
      </c>
      <c r="B7">
        <f>B11/B9</f>
        <v>30.867144638024662</v>
      </c>
      <c r="C7" t="s">
        <v>44</v>
      </c>
      <c r="D7" s="4">
        <f>B7*2.20462</f>
        <v>68.050324411881931</v>
      </c>
      <c r="F7" t="s">
        <v>173</v>
      </c>
      <c r="G7" t="s">
        <v>174</v>
      </c>
      <c r="I7" t="s">
        <v>18</v>
      </c>
      <c r="J7" s="4">
        <f>J11/J9*-1</f>
        <v>306.05444609867919</v>
      </c>
      <c r="K7" t="s">
        <v>70</v>
      </c>
      <c r="L7" s="12">
        <f>L11/L9*-1</f>
        <v>306.05444609867919</v>
      </c>
    </row>
    <row r="8" spans="1:12">
      <c r="A8" t="s">
        <v>20</v>
      </c>
      <c r="B8" s="2">
        <v>1.75</v>
      </c>
      <c r="C8" t="s">
        <v>46</v>
      </c>
      <c r="E8">
        <v>1.75</v>
      </c>
      <c r="F8">
        <v>0.5</v>
      </c>
      <c r="G8">
        <v>1.75</v>
      </c>
      <c r="I8" t="s">
        <v>20</v>
      </c>
      <c r="J8">
        <f>B8*2.54/100</f>
        <v>4.4450000000000003E-2</v>
      </c>
      <c r="K8" t="s">
        <v>71</v>
      </c>
      <c r="L8" s="13">
        <f>B8*2.54/100</f>
        <v>4.4450000000000003E-2</v>
      </c>
    </row>
    <row r="9" spans="1:12">
      <c r="A9" t="s">
        <v>19</v>
      </c>
      <c r="B9" s="2">
        <v>7</v>
      </c>
      <c r="C9" t="s">
        <v>49</v>
      </c>
      <c r="E9">
        <v>7</v>
      </c>
      <c r="F9">
        <v>8.75</v>
      </c>
      <c r="G9">
        <v>7.5</v>
      </c>
      <c r="I9" t="s">
        <v>19</v>
      </c>
      <c r="J9">
        <f>B9*2.54/100</f>
        <v>0.17780000000000001</v>
      </c>
      <c r="K9" t="s">
        <v>71</v>
      </c>
      <c r="L9" s="13">
        <f>B9*2.54/100</f>
        <v>0.17780000000000001</v>
      </c>
    </row>
    <row r="10" spans="1:12">
      <c r="A10" t="s">
        <v>21</v>
      </c>
      <c r="B10">
        <f>B6*B8</f>
        <v>218.31319428435447</v>
      </c>
      <c r="C10" t="s">
        <v>47</v>
      </c>
      <c r="I10" s="14" t="s">
        <v>73</v>
      </c>
      <c r="J10" s="4">
        <f>J6*J8</f>
        <v>-54.397971872609745</v>
      </c>
      <c r="K10" t="s">
        <v>72</v>
      </c>
      <c r="L10" s="12">
        <f>L6*L8</f>
        <v>-54.397971872609745</v>
      </c>
    </row>
    <row r="11" spans="1:12">
      <c r="A11" t="s">
        <v>22</v>
      </c>
      <c r="B11">
        <f>B10+B12</f>
        <v>216.07001246617264</v>
      </c>
      <c r="C11" t="s">
        <v>47</v>
      </c>
      <c r="I11" s="14" t="s">
        <v>74</v>
      </c>
      <c r="J11" s="4">
        <f>J10+J12+J13</f>
        <v>-54.416480516345167</v>
      </c>
      <c r="K11" t="s">
        <v>72</v>
      </c>
      <c r="L11" s="12">
        <f>L10+J12+J13</f>
        <v>-54.416480516345167</v>
      </c>
    </row>
    <row r="12" spans="1:12">
      <c r="A12" t="s">
        <v>143</v>
      </c>
      <c r="B12">
        <f>D12*-1</f>
        <v>-2.2431818181818177</v>
      </c>
      <c r="C12" t="s">
        <v>42</v>
      </c>
      <c r="D12">
        <f>B9/2*(1.44/2.2)*(12/12) - B8/2*(1.44/2.2)*1/12</f>
        <v>2.2431818181818177</v>
      </c>
      <c r="I12" s="7" t="s">
        <v>99</v>
      </c>
      <c r="J12" s="5">
        <f>D30</f>
        <v>1.2339095823615937E-3</v>
      </c>
      <c r="K12" t="s">
        <v>72</v>
      </c>
      <c r="L12" s="13"/>
    </row>
    <row r="13" spans="1:12">
      <c r="I13" s="7" t="s">
        <v>100</v>
      </c>
      <c r="J13" s="5">
        <f>D31</f>
        <v>-1.9742553317785499E-2</v>
      </c>
      <c r="K13" t="s">
        <v>72</v>
      </c>
      <c r="L13" s="13"/>
    </row>
    <row r="14" spans="1:12">
      <c r="L14" s="13"/>
    </row>
    <row r="15" spans="1:12">
      <c r="A15" t="s">
        <v>23</v>
      </c>
      <c r="B15">
        <f>B6/B7</f>
        <v>4.0415269438378552</v>
      </c>
      <c r="C15" t="s">
        <v>24</v>
      </c>
      <c r="J15" s="4">
        <f>(J6*-1)/J7</f>
        <v>3.998639482483263</v>
      </c>
      <c r="L15" s="12">
        <f>(L6*-1)/L7</f>
        <v>3.998639482483263</v>
      </c>
    </row>
    <row r="21" spans="1:5">
      <c r="A21" t="s">
        <v>101</v>
      </c>
    </row>
    <row r="22" spans="1:5">
      <c r="C22" t="s">
        <v>102</v>
      </c>
      <c r="D22">
        <f>4.6048/5</f>
        <v>0.92096</v>
      </c>
      <c r="E22" t="s">
        <v>76</v>
      </c>
    </row>
    <row r="23" spans="1:5">
      <c r="C23" t="s">
        <v>75</v>
      </c>
      <c r="D23">
        <f>D22/2.20462/3.281</f>
        <v>0.12732122093076706</v>
      </c>
      <c r="E23" t="s">
        <v>77</v>
      </c>
    </row>
    <row r="24" spans="1:5">
      <c r="A24" t="s">
        <v>81</v>
      </c>
      <c r="B24">
        <f>B8/2</f>
        <v>0.875</v>
      </c>
      <c r="C24" t="s">
        <v>78</v>
      </c>
      <c r="D24">
        <f>B24*2.54/100</f>
        <v>2.2225000000000002E-2</v>
      </c>
      <c r="E24" t="s">
        <v>80</v>
      </c>
    </row>
    <row r="25" spans="1:5">
      <c r="A25" t="s">
        <v>82</v>
      </c>
      <c r="B25">
        <f>B9/2</f>
        <v>3.5</v>
      </c>
      <c r="C25" t="s">
        <v>79</v>
      </c>
      <c r="D25">
        <f>B25*2.54/100</f>
        <v>8.8900000000000007E-2</v>
      </c>
      <c r="E25" t="s">
        <v>80</v>
      </c>
    </row>
    <row r="26" spans="1:5">
      <c r="A26" t="s">
        <v>97</v>
      </c>
      <c r="C26" t="s">
        <v>85</v>
      </c>
      <c r="D26">
        <f>D23*D24*2</f>
        <v>5.659428270372596E-3</v>
      </c>
      <c r="E26" t="s">
        <v>88</v>
      </c>
    </row>
    <row r="27" spans="1:5">
      <c r="A27" t="s">
        <v>98</v>
      </c>
      <c r="C27" t="s">
        <v>86</v>
      </c>
      <c r="D27">
        <f>D23*D25*2</f>
        <v>2.2637713081490384E-2</v>
      </c>
      <c r="E27" t="s">
        <v>87</v>
      </c>
    </row>
    <row r="28" spans="1:5">
      <c r="A28" t="s">
        <v>83</v>
      </c>
      <c r="C28" t="s">
        <v>90</v>
      </c>
      <c r="D28">
        <f>D26*9.81</f>
        <v>5.5518991332355168E-2</v>
      </c>
      <c r="E28" t="s">
        <v>91</v>
      </c>
    </row>
    <row r="29" spans="1:5">
      <c r="A29" t="s">
        <v>84</v>
      </c>
      <c r="C29" t="s">
        <v>89</v>
      </c>
      <c r="D29">
        <f>D27*9.81</f>
        <v>0.22207596532942067</v>
      </c>
      <c r="E29" t="s">
        <v>91</v>
      </c>
    </row>
    <row r="30" spans="1:5">
      <c r="A30" t="s">
        <v>95</v>
      </c>
      <c r="C30" t="s">
        <v>92</v>
      </c>
      <c r="D30">
        <f>(D28*D24)</f>
        <v>1.2339095823615937E-3</v>
      </c>
      <c r="E30" t="s">
        <v>94</v>
      </c>
    </row>
    <row r="31" spans="1:5">
      <c r="A31" t="s">
        <v>96</v>
      </c>
      <c r="C31" t="s">
        <v>93</v>
      </c>
      <c r="D31">
        <f>D29*D25*-1</f>
        <v>-1.9742553317785499E-2</v>
      </c>
      <c r="E31" t="s">
        <v>94</v>
      </c>
    </row>
  </sheetData>
  <mergeCells count="2">
    <mergeCell ref="I4:L4"/>
    <mergeCell ref="A4:C4"/>
  </mergeCells>
  <pageMargins left="0.7" right="0.7" top="0.75" bottom="0.75" header="0.3" footer="0.3"/>
  <pageSetup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B6EE2-0E04-4223-B94B-CF6230099E2D}">
  <dimension ref="A4:I31"/>
  <sheetViews>
    <sheetView workbookViewId="0">
      <selection activeCell="R25" sqref="R25"/>
    </sheetView>
  </sheetViews>
  <sheetFormatPr defaultRowHeight="14.6"/>
  <sheetData>
    <row r="4" spans="1:9">
      <c r="A4" t="s">
        <v>55</v>
      </c>
    </row>
    <row r="5" spans="1:9">
      <c r="A5" s="2">
        <v>1</v>
      </c>
      <c r="B5" t="s">
        <v>56</v>
      </c>
    </row>
    <row r="6" spans="1:9">
      <c r="A6">
        <f>A5*2.54</f>
        <v>2.54</v>
      </c>
      <c r="B6" t="s">
        <v>57</v>
      </c>
    </row>
    <row r="7" spans="1:9">
      <c r="A7" s="4">
        <f>Requirements!A16</f>
        <v>729.65876990039669</v>
      </c>
      <c r="B7" t="s">
        <v>58</v>
      </c>
    </row>
    <row r="8" spans="1:9">
      <c r="A8">
        <f>A7*A6</f>
        <v>1853.3332755470076</v>
      </c>
      <c r="B8" t="s">
        <v>4</v>
      </c>
    </row>
    <row r="9" spans="1:9">
      <c r="A9">
        <f>A8/1000</f>
        <v>1.8533332755470076</v>
      </c>
      <c r="B9" t="s">
        <v>59</v>
      </c>
      <c r="I9" t="s">
        <v>68</v>
      </c>
    </row>
    <row r="10" spans="1:9">
      <c r="H10" t="s">
        <v>66</v>
      </c>
      <c r="I10" t="s">
        <v>67</v>
      </c>
    </row>
    <row r="11" spans="1:9">
      <c r="A11" s="2">
        <v>4</v>
      </c>
      <c r="B11" t="s">
        <v>65</v>
      </c>
      <c r="H11">
        <v>2</v>
      </c>
      <c r="I11">
        <v>2.0470000000000002</v>
      </c>
    </row>
    <row r="12" spans="1:9">
      <c r="A12">
        <f>LOOKUP(A11,H11:H15,I11:I15)</f>
        <v>3.9980000000000002</v>
      </c>
      <c r="B12" t="s">
        <v>60</v>
      </c>
      <c r="H12">
        <v>3</v>
      </c>
      <c r="I12">
        <v>3.0419999999999998</v>
      </c>
    </row>
    <row r="13" spans="1:9">
      <c r="A13" s="2">
        <v>24</v>
      </c>
      <c r="B13" t="s">
        <v>61</v>
      </c>
      <c r="H13">
        <v>4</v>
      </c>
      <c r="I13">
        <v>3.9980000000000002</v>
      </c>
    </row>
    <row r="14" spans="1:9">
      <c r="A14">
        <f>A12*2.54</f>
        <v>10.154920000000001</v>
      </c>
      <c r="B14" t="s">
        <v>62</v>
      </c>
      <c r="H14">
        <v>5</v>
      </c>
      <c r="I14">
        <v>5.016</v>
      </c>
    </row>
    <row r="15" spans="1:9">
      <c r="A15">
        <f>(A14/2)^2*PI()</f>
        <v>80.992143727243217</v>
      </c>
      <c r="B15" t="s">
        <v>63</v>
      </c>
      <c r="H15">
        <v>6</v>
      </c>
      <c r="I15">
        <v>6.0309999999999997</v>
      </c>
    </row>
    <row r="16" spans="1:9">
      <c r="A16">
        <f>A13*2.54*A15</f>
        <v>4937.2810816127467</v>
      </c>
      <c r="B16" t="s">
        <v>64</v>
      </c>
    </row>
    <row r="17" spans="1:2">
      <c r="A17" s="4">
        <f>A16/1000</f>
        <v>4.9372810816127464</v>
      </c>
      <c r="B17" t="s">
        <v>69</v>
      </c>
    </row>
    <row r="20" spans="1:2">
      <c r="A20" t="s">
        <v>112</v>
      </c>
    </row>
    <row r="21" spans="1:2">
      <c r="A21" s="2">
        <v>24</v>
      </c>
      <c r="B21" t="s">
        <v>105</v>
      </c>
    </row>
    <row r="22" spans="1:2">
      <c r="A22">
        <f>A21*2.54</f>
        <v>60.96</v>
      </c>
      <c r="B22" t="s">
        <v>104</v>
      </c>
    </row>
    <row r="23" spans="1:2">
      <c r="A23">
        <f>A15*A22</f>
        <v>4937.2810816127467</v>
      </c>
      <c r="B23" t="s">
        <v>64</v>
      </c>
    </row>
    <row r="24" spans="1:2">
      <c r="A24" s="4">
        <f>A23/1000</f>
        <v>4.9372810816127464</v>
      </c>
      <c r="B24" t="s">
        <v>69</v>
      </c>
    </row>
    <row r="27" spans="1:2">
      <c r="A27" t="s">
        <v>113</v>
      </c>
    </row>
    <row r="28" spans="1:2">
      <c r="A28" s="2">
        <v>18</v>
      </c>
      <c r="B28" t="s">
        <v>105</v>
      </c>
    </row>
    <row r="29" spans="1:2">
      <c r="A29">
        <f>A28*2.54</f>
        <v>45.72</v>
      </c>
      <c r="B29" t="s">
        <v>104</v>
      </c>
    </row>
    <row r="30" spans="1:2">
      <c r="A30">
        <f>79.075*A29+32.344</f>
        <v>3647.6530000000002</v>
      </c>
      <c r="B30" t="s">
        <v>114</v>
      </c>
    </row>
    <row r="31" spans="1:2">
      <c r="A31">
        <f>(A30/A7)*10</f>
        <v>49.991217134249332</v>
      </c>
      <c r="B31" t="s">
        <v>115</v>
      </c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2FC74-7BF4-401F-AA54-BFB6637C361B}">
  <dimension ref="A1:Q32"/>
  <sheetViews>
    <sheetView zoomScale="80" zoomScaleNormal="80" workbookViewId="0">
      <selection activeCell="A33" sqref="A33"/>
    </sheetView>
  </sheetViews>
  <sheetFormatPr defaultRowHeight="14.6"/>
  <sheetData>
    <row r="1" spans="1:17">
      <c r="J1" s="25" t="s">
        <v>169</v>
      </c>
      <c r="K1" s="25"/>
      <c r="L1" s="25"/>
    </row>
    <row r="2" spans="1:17">
      <c r="J2" t="s">
        <v>170</v>
      </c>
      <c r="K2" t="s">
        <v>171</v>
      </c>
      <c r="L2" t="s">
        <v>172</v>
      </c>
    </row>
    <row r="3" spans="1:17">
      <c r="J3">
        <v>8.0299999999999994</v>
      </c>
      <c r="K3">
        <v>11.324</v>
      </c>
      <c r="L3">
        <v>13.5</v>
      </c>
    </row>
    <row r="4" spans="1:17">
      <c r="J4" t="s">
        <v>152</v>
      </c>
      <c r="K4" t="s">
        <v>152</v>
      </c>
      <c r="L4" t="s">
        <v>152</v>
      </c>
    </row>
    <row r="5" spans="1:17" s="10" customFormat="1" ht="58.3">
      <c r="I5" s="10" t="s">
        <v>122</v>
      </c>
      <c r="J5" s="10" t="s">
        <v>123</v>
      </c>
      <c r="K5" s="10" t="s">
        <v>153</v>
      </c>
      <c r="L5" s="10" t="s">
        <v>156</v>
      </c>
      <c r="M5" s="10" t="s">
        <v>157</v>
      </c>
      <c r="N5" s="10" t="s">
        <v>158</v>
      </c>
      <c r="O5" s="10" t="s">
        <v>154</v>
      </c>
      <c r="P5" s="10" t="s">
        <v>155</v>
      </c>
      <c r="Q5" s="10" t="s">
        <v>159</v>
      </c>
    </row>
    <row r="6" spans="1:17">
      <c r="A6" t="s">
        <v>120</v>
      </c>
      <c r="B6">
        <v>3</v>
      </c>
      <c r="C6" t="s">
        <v>121</v>
      </c>
      <c r="I6">
        <v>0.25</v>
      </c>
      <c r="J6">
        <v>1.4E-2</v>
      </c>
      <c r="K6">
        <f>(L6*2.54)*K$3/1000*2.2+N6</f>
        <v>1.6309049676674348E-2</v>
      </c>
      <c r="L6">
        <f>((I6-0.1)*2.54/2)^2*PI()</f>
        <v>0.114009182796937</v>
      </c>
      <c r="M6">
        <f>(I6*2.54/2)^2*PI()</f>
        <v>0.31669217443593606</v>
      </c>
      <c r="N6">
        <f>(M6-L6)*2.54*J$3/1000*2.2</f>
        <v>9.0947182349481754E-3</v>
      </c>
      <c r="O6">
        <f>($I6*2.54/2)^2*PI()*2.54*J$3/1000*2.2</f>
        <v>1.4210497242106527E-2</v>
      </c>
      <c r="P6">
        <f>($I6*2.54/2)^2*PI()*2.54*K$3/1000*2.2</f>
        <v>2.0039809560350477E-2</v>
      </c>
      <c r="Q6">
        <f>(K6-J6)/K6*100</f>
        <v>14.15808843832767</v>
      </c>
    </row>
    <row r="7" spans="1:17">
      <c r="A7" t="s">
        <v>124</v>
      </c>
      <c r="B7">
        <v>22</v>
      </c>
      <c r="C7" t="s">
        <v>121</v>
      </c>
      <c r="I7">
        <v>1</v>
      </c>
      <c r="J7">
        <v>0.22900000000000001</v>
      </c>
      <c r="K7">
        <f t="shared" ref="K7:K18" si="0">(L7*2.54)*K$3/1000*2.2+N7</f>
        <v>0.30291584351814604</v>
      </c>
      <c r="L7">
        <f t="shared" ref="L7:L18" si="1">((I7-0.1)*2.54/2)^2*PI()</f>
        <v>4.1043305806897319</v>
      </c>
      <c r="M7">
        <f t="shared" ref="M7:M18" si="2">(I7*2.54/2)^2*PI()</f>
        <v>5.0670747909749769</v>
      </c>
      <c r="N7">
        <f t="shared" ref="N7:N18" si="3">(M7-L7)*2.54*J$3/1000*2.2</f>
        <v>4.3199911616003811E-2</v>
      </c>
      <c r="O7">
        <f t="shared" ref="O7:P18" si="4">($I7*2.54/2)^2*PI()*2.54*J$3/1000*2.2</f>
        <v>0.22736795587370442</v>
      </c>
      <c r="P7">
        <f t="shared" si="4"/>
        <v>0.32063695296560762</v>
      </c>
      <c r="Q7">
        <f t="shared" ref="Q7:Q18" si="5">(K7-J7)/K7*100</f>
        <v>24.401445186777803</v>
      </c>
    </row>
    <row r="8" spans="1:17">
      <c r="A8" t="s">
        <v>125</v>
      </c>
      <c r="B8">
        <f>LOOKUP(B6,I7:I18,J7:J18)</f>
        <v>2.0640000000000001</v>
      </c>
      <c r="C8" t="s">
        <v>126</v>
      </c>
      <c r="I8">
        <v>1.25</v>
      </c>
      <c r="J8">
        <v>0.35799999999999998</v>
      </c>
      <c r="K8">
        <f t="shared" si="0"/>
        <v>0.47861067970670512</v>
      </c>
      <c r="L8">
        <f t="shared" si="1"/>
        <v>6.7012064110644065</v>
      </c>
      <c r="M8">
        <f t="shared" si="2"/>
        <v>7.9173043608984015</v>
      </c>
      <c r="N8">
        <f t="shared" si="3"/>
        <v>5.4568309409689084E-2</v>
      </c>
      <c r="O8">
        <f t="shared" si="4"/>
        <v>0.35526243105266309</v>
      </c>
      <c r="P8">
        <f t="shared" si="4"/>
        <v>0.50099523900876186</v>
      </c>
      <c r="Q8">
        <f t="shared" si="5"/>
        <v>25.200164731095416</v>
      </c>
    </row>
    <row r="9" spans="1:17">
      <c r="A9" t="s">
        <v>125</v>
      </c>
      <c r="B9">
        <f>B8*B7</f>
        <v>45.408000000000001</v>
      </c>
      <c r="C9" t="s">
        <v>127</v>
      </c>
      <c r="I9">
        <v>1.5</v>
      </c>
      <c r="J9">
        <v>0.51600000000000001</v>
      </c>
      <c r="K9">
        <f t="shared" si="0"/>
        <v>0.6943851350159651</v>
      </c>
      <c r="L9">
        <f t="shared" si="1"/>
        <v>9.9314665903109542</v>
      </c>
      <c r="M9">
        <f t="shared" si="2"/>
        <v>11.400918279693698</v>
      </c>
      <c r="N9">
        <f t="shared" si="3"/>
        <v>6.5936707203374315E-2</v>
      </c>
      <c r="O9">
        <f t="shared" si="4"/>
        <v>0.51157790071583498</v>
      </c>
      <c r="P9">
        <f t="shared" si="4"/>
        <v>0.72143314417261706</v>
      </c>
      <c r="Q9">
        <f t="shared" si="5"/>
        <v>25.689653481977793</v>
      </c>
    </row>
    <row r="10" spans="1:17">
      <c r="I10">
        <v>1.75</v>
      </c>
      <c r="J10">
        <v>0.70199999999999996</v>
      </c>
      <c r="K10">
        <f t="shared" si="0"/>
        <v>0.95023920944592644</v>
      </c>
      <c r="L10">
        <f t="shared" si="1"/>
        <v>13.795111118429373</v>
      </c>
      <c r="M10">
        <f t="shared" si="2"/>
        <v>15.517916547360871</v>
      </c>
      <c r="N10">
        <f t="shared" si="3"/>
        <v>7.7305104997059768E-2</v>
      </c>
      <c r="O10">
        <f t="shared" si="4"/>
        <v>0.69631436486321996</v>
      </c>
      <c r="P10">
        <f t="shared" si="4"/>
        <v>0.98195066845717349</v>
      </c>
      <c r="Q10">
        <f t="shared" si="5"/>
        <v>26.123865125568951</v>
      </c>
    </row>
    <row r="11" spans="1:17">
      <c r="A11" t="s">
        <v>160</v>
      </c>
      <c r="I11">
        <v>2</v>
      </c>
      <c r="J11">
        <v>0.91700000000000004</v>
      </c>
      <c r="K11">
        <f t="shared" si="0"/>
        <v>1.2461729029965882</v>
      </c>
      <c r="L11">
        <f t="shared" si="1"/>
        <v>18.292139995419664</v>
      </c>
      <c r="M11">
        <f t="shared" si="2"/>
        <v>20.268299163899908</v>
      </c>
      <c r="N11">
        <f t="shared" si="3"/>
        <v>8.867350279074486E-2</v>
      </c>
      <c r="O11">
        <f t="shared" si="4"/>
        <v>0.9094718234948177</v>
      </c>
      <c r="P11">
        <f t="shared" si="4"/>
        <v>1.2825478118624305</v>
      </c>
      <c r="Q11">
        <f t="shared" si="5"/>
        <v>26.41470555209861</v>
      </c>
    </row>
    <row r="12" spans="1:17">
      <c r="A12" t="s">
        <v>120</v>
      </c>
      <c r="B12">
        <v>3</v>
      </c>
      <c r="C12" t="s">
        <v>121</v>
      </c>
      <c r="I12">
        <v>2.25</v>
      </c>
      <c r="J12">
        <v>1.161</v>
      </c>
      <c r="K12">
        <f t="shared" si="0"/>
        <v>1.5821862156679509</v>
      </c>
      <c r="L12">
        <f t="shared" si="1"/>
        <v>23.422553221281827</v>
      </c>
      <c r="M12">
        <f t="shared" si="2"/>
        <v>25.652066129310825</v>
      </c>
      <c r="N12">
        <f t="shared" si="3"/>
        <v>0.10004190058443027</v>
      </c>
      <c r="O12">
        <f t="shared" si="4"/>
        <v>1.1510502766106288</v>
      </c>
      <c r="P12">
        <f t="shared" si="4"/>
        <v>1.6232245743883889</v>
      </c>
      <c r="Q12">
        <f t="shared" si="5"/>
        <v>26.620521117998674</v>
      </c>
    </row>
    <row r="13" spans="1:17">
      <c r="A13" t="s">
        <v>124</v>
      </c>
      <c r="B13">
        <v>22</v>
      </c>
      <c r="C13" t="s">
        <v>121</v>
      </c>
      <c r="I13">
        <v>2.5</v>
      </c>
      <c r="J13">
        <v>1.4330000000000001</v>
      </c>
      <c r="K13">
        <f t="shared" si="0"/>
        <v>1.9582791474600152</v>
      </c>
      <c r="L13">
        <f t="shared" si="1"/>
        <v>29.186350796015873</v>
      </c>
      <c r="M13">
        <f t="shared" si="2"/>
        <v>31.669217443593606</v>
      </c>
      <c r="N13">
        <f t="shared" si="3"/>
        <v>0.11141029837811492</v>
      </c>
      <c r="O13">
        <f t="shared" si="4"/>
        <v>1.4210497242106523</v>
      </c>
      <c r="P13">
        <f t="shared" si="4"/>
        <v>2.0039809560350474</v>
      </c>
      <c r="Q13">
        <f t="shared" si="5"/>
        <v>26.823507166551213</v>
      </c>
    </row>
    <row r="14" spans="1:17">
      <c r="A14" t="s">
        <v>125</v>
      </c>
      <c r="B14">
        <f>LOOKUP(B12,I6:I18,K6:K18)</f>
        <v>2.8307038684062453</v>
      </c>
      <c r="C14" t="s">
        <v>126</v>
      </c>
      <c r="I14">
        <v>2.75</v>
      </c>
      <c r="J14">
        <v>1.734</v>
      </c>
      <c r="K14">
        <f t="shared" si="0"/>
        <v>2.3744516983727801</v>
      </c>
      <c r="L14">
        <f t="shared" si="1"/>
        <v>35.583532719621772</v>
      </c>
      <c r="M14">
        <f t="shared" si="2"/>
        <v>38.319753106748273</v>
      </c>
      <c r="N14">
        <f t="shared" si="3"/>
        <v>0.122778696171801</v>
      </c>
      <c r="O14">
        <f t="shared" si="4"/>
        <v>1.7194701662948901</v>
      </c>
      <c r="P14">
        <f t="shared" si="4"/>
        <v>2.4248169568024078</v>
      </c>
      <c r="Q14">
        <f t="shared" si="5"/>
        <v>26.972614301300968</v>
      </c>
    </row>
    <row r="15" spans="1:17">
      <c r="A15" t="s">
        <v>125</v>
      </c>
      <c r="B15">
        <f>B14*B13</f>
        <v>62.275485104937395</v>
      </c>
      <c r="C15" t="s">
        <v>127</v>
      </c>
      <c r="I15">
        <v>3</v>
      </c>
      <c r="J15">
        <v>2.0640000000000001</v>
      </c>
      <c r="K15">
        <f t="shared" si="0"/>
        <v>2.8307038684062453</v>
      </c>
      <c r="L15">
        <f t="shared" si="1"/>
        <v>42.614098992099557</v>
      </c>
      <c r="M15">
        <f t="shared" si="2"/>
        <v>45.603673118774793</v>
      </c>
      <c r="N15">
        <f t="shared" si="3"/>
        <v>0.13414709396548563</v>
      </c>
      <c r="O15">
        <f t="shared" si="4"/>
        <v>2.0463116028633399</v>
      </c>
      <c r="P15">
        <f t="shared" si="4"/>
        <v>2.8857325766904682</v>
      </c>
      <c r="Q15">
        <f t="shared" si="5"/>
        <v>27.085272923229446</v>
      </c>
    </row>
    <row r="16" spans="1:17">
      <c r="I16">
        <v>4</v>
      </c>
      <c r="J16">
        <v>3.669</v>
      </c>
      <c r="K16">
        <f t="shared" si="0"/>
        <v>5.0565087397471178</v>
      </c>
      <c r="L16">
        <f t="shared" si="1"/>
        <v>77.070207570729409</v>
      </c>
      <c r="M16">
        <f t="shared" si="2"/>
        <v>81.073196655599631</v>
      </c>
      <c r="N16">
        <f t="shared" si="3"/>
        <v>0.17962068514022608</v>
      </c>
      <c r="O16">
        <f t="shared" si="4"/>
        <v>3.6378872939792708</v>
      </c>
      <c r="P16">
        <f t="shared" si="4"/>
        <v>5.130191247449722</v>
      </c>
      <c r="Q16">
        <f t="shared" si="5"/>
        <v>27.440054218446953</v>
      </c>
    </row>
    <row r="17" spans="1:17">
      <c r="A17" t="s">
        <v>179</v>
      </c>
      <c r="I17">
        <v>5</v>
      </c>
      <c r="J17">
        <v>5.7329999999999997</v>
      </c>
      <c r="K17">
        <f t="shared" si="0"/>
        <v>7.9235875170192074</v>
      </c>
      <c r="L17">
        <f t="shared" si="1"/>
        <v>121.66046573130923</v>
      </c>
      <c r="M17">
        <f t="shared" si="2"/>
        <v>126.67686977437442</v>
      </c>
      <c r="N17">
        <f t="shared" si="3"/>
        <v>0.22509427631496584</v>
      </c>
      <c r="O17">
        <f t="shared" si="4"/>
        <v>5.6841988968426094</v>
      </c>
      <c r="P17">
        <f t="shared" si="4"/>
        <v>8.0159238241401898</v>
      </c>
      <c r="Q17">
        <f t="shared" si="5"/>
        <v>27.646410319997194</v>
      </c>
    </row>
    <row r="18" spans="1:17">
      <c r="A18" t="s">
        <v>180</v>
      </c>
      <c r="B18">
        <f>2*2*6.5</f>
        <v>26</v>
      </c>
      <c r="C18" t="s">
        <v>181</v>
      </c>
      <c r="I18">
        <v>6</v>
      </c>
      <c r="J18">
        <v>8.2560000000000002</v>
      </c>
      <c r="K18">
        <f t="shared" si="0"/>
        <v>11.431940200222508</v>
      </c>
      <c r="L18">
        <f t="shared" si="1"/>
        <v>176.38487347383898</v>
      </c>
      <c r="M18">
        <f t="shared" si="2"/>
        <v>182.41469247509917</v>
      </c>
      <c r="N18">
        <f t="shared" si="3"/>
        <v>0.27056786748970696</v>
      </c>
      <c r="O18">
        <f t="shared" si="4"/>
        <v>8.1852464114533596</v>
      </c>
      <c r="P18">
        <f t="shared" si="4"/>
        <v>11.542930306761873</v>
      </c>
      <c r="Q18">
        <f t="shared" si="5"/>
        <v>27.781287730674904</v>
      </c>
    </row>
    <row r="19" spans="1:17">
      <c r="A19" t="s">
        <v>183</v>
      </c>
      <c r="B19">
        <v>0.28000000000000003</v>
      </c>
      <c r="C19" t="s">
        <v>182</v>
      </c>
    </row>
    <row r="20" spans="1:17">
      <c r="A20" t="s">
        <v>184</v>
      </c>
      <c r="B20">
        <f>B18*B19</f>
        <v>7.2800000000000011</v>
      </c>
      <c r="C20" t="s">
        <v>185</v>
      </c>
    </row>
    <row r="22" spans="1:17">
      <c r="A22" t="s">
        <v>186</v>
      </c>
    </row>
    <row r="23" spans="1:17">
      <c r="A23" t="s">
        <v>187</v>
      </c>
      <c r="B23">
        <f>PI()*9*2</f>
        <v>56.548667764616276</v>
      </c>
      <c r="C23" t="s">
        <v>181</v>
      </c>
    </row>
    <row r="24" spans="1:17">
      <c r="A24" t="s">
        <v>183</v>
      </c>
      <c r="B24">
        <v>0.28000000000000003</v>
      </c>
      <c r="C24" t="s">
        <v>182</v>
      </c>
    </row>
    <row r="25" spans="1:17">
      <c r="A25" t="s">
        <v>188</v>
      </c>
      <c r="B25">
        <f>B23*B24</f>
        <v>15.833626974092558</v>
      </c>
      <c r="C25" t="s">
        <v>185</v>
      </c>
    </row>
    <row r="27" spans="1:17">
      <c r="A27" t="s">
        <v>192</v>
      </c>
    </row>
    <row r="28" spans="1:17">
      <c r="A28" t="s">
        <v>193</v>
      </c>
      <c r="B28">
        <v>3</v>
      </c>
      <c r="C28" t="s">
        <v>121</v>
      </c>
    </row>
    <row r="29" spans="1:17">
      <c r="A29" t="s">
        <v>194</v>
      </c>
      <c r="B29">
        <v>22</v>
      </c>
      <c r="C29" t="s">
        <v>121</v>
      </c>
    </row>
    <row r="30" spans="1:17">
      <c r="A30" t="s">
        <v>125</v>
      </c>
      <c r="B30">
        <f>LOOKUP(B28,I6:I18,J6:J18)</f>
        <v>2.0640000000000001</v>
      </c>
      <c r="C30" t="s">
        <v>126</v>
      </c>
    </row>
    <row r="31" spans="1:17">
      <c r="A31" t="s">
        <v>195</v>
      </c>
      <c r="B31">
        <f>B30*0.8</f>
        <v>1.6512000000000002</v>
      </c>
      <c r="C31" t="s">
        <v>126</v>
      </c>
    </row>
    <row r="32" spans="1:17">
      <c r="A32" t="s">
        <v>195</v>
      </c>
      <c r="B32">
        <f>B31*B29</f>
        <v>36.326400000000007</v>
      </c>
      <c r="C32" t="s">
        <v>127</v>
      </c>
    </row>
  </sheetData>
  <mergeCells count="1">
    <mergeCell ref="J1:L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848F0-2353-420E-B612-7D09B8235789}">
  <dimension ref="A1:H21"/>
  <sheetViews>
    <sheetView workbookViewId="0">
      <selection activeCell="C21" sqref="C21"/>
    </sheetView>
  </sheetViews>
  <sheetFormatPr defaultRowHeight="14.6"/>
  <cols>
    <col min="1" max="1" width="10.84375" customWidth="1"/>
    <col min="2" max="2" width="12.15234375" customWidth="1"/>
    <col min="3" max="4" width="10" customWidth="1"/>
    <col min="5" max="5" width="10.53515625" customWidth="1"/>
    <col min="6" max="6" width="10.15234375" customWidth="1"/>
  </cols>
  <sheetData>
    <row r="1" spans="1:6">
      <c r="A1" t="s">
        <v>106</v>
      </c>
    </row>
    <row r="3" spans="1:6">
      <c r="A3" t="s">
        <v>107</v>
      </c>
    </row>
    <row r="5" spans="1:6">
      <c r="A5" t="s">
        <v>108</v>
      </c>
    </row>
    <row r="6" spans="1:6">
      <c r="C6" t="s">
        <v>109</v>
      </c>
    </row>
    <row r="7" spans="1:6">
      <c r="C7">
        <v>20012329</v>
      </c>
      <c r="D7">
        <v>20012339</v>
      </c>
      <c r="E7">
        <v>21102340</v>
      </c>
      <c r="F7">
        <v>20012326</v>
      </c>
    </row>
    <row r="9" spans="1:6">
      <c r="B9" t="s">
        <v>111</v>
      </c>
      <c r="C9" t="s">
        <v>110</v>
      </c>
      <c r="D9" t="s">
        <v>110</v>
      </c>
      <c r="E9" t="s">
        <v>110</v>
      </c>
      <c r="F9" t="s">
        <v>110</v>
      </c>
    </row>
    <row r="10" spans="1:6">
      <c r="B10">
        <v>0</v>
      </c>
      <c r="C10">
        <v>0</v>
      </c>
      <c r="D10">
        <v>0</v>
      </c>
      <c r="E10">
        <v>0</v>
      </c>
      <c r="F10">
        <v>0</v>
      </c>
    </row>
    <row r="11" spans="1:6">
      <c r="B11">
        <v>500</v>
      </c>
      <c r="C11">
        <v>4.8</v>
      </c>
      <c r="D11">
        <v>4.41</v>
      </c>
      <c r="E11">
        <v>4.57</v>
      </c>
      <c r="F11">
        <v>4.0599999999999996</v>
      </c>
    </row>
    <row r="12" spans="1:6">
      <c r="B12">
        <v>1000</v>
      </c>
      <c r="C12">
        <v>12.05</v>
      </c>
      <c r="D12">
        <v>11.63</v>
      </c>
      <c r="E12">
        <v>11.87</v>
      </c>
      <c r="F12">
        <v>11.45</v>
      </c>
    </row>
    <row r="13" spans="1:6">
      <c r="B13">
        <v>1500</v>
      </c>
      <c r="C13">
        <v>19.13</v>
      </c>
      <c r="D13">
        <v>18.809999999999999</v>
      </c>
      <c r="E13">
        <v>18.86</v>
      </c>
      <c r="F13">
        <v>18.64</v>
      </c>
    </row>
    <row r="14" spans="1:6">
      <c r="B14">
        <v>2000</v>
      </c>
      <c r="C14">
        <v>25.47</v>
      </c>
      <c r="D14">
        <v>25.15</v>
      </c>
      <c r="E14">
        <v>25.26</v>
      </c>
      <c r="F14">
        <v>24.91</v>
      </c>
    </row>
    <row r="15" spans="1:6">
      <c r="B15">
        <v>2500</v>
      </c>
      <c r="C15">
        <v>31.52</v>
      </c>
      <c r="D15">
        <v>31.26</v>
      </c>
      <c r="E15">
        <v>31.34</v>
      </c>
      <c r="F15">
        <v>31.04</v>
      </c>
    </row>
    <row r="16" spans="1:6">
      <c r="B16">
        <v>3000</v>
      </c>
      <c r="C16">
        <v>37.590000000000003</v>
      </c>
      <c r="D16">
        <v>37.19</v>
      </c>
      <c r="E16">
        <v>37.49</v>
      </c>
      <c r="F16">
        <v>37.08</v>
      </c>
    </row>
    <row r="17" spans="2:8">
      <c r="B17">
        <v>3500</v>
      </c>
      <c r="C17">
        <v>43.63</v>
      </c>
      <c r="D17">
        <v>43.3</v>
      </c>
      <c r="E17">
        <v>43.54</v>
      </c>
      <c r="F17">
        <v>43.16</v>
      </c>
    </row>
    <row r="18" spans="2:8">
      <c r="B18">
        <v>4000</v>
      </c>
      <c r="C18">
        <v>49.76</v>
      </c>
      <c r="D18">
        <v>49.43</v>
      </c>
      <c r="E18">
        <v>49.73</v>
      </c>
      <c r="F18">
        <v>49.39</v>
      </c>
    </row>
    <row r="19" spans="2:8">
      <c r="H19" t="s">
        <v>118</v>
      </c>
    </row>
    <row r="20" spans="2:8">
      <c r="B20" t="s">
        <v>116</v>
      </c>
      <c r="C20" s="8">
        <f>SLOPE($B10:$B18,C10:C18)</f>
        <v>79.075272482122315</v>
      </c>
      <c r="D20" s="8">
        <f>SLOPE($B10:$B18,D10:D18)</f>
        <v>79.272767047622949</v>
      </c>
      <c r="E20" s="8">
        <f>SLOPE($B10:$B18,E10:E18)</f>
        <v>78.95971475561204</v>
      </c>
      <c r="F20" s="8">
        <f>SLOPE($B10:$B18,F10:F18)</f>
        <v>79.137834241477478</v>
      </c>
      <c r="H20" s="8">
        <f>AVERAGE(C20:F20)</f>
        <v>79.111397131708699</v>
      </c>
    </row>
    <row r="21" spans="2:8">
      <c r="B21" t="s">
        <v>117</v>
      </c>
      <c r="C21" s="8">
        <f>INTERCEPT($B10:$B18,C10:C18)</f>
        <v>32.343636403189748</v>
      </c>
      <c r="D21" s="8">
        <f>INTERCEPT($B10:$B18,D10:D18)</f>
        <v>51.827709378528425</v>
      </c>
      <c r="E21" s="8">
        <f>INTERCEPT($B10:$B18,E10:E18)</f>
        <v>46.536656946158246</v>
      </c>
      <c r="F21" s="8">
        <f>INTERCEPT($B10:$B18,F10:F18)</f>
        <v>67.893742457795042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Requirements</vt:lpstr>
      <vt:lpstr>Design as torque</vt:lpstr>
      <vt:lpstr>Drainage Calcs</vt:lpstr>
      <vt:lpstr>Counter Wt.</vt:lpstr>
      <vt:lpstr>Transducer Calib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 Lyles</dc:creator>
  <cp:lastModifiedBy>Redei, Alex</cp:lastModifiedBy>
  <dcterms:created xsi:type="dcterms:W3CDTF">2020-01-29T16:13:22Z</dcterms:created>
  <dcterms:modified xsi:type="dcterms:W3CDTF">2024-02-13T02:29:48Z</dcterms:modified>
</cp:coreProperties>
</file>