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LuoLAB\Piezo\Lipid_desnity_manuscript\forGithub\"/>
    </mc:Choice>
  </mc:AlternateContent>
  <xr:revisionPtr revIDLastSave="0" documentId="13_ncr:1_{8FB17BA0-B792-431B-AE53-F1777DCB6A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iscosity_calc" sheetId="1" r:id="rId1"/>
    <sheet name="pip2_chol_shear_set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2" i="1" l="1"/>
  <c r="C6" i="1"/>
  <c r="C34" i="1"/>
  <c r="P32" i="1"/>
  <c r="S32" i="1"/>
  <c r="M23" i="1"/>
  <c r="N6" i="1"/>
  <c r="M6" i="1"/>
  <c r="N15" i="1"/>
  <c r="M15" i="1"/>
  <c r="P23" i="1"/>
  <c r="S23" i="1"/>
  <c r="U23" i="1"/>
  <c r="N23" i="1"/>
  <c r="N32" i="1"/>
  <c r="W35" i="1"/>
  <c r="C32" i="1"/>
  <c r="C24" i="1"/>
  <c r="C17" i="1"/>
  <c r="C15" i="1"/>
  <c r="C7" i="1"/>
  <c r="C8" i="1"/>
  <c r="C9" i="1"/>
  <c r="C16" i="1"/>
  <c r="C18" i="1"/>
  <c r="C25" i="1"/>
  <c r="C26" i="1"/>
  <c r="C23" i="1"/>
  <c r="C33" i="1"/>
  <c r="C35" i="1"/>
  <c r="C36" i="1"/>
  <c r="C37" i="1"/>
  <c r="M32" i="1" l="1"/>
  <c r="W24" i="1" l="1"/>
  <c r="V23" i="1"/>
  <c r="R37" i="1" l="1"/>
  <c r="P37" i="1"/>
  <c r="K37" i="1"/>
  <c r="J37" i="1"/>
  <c r="Q37" i="1" s="1"/>
  <c r="I37" i="1"/>
  <c r="Q36" i="1"/>
  <c r="P36" i="1"/>
  <c r="K36" i="1"/>
  <c r="R36" i="1" s="1"/>
  <c r="J36" i="1"/>
  <c r="I36" i="1"/>
  <c r="R35" i="1"/>
  <c r="Q35" i="1"/>
  <c r="P35" i="1"/>
  <c r="K35" i="1"/>
  <c r="J35" i="1"/>
  <c r="I35" i="1"/>
  <c r="R34" i="1"/>
  <c r="P34" i="1"/>
  <c r="K34" i="1"/>
  <c r="J34" i="1"/>
  <c r="Q34" i="1" s="1"/>
  <c r="I34" i="1"/>
  <c r="Q33" i="1"/>
  <c r="P33" i="1"/>
  <c r="K33" i="1"/>
  <c r="R33" i="1" s="1"/>
  <c r="S33" i="1" s="1"/>
  <c r="J33" i="1"/>
  <c r="I33" i="1"/>
  <c r="R32" i="1"/>
  <c r="Q32" i="1"/>
  <c r="K32" i="1"/>
  <c r="J32" i="1"/>
  <c r="I32" i="1"/>
  <c r="Q26" i="1"/>
  <c r="P26" i="1"/>
  <c r="K26" i="1"/>
  <c r="R26" i="1" s="1"/>
  <c r="S26" i="1" s="1"/>
  <c r="J26" i="1"/>
  <c r="I26" i="1"/>
  <c r="R25" i="1"/>
  <c r="Q25" i="1"/>
  <c r="K25" i="1"/>
  <c r="J25" i="1"/>
  <c r="I25" i="1"/>
  <c r="P25" i="1" s="1"/>
  <c r="R24" i="1"/>
  <c r="K24" i="1"/>
  <c r="J24" i="1"/>
  <c r="Q24" i="1" s="1"/>
  <c r="I24" i="1"/>
  <c r="F24" i="1"/>
  <c r="P24" i="1" s="1"/>
  <c r="R23" i="1"/>
  <c r="Q23" i="1"/>
  <c r="K23" i="1"/>
  <c r="J23" i="1"/>
  <c r="I23" i="1"/>
  <c r="S18" i="1"/>
  <c r="R18" i="1"/>
  <c r="Q18" i="1"/>
  <c r="P18" i="1"/>
  <c r="V18" i="1" s="1"/>
  <c r="R17" i="1"/>
  <c r="V17" i="1" s="1"/>
  <c r="Q17" i="1"/>
  <c r="P17" i="1"/>
  <c r="T17" i="1" s="1"/>
  <c r="U17" i="1" s="1"/>
  <c r="R16" i="1"/>
  <c r="Q16" i="1"/>
  <c r="P16" i="1"/>
  <c r="T16" i="1" s="1"/>
  <c r="U16" i="1" s="1"/>
  <c r="K16" i="1"/>
  <c r="J16" i="1"/>
  <c r="I16" i="1"/>
  <c r="R15" i="1"/>
  <c r="P15" i="1"/>
  <c r="K15" i="1"/>
  <c r="J15" i="1"/>
  <c r="Q15" i="1" s="1"/>
  <c r="I15" i="1"/>
  <c r="R9" i="1"/>
  <c r="Q9" i="1"/>
  <c r="P9" i="1"/>
  <c r="T9" i="1" s="1"/>
  <c r="U9" i="1" s="1"/>
  <c r="K9" i="1"/>
  <c r="R8" i="1"/>
  <c r="Q8" i="1"/>
  <c r="P8" i="1"/>
  <c r="T8" i="1" s="1"/>
  <c r="U8" i="1" s="1"/>
  <c r="R7" i="1"/>
  <c r="S7" i="1" s="1"/>
  <c r="Q7" i="1"/>
  <c r="P7" i="1"/>
  <c r="T7" i="1" s="1"/>
  <c r="U7" i="1" s="1"/>
  <c r="R6" i="1"/>
  <c r="Q6" i="1"/>
  <c r="S6" i="1" s="1"/>
  <c r="P6" i="1"/>
  <c r="T6" i="1" s="1"/>
  <c r="U6" i="1" s="1"/>
  <c r="S34" i="1" l="1"/>
  <c r="S35" i="1"/>
  <c r="V35" i="1"/>
  <c r="X35" i="1" s="1"/>
  <c r="Y35" i="1" s="1"/>
  <c r="S37" i="1"/>
  <c r="V37" i="1"/>
  <c r="S36" i="1"/>
  <c r="V33" i="1"/>
  <c r="V34" i="1"/>
  <c r="V36" i="1"/>
  <c r="T32" i="1"/>
  <c r="U32" i="1" s="1"/>
  <c r="T15" i="1"/>
  <c r="U15" i="1" s="1"/>
  <c r="T24" i="1"/>
  <c r="U24" i="1" s="1"/>
  <c r="S24" i="1"/>
  <c r="V24" i="1"/>
  <c r="T33" i="1"/>
  <c r="U33" i="1" s="1"/>
  <c r="T37" i="1"/>
  <c r="U37" i="1" s="1"/>
  <c r="V15" i="1"/>
  <c r="S15" i="1"/>
  <c r="T23" i="1"/>
  <c r="T25" i="1"/>
  <c r="U25" i="1" s="1"/>
  <c r="S25" i="1"/>
  <c r="V25" i="1"/>
  <c r="V26" i="1"/>
  <c r="T34" i="1"/>
  <c r="U34" i="1" s="1"/>
  <c r="T36" i="1"/>
  <c r="U36" i="1" s="1"/>
  <c r="T35" i="1"/>
  <c r="U35" i="1" s="1"/>
  <c r="V6" i="1"/>
  <c r="S17" i="1"/>
  <c r="T18" i="1"/>
  <c r="U18" i="1" s="1"/>
  <c r="T26" i="1"/>
  <c r="U26" i="1" s="1"/>
  <c r="V8" i="1"/>
  <c r="V9" i="1"/>
  <c r="V16" i="1"/>
  <c r="X16" i="1" s="1"/>
  <c r="Y16" i="1" s="1"/>
  <c r="S8" i="1"/>
  <c r="S9" i="1"/>
  <c r="S16" i="1"/>
  <c r="V7" i="1"/>
  <c r="X7" i="1" s="1"/>
  <c r="Y7" i="1" s="1"/>
  <c r="W16" i="1" l="1"/>
  <c r="W7" i="1"/>
  <c r="X24" i="1"/>
  <c r="Y24" i="1" s="1"/>
</calcChain>
</file>

<file path=xl/sharedStrings.xml><?xml version="1.0" encoding="utf-8"?>
<sst xmlns="http://schemas.openxmlformats.org/spreadsheetml/2006/main" count="115" uniqueCount="49">
  <si>
    <t>POPC:POPC</t>
  </si>
  <si>
    <t>Lz=</t>
  </si>
  <si>
    <t>nm</t>
  </si>
  <si>
    <t>stretch rate(nm/ps)</t>
  </si>
  <si>
    <t>strain rate (1/ns)</t>
  </si>
  <si>
    <t xml:space="preserve">rz (nm/ps) </t>
  </si>
  <si>
    <t>1/ns</t>
  </si>
  <si>
    <t>POPC:POPS</t>
  </si>
  <si>
    <t>POPC:PIP2</t>
  </si>
  <si>
    <t>water viscosity at 303K</t>
  </si>
  <si>
    <t>cP</t>
  </si>
  <si>
    <t>Rep1_Pxy</t>
  </si>
  <si>
    <t>Rep2_Pxy</t>
  </si>
  <si>
    <t>Rep3_Pxy</t>
  </si>
  <si>
    <t>Rep1_h</t>
  </si>
  <si>
    <t>Rep2_h</t>
  </si>
  <si>
    <t>Rep3_h</t>
  </si>
  <si>
    <t>Visc 1</t>
  </si>
  <si>
    <t>Visc 2</t>
  </si>
  <si>
    <t>Visc 3</t>
  </si>
  <si>
    <t>pressure-bar</t>
  </si>
  <si>
    <t>Lz-nm</t>
  </si>
  <si>
    <t>unit = 10e-11*Pa*m*s</t>
  </si>
  <si>
    <t>avg_Visc</t>
  </si>
  <si>
    <t>surface viscosity=viscosity*length</t>
  </si>
  <si>
    <t>std</t>
  </si>
  <si>
    <t>analysis based on last 18ns of 1st 20ns</t>
  </si>
  <si>
    <t>analysis based last 18ns</t>
  </si>
  <si>
    <t>var</t>
  </si>
  <si>
    <t>inverse-variance weighting</t>
  </si>
  <si>
    <t>avg_w</t>
  </si>
  <si>
    <t>var_w</t>
  </si>
  <si>
    <t>std_w</t>
  </si>
  <si>
    <t>Lz</t>
  </si>
  <si>
    <t>Average pressure for 20ns</t>
  </si>
  <si>
    <t>rep1_press</t>
  </si>
  <si>
    <t>rep2_press</t>
  </si>
  <si>
    <t>rep3_press</t>
  </si>
  <si>
    <t>rep1_h</t>
  </si>
  <si>
    <t>rep2_h</t>
  </si>
  <si>
    <t>rep3_h</t>
  </si>
  <si>
    <t xml:space="preserve">Visc1 </t>
  </si>
  <si>
    <t xml:space="preserve">Visc2 </t>
  </si>
  <si>
    <t>Visc3</t>
  </si>
  <si>
    <t>deform =[ 0 0 0 rz 0 0]</t>
  </si>
  <si>
    <t>Var</t>
  </si>
  <si>
    <t>POPC:Chol:PIP2</t>
  </si>
  <si>
    <t>h_mean</t>
  </si>
  <si>
    <t>h_std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</si>
</sst>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"/>
    <numFmt numFmtId="166" formatCode="0.000"/>
  </numFmts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1D1C1D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Border="1"/>
    <xf numFmtId="0" fontId="0" fillId="0" borderId="0" xfId="0" applyBorder="1"/>
    <xf numFmtId="166" fontId="0" fillId="0" borderId="0" xfId="0" applyNumberFormat="1" applyBorder="1" applyAlignment="1">
      <alignment horizontal="center"/>
    </xf>
    <xf numFmtId="165" fontId="0" fillId="0" borderId="0" xfId="0" applyNumberFormat="1" applyBorder="1"/>
    <xf numFmtId="166" fontId="0" fillId="2" borderId="0" xfId="0" applyNumberFormat="1" applyFill="1" applyBorder="1"/>
    <xf numFmtId="166" fontId="4" fillId="2" borderId="0" xfId="0" applyNumberFormat="1" applyFont="1" applyFill="1" applyBorder="1"/>
    <xf numFmtId="166" fontId="2" fillId="0" borderId="0" xfId="0" applyNumberFormat="1" applyFont="1" applyBorder="1"/>
    <xf numFmtId="166" fontId="3" fillId="0" borderId="0" xfId="0" applyNumberFormat="1" applyFont="1" applyBorder="1"/>
    <xf numFmtId="166" fontId="3" fillId="2" borderId="0" xfId="0" applyNumberFormat="1" applyFont="1" applyFill="1" applyBorder="1"/>
    <xf numFmtId="166" fontId="6" fillId="0" borderId="0" xfId="0" applyNumberFormat="1" applyFont="1" applyBorder="1"/>
    <xf numFmtId="166" fontId="7" fillId="0" borderId="0" xfId="0" applyNumberFormat="1" applyFont="1" applyBorder="1"/>
    <xf numFmtId="166" fontId="8" fillId="3" borderId="0" xfId="0" applyNumberFormat="1" applyFont="1" applyFill="1" applyBorder="1"/>
    <xf numFmtId="166" fontId="6" fillId="2" borderId="0" xfId="0" applyNumberFormat="1" applyFont="1" applyFill="1" applyBorder="1"/>
    <xf numFmtId="165" fontId="6" fillId="0" borderId="0" xfId="0" applyNumberFormat="1" applyFont="1" applyBorder="1" applyAlignment="1">
      <alignment horizontal="right"/>
    </xf>
    <xf numFmtId="166" fontId="6" fillId="0" borderId="0" xfId="0" applyNumberFormat="1" applyFont="1" applyFill="1" applyBorder="1" applyAlignment="1">
      <alignment horizontal="right"/>
    </xf>
    <xf numFmtId="166" fontId="6" fillId="0" borderId="0" xfId="0" applyNumberFormat="1" applyFont="1" applyBorder="1" applyAlignment="1">
      <alignment horizontal="right"/>
    </xf>
    <xf numFmtId="166" fontId="9" fillId="0" borderId="0" xfId="0" applyNumberFormat="1" applyFont="1" applyBorder="1"/>
    <xf numFmtId="166" fontId="7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viscosity, 1e-11*Pa*m*s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POPC surface viscosity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viscosity_calc!$T$6:$T$9</c:f>
                <c:numCache>
                  <c:formatCode>General</c:formatCode>
                  <c:ptCount val="4"/>
                  <c:pt idx="0">
                    <c:v>3.8064390072787817</c:v>
                  </c:pt>
                  <c:pt idx="1">
                    <c:v>1.5256060350428822</c:v>
                  </c:pt>
                  <c:pt idx="2">
                    <c:v>0.88921241888763813</c:v>
                  </c:pt>
                  <c:pt idx="3">
                    <c:v>0.57735050908848096</c:v>
                  </c:pt>
                </c:numCache>
              </c:numRef>
            </c:plus>
            <c:minus>
              <c:numRef>
                <c:f>viscosity_calc!$U$6:$U$9</c:f>
                <c:numCache>
                  <c:formatCode>General</c:formatCode>
                  <c:ptCount val="4"/>
                  <c:pt idx="0">
                    <c:v>-3.8064390072787817</c:v>
                  </c:pt>
                  <c:pt idx="1">
                    <c:v>-1.5256060350428822</c:v>
                  </c:pt>
                  <c:pt idx="2">
                    <c:v>-0.88921241888763813</c:v>
                  </c:pt>
                  <c:pt idx="3">
                    <c:v>-0.57735050908848096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viscosity_calc!$D$6:$D$9</c:f>
              <c:numCache>
                <c:formatCode>0.000</c:formatCode>
                <c:ptCount val="4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viscosity_calc!$S$6:$S$9</c:f>
              <c:numCache>
                <c:formatCode>0.000</c:formatCode>
                <c:ptCount val="4"/>
                <c:pt idx="0">
                  <c:v>18.013636666666667</c:v>
                </c:pt>
                <c:pt idx="1">
                  <c:v>17.498798888888889</c:v>
                </c:pt>
                <c:pt idx="2">
                  <c:v>18.615568</c:v>
                </c:pt>
                <c:pt idx="3">
                  <c:v>16.5933399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E-4E41-AD5C-43E2614BFF46}"/>
            </c:ext>
          </c:extLst>
        </c:ser>
        <c:ser>
          <c:idx val="1"/>
          <c:order val="1"/>
          <c:tx>
            <c:v>POPS surface  viscosity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viscosity_calc!$T$15:$T$18</c:f>
                <c:numCache>
                  <c:formatCode>General</c:formatCode>
                  <c:ptCount val="4"/>
                  <c:pt idx="0">
                    <c:v>3.5213567395870764</c:v>
                  </c:pt>
                  <c:pt idx="1">
                    <c:v>2.1173348711467401</c:v>
                  </c:pt>
                  <c:pt idx="2">
                    <c:v>1.2106577679968045</c:v>
                  </c:pt>
                  <c:pt idx="3">
                    <c:v>0.55637041139244325</c:v>
                  </c:pt>
                </c:numCache>
              </c:numRef>
            </c:plus>
            <c:minus>
              <c:numRef>
                <c:f>viscosity_calc!$U$15:$U$18</c:f>
                <c:numCache>
                  <c:formatCode>General</c:formatCode>
                  <c:ptCount val="4"/>
                  <c:pt idx="0">
                    <c:v>-3.5213567395870764</c:v>
                  </c:pt>
                  <c:pt idx="1">
                    <c:v>-2.1173348711467401</c:v>
                  </c:pt>
                  <c:pt idx="2">
                    <c:v>-1.2106577679968045</c:v>
                  </c:pt>
                  <c:pt idx="3">
                    <c:v>-0.55637041139244325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viscosity_calc!$D$15:$D$18</c:f>
              <c:numCache>
                <c:formatCode>0.000</c:formatCode>
                <c:ptCount val="4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viscosity_calc!$S$15:$S$18</c:f>
              <c:numCache>
                <c:formatCode>0.000</c:formatCode>
                <c:ptCount val="4"/>
                <c:pt idx="0">
                  <c:v>20.0290328</c:v>
                </c:pt>
                <c:pt idx="1">
                  <c:v>19.662484844444446</c:v>
                </c:pt>
                <c:pt idx="2">
                  <c:v>19.887224</c:v>
                </c:pt>
                <c:pt idx="3">
                  <c:v>17.588146499999997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F4-4C1C-AEA6-2323BBABE2A7}"/>
            </c:ext>
          </c:extLst>
        </c:ser>
        <c:ser>
          <c:idx val="2"/>
          <c:order val="2"/>
          <c:tx>
            <c:v>PIP2 surface viscosity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viscosity_calc!$T$23:$T$26</c:f>
                <c:numCache>
                  <c:formatCode>General</c:formatCode>
                  <c:ptCount val="4"/>
                  <c:pt idx="0">
                    <c:v>4.4462378922369217</c:v>
                  </c:pt>
                  <c:pt idx="1">
                    <c:v>1.5345821297750968</c:v>
                  </c:pt>
                  <c:pt idx="2">
                    <c:v>1.1150925535958991</c:v>
                  </c:pt>
                  <c:pt idx="3">
                    <c:v>0.95224469401253198</c:v>
                  </c:pt>
                </c:numCache>
              </c:numRef>
            </c:plus>
            <c:minus>
              <c:numRef>
                <c:f>viscosity_calc!$U$23:$U$26</c:f>
                <c:numCache>
                  <c:formatCode>General</c:formatCode>
                  <c:ptCount val="4"/>
                  <c:pt idx="0">
                    <c:v>-4.4462378922369217</c:v>
                  </c:pt>
                  <c:pt idx="1">
                    <c:v>-1.5345821297750968</c:v>
                  </c:pt>
                  <c:pt idx="2">
                    <c:v>-1.1150925535958991</c:v>
                  </c:pt>
                  <c:pt idx="3">
                    <c:v>-0.95224469401253198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viscosity_calc!$D$23:$D$26</c:f>
              <c:numCache>
                <c:formatCode>0.000</c:formatCode>
                <c:ptCount val="4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viscosity_calc!$S$23:$S$26</c:f>
              <c:numCache>
                <c:formatCode>0.000</c:formatCode>
                <c:ptCount val="4"/>
                <c:pt idx="0">
                  <c:v>24.388465225000001</c:v>
                </c:pt>
                <c:pt idx="1">
                  <c:v>18.505819044444443</c:v>
                </c:pt>
                <c:pt idx="2">
                  <c:v>18.646618156666666</c:v>
                </c:pt>
                <c:pt idx="3">
                  <c:v>16.717164236666665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9-4FAB-963A-C67139C06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40032"/>
        <c:axId val="290240360"/>
      </c:scatterChart>
      <c:valAx>
        <c:axId val="2902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r>
                  <a:rPr lang="en-US" altLang="zh-CN"/>
                  <a:t>train rate (1/ns)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40360"/>
        <c:crosses val="autoZero"/>
        <c:crossBetween val="midCat"/>
      </c:valAx>
      <c:valAx>
        <c:axId val="29024036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</a:t>
                </a:r>
                <a:r>
                  <a:rPr lang="en-US" baseline="0"/>
                  <a:t> viscosity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4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viscosity, 1e-11*Pa*m*s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99726041410259E-2"/>
          <c:y val="0.12247779870024177"/>
          <c:w val="0.79992903289740791"/>
          <c:h val="0.73089455754188959"/>
        </c:manualLayout>
      </c:layout>
      <c:scatterChart>
        <c:scatterStyle val="lineMarker"/>
        <c:varyColors val="0"/>
        <c:ser>
          <c:idx val="2"/>
          <c:order val="0"/>
          <c:tx>
            <c:v>PIP2-CHOL-POPC surface viscosity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viscosity_calc!$T$32:$T$37</c:f>
                <c:numCache>
                  <c:formatCode>General</c:formatCode>
                  <c:ptCount val="6"/>
                  <c:pt idx="0">
                    <c:v>6.181250605573938</c:v>
                  </c:pt>
                  <c:pt idx="1">
                    <c:v>6.2541474161165773</c:v>
                  </c:pt>
                  <c:pt idx="2">
                    <c:v>1.6539172030996048</c:v>
                  </c:pt>
                  <c:pt idx="3">
                    <c:v>1.8031895492224115</c:v>
                  </c:pt>
                  <c:pt idx="4">
                    <c:v>0.37568468954471002</c:v>
                  </c:pt>
                  <c:pt idx="5">
                    <c:v>1.4293279537769519</c:v>
                  </c:pt>
                </c:numCache>
              </c:numRef>
            </c:plus>
            <c:minus>
              <c:numRef>
                <c:f>viscosity_calc!$U$32:$U$37</c:f>
                <c:numCache>
                  <c:formatCode>General</c:formatCode>
                  <c:ptCount val="6"/>
                  <c:pt idx="0">
                    <c:v>-6.181250605573938</c:v>
                  </c:pt>
                  <c:pt idx="1">
                    <c:v>-6.2541474161165773</c:v>
                  </c:pt>
                  <c:pt idx="2">
                    <c:v>-1.6539172030996048</c:v>
                  </c:pt>
                  <c:pt idx="3">
                    <c:v>-1.8031895492224115</c:v>
                  </c:pt>
                  <c:pt idx="4">
                    <c:v>-0.37568468954471002</c:v>
                  </c:pt>
                  <c:pt idx="5">
                    <c:v>-1.4293279537769519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viscosity_calc!$D$32:$D$37</c:f>
              <c:numCache>
                <c:formatCode>0.000</c:formatCode>
                <c:ptCount val="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</c:numCache>
            </c:numRef>
          </c:xVal>
          <c:yVal>
            <c:numRef>
              <c:f>viscosity_calc!$S$32:$S$37</c:f>
              <c:numCache>
                <c:formatCode>0.000</c:formatCode>
                <c:ptCount val="6"/>
                <c:pt idx="0">
                  <c:v>41.703927299999997</c:v>
                </c:pt>
                <c:pt idx="1">
                  <c:v>44.7915682</c:v>
                </c:pt>
                <c:pt idx="2">
                  <c:v>43.362732999999999</c:v>
                </c:pt>
                <c:pt idx="3">
                  <c:v>38.613153099999998</c:v>
                </c:pt>
                <c:pt idx="4">
                  <c:v>39.507863299999997</c:v>
                </c:pt>
                <c:pt idx="5">
                  <c:v>30.274133699999997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8-4395-A7DD-CD1070F7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40032"/>
        <c:axId val="290240360"/>
      </c:scatterChart>
      <c:valAx>
        <c:axId val="2902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r>
                  <a:rPr lang="en-US" altLang="zh-CN"/>
                  <a:t>train rate (1/ns)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40360"/>
        <c:crosses val="autoZero"/>
        <c:crossBetween val="midCat"/>
      </c:valAx>
      <c:valAx>
        <c:axId val="29024036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</a:t>
                </a:r>
                <a:r>
                  <a:rPr lang="en-US" baseline="0"/>
                  <a:t> viscosity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4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492575626316642"/>
          <c:y val="0.15197483271996018"/>
          <c:w val="0.36637725728132065"/>
          <c:h val="4.912029446071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31905</xdr:colOff>
      <xdr:row>58</xdr:row>
      <xdr:rowOff>102268</xdr:rowOff>
    </xdr:from>
    <xdr:to>
      <xdr:col>14</xdr:col>
      <xdr:colOff>590739</xdr:colOff>
      <xdr:row>65</xdr:row>
      <xdr:rowOff>116202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4">
              <a:extLst>
                <a:ext uri="{FF2B5EF4-FFF2-40B4-BE49-F238E27FC236}">
                  <a16:creationId xmlns:a16="http://schemas.microsoft.com/office/drawing/2014/main" id="{93EA3D4D-BF06-44B6-ADAE-8800E816FE20}"/>
                </a:ext>
              </a:extLst>
            </xdr:cNvPr>
            <xdr:cNvSpPr txBox="1"/>
          </xdr:nvSpPr>
          <xdr:spPr>
            <a:xfrm>
              <a:off x="7222757" y="11029850"/>
              <a:ext cx="4975922" cy="133278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n-US" sz="2800" i="1">
                        <a:highlight>
                          <a:srgbClr val="FFFF00"/>
                        </a:highlight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800" b="0" i="1">
                        <a:highlight>
                          <a:srgbClr val="FFFF00"/>
                        </a:highlight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280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begChr m:val="⟨"/>
                            <m:endChr m:val="⟩"/>
                            <m:ctrlPr>
                              <a:rPr lang="en-US" sz="2800" i="1">
                                <a:highlight>
                                  <a:srgbClr val="FFFF00"/>
                                </a:highlight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2800" i="1">
                                    <a:highlight>
                                      <a:srgbClr val="FFFF00"/>
                                    </a:highlight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800" b="0" i="1">
                                    <a:highlight>
                                      <a:srgbClr val="FFFF00"/>
                                    </a:highlight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2800" b="0" i="1">
                                    <a:highlight>
                                      <a:srgbClr val="FFFF00"/>
                                    </a:highlight>
                                    <a:latin typeface="Cambria Math" panose="02040503050406030204" pitchFamily="18" charset="0"/>
                                  </a:rPr>
                                  <m:t>𝑥𝑦</m:t>
                                </m:r>
                              </m:sub>
                            </m:sSub>
                          </m:e>
                        </m:d>
                      </m:num>
                      <m:den>
                        <m:acc>
                          <m:accPr>
                            <m:chr m:val="̇"/>
                            <m:ctrlPr>
                              <a:rPr lang="en-US" sz="2800" i="1">
                                <a:highlight>
                                  <a:srgbClr val="FFFF00"/>
                                </a:highlight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800" i="1">
                                <a:highlight>
                                  <a:srgbClr val="FFFF00"/>
                                </a:highlight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𝜖</m:t>
                            </m:r>
                          </m:e>
                        </m:acc>
                      </m:den>
                    </m:f>
                    <m:r>
                      <a:rPr lang="en-US" sz="2800" b="0" i="1">
                        <a:highlight>
                          <a:srgbClr val="FFFF00"/>
                        </a:highlight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sSub>
                      <m:sSubPr>
                        <m:ctrlPr>
                          <a:rPr lang="en-US" sz="280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sz="2800" b="0" i="1">
                        <a:highlight>
                          <a:srgbClr val="FFFF00"/>
                        </a:highlight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n-US" sz="2800" b="0" i="1">
                        <a:highlight>
                          <a:srgbClr val="FFFF00"/>
                        </a:highlight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280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sz="2800" b="0" i="1">
                        <a:highlight>
                          <a:srgbClr val="FFFF00"/>
                        </a:highlight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2800" b="0" i="1">
                        <a:highlight>
                          <a:srgbClr val="FFFF00"/>
                        </a:highlight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2800" b="0" i="1">
                        <a:highlight>
                          <a:srgbClr val="FFFF00"/>
                        </a:highlight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2800">
                <a:highlight>
                  <a:srgbClr val="FFFF00"/>
                </a:highlight>
              </a:endParaRPr>
            </a:p>
            <a:p>
              <a:r>
                <a:rPr lang="en-US" sz="2800"/>
                <a:t>        =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𝜂</m:t>
                      </m:r>
                    </m:e>
                    <m:sub>
                      <m: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𝑇𝑂𝑇</m:t>
                      </m:r>
                    </m:sub>
                  </m:sSub>
                  <m:sSub>
                    <m:sSubPr>
                      <m:ctrlPr>
                        <a:rPr lang="en-US" sz="28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𝑧</m:t>
                      </m:r>
                    </m:sub>
                  </m:sSub>
                  <m:r>
                    <a:rPr lang="en-US" sz="28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sz="2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𝜂</m:t>
                      </m:r>
                    </m:e>
                    <m:sub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𝑤</m:t>
                      </m:r>
                    </m:sub>
                  </m:sSub>
                  <m:r>
                    <a:rPr lang="en-US" sz="28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28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𝑧</m:t>
                      </m:r>
                    </m:sub>
                  </m:sSub>
                  <m:r>
                    <a:rPr lang="en-US" sz="28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n-US" sz="2800" b="0" i="1">
                      <a:latin typeface="Cambria Math" panose="02040503050406030204" pitchFamily="18" charset="0"/>
                    </a:rPr>
                    <m:t>h</m:t>
                  </m:r>
                  <m:r>
                    <a:rPr lang="en-US" sz="28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US" sz="2800"/>
            </a:p>
          </xdr:txBody>
        </xdr:sp>
      </mc:Choice>
      <mc:Fallback>
        <xdr:sp macro="" textlink="">
          <xdr:nvSpPr>
            <xdr:cNvPr id="2" name="TextBox 4">
              <a:extLst>
                <a:ext uri="{FF2B5EF4-FFF2-40B4-BE49-F238E27FC236}">
                  <a16:creationId xmlns:a16="http://schemas.microsoft.com/office/drawing/2014/main" id="{93EA3D4D-BF06-44B6-ADAE-8800E816FE20}"/>
                </a:ext>
              </a:extLst>
            </xdr:cNvPr>
            <xdr:cNvSpPr txBox="1"/>
          </xdr:nvSpPr>
          <xdr:spPr>
            <a:xfrm>
              <a:off x="7222757" y="11029850"/>
              <a:ext cx="4975922" cy="133278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800" b="0" i="0">
                  <a:highlight>
                    <a:srgbClr val="FFFF00"/>
                  </a:highlight>
                  <a:latin typeface="Cambria Math" panose="02040503050406030204" pitchFamily="18" charset="0"/>
                  <a:ea typeface="Cambria Math" panose="02040503050406030204" pitchFamily="18" charset="0"/>
                </a:rPr>
                <a:t>𝜂_𝑚</a:t>
              </a:r>
              <a:r>
                <a:rPr lang="en-US" sz="2800" i="0">
                  <a:highlight>
                    <a:srgbClr val="FFFF00"/>
                  </a:highlight>
                  <a:latin typeface="Cambria Math" panose="02040503050406030204" pitchFamily="18" charset="0"/>
                </a:rPr>
                <a:t>=</a:t>
              </a:r>
              <a:r>
                <a:rPr lang="en-US" sz="2800" b="0" i="0">
                  <a:highlight>
                    <a:srgbClr val="FFFF00"/>
                  </a:highlight>
                  <a:latin typeface="Cambria Math" panose="02040503050406030204" pitchFamily="18" charset="0"/>
                </a:rPr>
                <a:t>(</a:t>
              </a:r>
              <a:r>
                <a:rPr lang="en-US" sz="2800" i="0">
                  <a:highlight>
                    <a:srgbClr val="FFFF00"/>
                  </a:highlight>
                  <a:latin typeface="Cambria Math" panose="02040503050406030204" pitchFamily="18" charset="0"/>
                </a:rPr>
                <a:t>(</a:t>
              </a:r>
              <a:r>
                <a:rPr lang="en-US" sz="2800" b="0" i="0">
                  <a:highlight>
                    <a:srgbClr val="FFFF00"/>
                  </a:highlight>
                  <a:latin typeface="Cambria Math" panose="02040503050406030204" pitchFamily="18" charset="0"/>
                </a:rPr>
                <a:t>−⟨𝑃_𝑥𝑦 ⟩)/</a:t>
              </a:r>
              <a:r>
                <a:rPr lang="en-US" sz="2800" i="0">
                  <a:highlight>
                    <a:srgbClr val="FFFF00"/>
                  </a:highlight>
                  <a:latin typeface="Cambria Math" panose="02040503050406030204" pitchFamily="18" charset="0"/>
                  <a:ea typeface="Cambria Math" panose="02040503050406030204" pitchFamily="18" charset="0"/>
                </a:rPr>
                <a:t>𝜖 ̇ </a:t>
              </a:r>
              <a:r>
                <a:rPr lang="en-US" sz="2800" b="0" i="0">
                  <a:highlight>
                    <a:srgbClr val="FFFF00"/>
                  </a:highlight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2800" b="0" i="0">
                  <a:highlight>
                    <a:srgbClr val="FFFF00"/>
                  </a:highlight>
                  <a:latin typeface="Cambria Math" panose="02040503050406030204" pitchFamily="18" charset="0"/>
                </a:rPr>
                <a:t>𝐿_𝑧−</a:t>
              </a:r>
              <a:r>
                <a:rPr lang="en-US" sz="2800" b="0" i="0">
                  <a:highlight>
                    <a:srgbClr val="FFFF00"/>
                  </a:highlight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en-US" sz="2800" b="0" i="0">
                  <a:highlight>
                    <a:srgbClr val="FFFF00"/>
                  </a:highlight>
                  <a:latin typeface="Cambria Math" panose="02040503050406030204" pitchFamily="18" charset="0"/>
                </a:rPr>
                <a:t>𝑤 (𝐿_𝑧−ℎ)</a:t>
              </a:r>
              <a:endParaRPr lang="en-US" sz="2800">
                <a:highlight>
                  <a:srgbClr val="FFFF00"/>
                </a:highlight>
              </a:endParaRPr>
            </a:p>
            <a:p>
              <a:r>
                <a:rPr lang="en-US" sz="2800"/>
                <a:t>        =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𝜂_𝑇𝑂𝑇 </a:t>
              </a:r>
              <a:r>
                <a:rPr lang="en-US" sz="2800" b="0" i="0">
                  <a:latin typeface="Cambria Math" panose="02040503050406030204" pitchFamily="18" charset="0"/>
                </a:rPr>
                <a:t>𝐿_𝑧−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en-US" sz="2800" b="0" i="0">
                  <a:latin typeface="Cambria Math" panose="02040503050406030204" pitchFamily="18" charset="0"/>
                </a:rPr>
                <a:t>𝑤 (𝐿_𝑧−ℎ)</a:t>
              </a:r>
              <a:endParaRPr lang="en-US" sz="2800"/>
            </a:p>
          </xdr:txBody>
        </xdr:sp>
      </mc:Fallback>
    </mc:AlternateContent>
    <xdr:clientData/>
  </xdr:twoCellAnchor>
  <xdr:twoCellAnchor>
    <xdr:from>
      <xdr:col>2</xdr:col>
      <xdr:colOff>1144537</xdr:colOff>
      <xdr:row>38</xdr:row>
      <xdr:rowOff>35229</xdr:rowOff>
    </xdr:from>
    <xdr:to>
      <xdr:col>12</xdr:col>
      <xdr:colOff>352562</xdr:colOff>
      <xdr:row>57</xdr:row>
      <xdr:rowOff>66751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5BA6D4-A452-49E6-9ACB-74339676C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44402</xdr:colOff>
      <xdr:row>37</xdr:row>
      <xdr:rowOff>187526</xdr:rowOff>
    </xdr:from>
    <xdr:to>
      <xdr:col>23</xdr:col>
      <xdr:colOff>603452</xdr:colOff>
      <xdr:row>58</xdr:row>
      <xdr:rowOff>35065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509E9F-5D90-4F90-9122-6F7F5B196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373190</xdr:colOff>
      <xdr:row>3</xdr:row>
      <xdr:rowOff>171449</xdr:rowOff>
    </xdr:from>
    <xdr:to>
      <xdr:col>10</xdr:col>
      <xdr:colOff>76200</xdr:colOff>
      <xdr:row>22</xdr:row>
      <xdr:rowOff>122944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877C08-8231-4378-A297-86218E694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2390" y="742949"/>
          <a:ext cx="5494210" cy="3570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8"/>
  <sheetViews>
    <sheetView tabSelected="1" topLeftCell="B1" zoomScale="91" zoomScaleNormal="91" workbookViewId="0">
      <selection activeCell="V33" sqref="V33"/>
    </sheetView>
  </sheetViews>
  <sheetFormatPr defaultRowHeight="15"/>
  <cols>
    <col min="1" max="1" width="9.140625" style="5"/>
    <col min="2" max="2" width="22.28515625" style="4" customWidth="1"/>
    <col min="3" max="3" width="20.85546875" style="4" customWidth="1"/>
    <col min="4" max="4" width="19.140625" style="4" customWidth="1"/>
    <col min="5" max="9" width="9.140625" style="4"/>
    <col min="10" max="10" width="10.85546875" style="4" customWidth="1"/>
    <col min="11" max="11" width="9.140625" style="4"/>
    <col min="12" max="12" width="14.5703125" style="4" bestFit="1" customWidth="1"/>
    <col min="13" max="13" width="9.140625" style="4"/>
    <col min="14" max="14" width="13.42578125" style="4" customWidth="1"/>
    <col min="15" max="15" width="9.140625" style="4"/>
    <col min="16" max="16" width="11.85546875" style="4" bestFit="1" customWidth="1"/>
    <col min="17" max="26" width="9.140625" style="4"/>
    <col min="27" max="16384" width="9.140625" style="5"/>
  </cols>
  <sheetData>
    <row r="1" spans="2:25">
      <c r="C1" s="4" t="s">
        <v>9</v>
      </c>
      <c r="D1" s="4">
        <v>0.3</v>
      </c>
      <c r="E1" s="4" t="s">
        <v>10</v>
      </c>
    </row>
    <row r="3" spans="2:25">
      <c r="C3" s="4" t="s">
        <v>0</v>
      </c>
      <c r="P3" s="4" t="s">
        <v>24</v>
      </c>
    </row>
    <row r="4" spans="2:25">
      <c r="B4" s="4" t="s">
        <v>1</v>
      </c>
      <c r="C4" s="4">
        <v>8.0660000000000007</v>
      </c>
      <c r="D4" s="4" t="s">
        <v>2</v>
      </c>
      <c r="F4" s="4" t="s">
        <v>27</v>
      </c>
      <c r="I4" s="4" t="s">
        <v>21</v>
      </c>
      <c r="J4" s="4" t="s">
        <v>20</v>
      </c>
      <c r="P4" s="4" t="s">
        <v>22</v>
      </c>
      <c r="W4" s="6" t="s">
        <v>29</v>
      </c>
      <c r="X4" s="6"/>
      <c r="Y4" s="6"/>
    </row>
    <row r="5" spans="2:25">
      <c r="B5" s="4" t="s">
        <v>44</v>
      </c>
      <c r="C5" s="4" t="s">
        <v>3</v>
      </c>
      <c r="D5" s="4" t="s">
        <v>4</v>
      </c>
      <c r="F5" s="4" t="s">
        <v>11</v>
      </c>
      <c r="G5" s="4" t="s">
        <v>12</v>
      </c>
      <c r="H5" s="4" t="s">
        <v>13</v>
      </c>
      <c r="I5" s="4" t="s">
        <v>14</v>
      </c>
      <c r="J5" s="4" t="s">
        <v>15</v>
      </c>
      <c r="K5" s="4" t="s">
        <v>16</v>
      </c>
      <c r="M5" s="4" t="s">
        <v>47</v>
      </c>
      <c r="N5" s="4" t="s">
        <v>48</v>
      </c>
      <c r="O5" s="4" t="s">
        <v>4</v>
      </c>
      <c r="P5" s="4" t="s">
        <v>17</v>
      </c>
      <c r="Q5" s="4" t="s">
        <v>18</v>
      </c>
      <c r="R5" s="4" t="s">
        <v>19</v>
      </c>
      <c r="S5" s="4" t="s">
        <v>23</v>
      </c>
      <c r="T5" s="4" t="s">
        <v>25</v>
      </c>
      <c r="V5" s="4" t="s">
        <v>28</v>
      </c>
      <c r="W5" s="4" t="s">
        <v>30</v>
      </c>
      <c r="X5" s="4" t="s">
        <v>31</v>
      </c>
      <c r="Y5" s="4" t="s">
        <v>32</v>
      </c>
    </row>
    <row r="6" spans="2:25">
      <c r="B6" s="4" t="s">
        <v>5</v>
      </c>
      <c r="C6" s="7">
        <f>D6*$C$4/1000</f>
        <v>1.6132000000000001E-4</v>
      </c>
      <c r="D6" s="4">
        <v>0.02</v>
      </c>
      <c r="E6" s="4" t="s">
        <v>6</v>
      </c>
      <c r="F6" s="4">
        <v>-4.8899999999999997</v>
      </c>
      <c r="G6" s="4">
        <v>-5.18</v>
      </c>
      <c r="H6" s="4">
        <v>-3.42</v>
      </c>
      <c r="I6" s="8">
        <v>4.0519999999999996</v>
      </c>
      <c r="J6" s="8">
        <v>4.0190000000000001</v>
      </c>
      <c r="K6" s="8">
        <v>3.9849999999999999</v>
      </c>
      <c r="M6" s="4">
        <f>AVERAGE(I6:K9)</f>
        <v>4.0031241666666668</v>
      </c>
      <c r="N6" s="4">
        <f>STDEV(I6:K9)</f>
        <v>5.7800405072241011E-2</v>
      </c>
      <c r="O6" s="4">
        <v>0.02</v>
      </c>
      <c r="P6" s="4">
        <f>100*(-100000*F6*0.000000001*$C$4/D6-0.001*$D$1*($C$4-I6))</f>
        <v>19.600950000000005</v>
      </c>
      <c r="Q6" s="4">
        <f>100*(-100000*G6*0.000000001*$C$4/D6-0.001*$D$1*($C$4-J6))</f>
        <v>20.76953</v>
      </c>
      <c r="R6" s="4">
        <f>100*(-100000*H6*0.000000001*$C$4/D6-0.001*$D$1*($C$4-K6))</f>
        <v>13.67043</v>
      </c>
      <c r="S6" s="8">
        <f>AVERAGE(P6:R6)</f>
        <v>18.013636666666667</v>
      </c>
      <c r="T6" s="8">
        <f>STDEVA(P6:R6)</f>
        <v>3.8064390072787817</v>
      </c>
      <c r="U6" s="4">
        <f>T6*-1</f>
        <v>-3.8064390072787817</v>
      </c>
      <c r="V6" s="4">
        <f>_xlfn.VAR.P(P6:R6)</f>
        <v>9.6593186107556406</v>
      </c>
    </row>
    <row r="7" spans="2:25">
      <c r="C7" s="7">
        <f t="shared" ref="C7:C9" si="0">D7*$C$4/1000</f>
        <v>4.8396000000000002E-4</v>
      </c>
      <c r="D7" s="4">
        <v>0.06</v>
      </c>
      <c r="F7" s="4">
        <v>-12.64</v>
      </c>
      <c r="G7" s="4">
        <v>-12.28</v>
      </c>
      <c r="H7" s="4">
        <v>-14.4</v>
      </c>
      <c r="I7" s="9">
        <v>4.0510000000000002</v>
      </c>
      <c r="J7" s="9">
        <v>4.0019999999999998</v>
      </c>
      <c r="K7" s="9">
        <v>4.0519999999999996</v>
      </c>
      <c r="O7" s="4">
        <v>0.06</v>
      </c>
      <c r="P7" s="4">
        <f>100*(-100000*F7*0.000000001*$C$4/D7-0.001*$D$1*($C$4-I7))</f>
        <v>16.871923333333335</v>
      </c>
      <c r="Q7" s="4">
        <f>100*(-100000*G7*0.000000001*$C$4/D7-0.001*$D$1*($C$4-J7))</f>
        <v>16.386493333333334</v>
      </c>
      <c r="R7" s="4">
        <f>100*(-100000*H7*0.000000001*$C$4/D7-0.001*$D$1*($C$4-K7))</f>
        <v>19.237980000000004</v>
      </c>
      <c r="S7" s="8">
        <f>AVERAGE(P7:R7)</f>
        <v>17.498798888888889</v>
      </c>
      <c r="T7" s="8">
        <f>STDEVA(P7:R7)</f>
        <v>1.5256060350428822</v>
      </c>
      <c r="U7" s="4">
        <f>T7*-1</f>
        <v>-1.5256060350428822</v>
      </c>
      <c r="V7" s="4">
        <f>_xlfn.VAR.P(P7:R7)</f>
        <v>1.5516491827728427</v>
      </c>
      <c r="W7" s="4">
        <f>(S7/V7+S8/V8)/(1/V7+1/V8)</f>
        <v>18.332380359397504</v>
      </c>
      <c r="X7" s="4">
        <f>1/(1/V7+1/V8)</f>
        <v>0.39346348922119695</v>
      </c>
      <c r="Y7" s="4">
        <f>SQRT(X7)</f>
        <v>0.6272666811023816</v>
      </c>
    </row>
    <row r="8" spans="2:25">
      <c r="C8" s="7">
        <f t="shared" si="0"/>
        <v>8.0660000000000009E-4</v>
      </c>
      <c r="D8" s="4">
        <v>0.1</v>
      </c>
      <c r="F8" s="4">
        <v>-22.33</v>
      </c>
      <c r="G8" s="4">
        <v>-24.46</v>
      </c>
      <c r="H8" s="4">
        <v>-22.9</v>
      </c>
      <c r="I8" s="9">
        <v>4.0190000000000001</v>
      </c>
      <c r="J8" s="9">
        <v>4.0019999999999998</v>
      </c>
      <c r="K8" s="9">
        <v>4.0019999999999998</v>
      </c>
      <c r="O8" s="4">
        <v>0.1</v>
      </c>
      <c r="P8" s="4">
        <f>100*(-100000*F8*0.000000001*$C$4/D8-0.001*$D$1*($C$4-I8))</f>
        <v>17.889968</v>
      </c>
      <c r="Q8" s="4">
        <f>100*(-100000*G8*0.000000001*$C$4/D8-0.001*$D$1*($C$4-J8))</f>
        <v>19.607516000000004</v>
      </c>
      <c r="R8" s="4">
        <f>100*(-100000*H8*0.000000001*$C$4/D8-0.001*$D$1*($C$4-K8))</f>
        <v>18.349219999999999</v>
      </c>
      <c r="S8" s="8">
        <f>AVERAGE(P8:R8)</f>
        <v>18.615568</v>
      </c>
      <c r="T8" s="8">
        <f>STDEVA(P8:R8)</f>
        <v>0.88921241888763813</v>
      </c>
      <c r="U8" s="4">
        <f>T8*-1</f>
        <v>-0.88921241888763813</v>
      </c>
      <c r="V8" s="4">
        <f>_xlfn.VAR.P(P8:R8)</f>
        <v>0.52713248393600298</v>
      </c>
    </row>
    <row r="9" spans="2:25">
      <c r="C9" s="7">
        <f t="shared" si="0"/>
        <v>1.6132000000000002E-3</v>
      </c>
      <c r="D9" s="4">
        <v>0.2</v>
      </c>
      <c r="F9" s="4">
        <v>-41.11</v>
      </c>
      <c r="G9" s="4">
        <v>-43.02</v>
      </c>
      <c r="H9" s="4">
        <v>-40.22</v>
      </c>
      <c r="I9" s="9">
        <v>3.8340000000000001</v>
      </c>
      <c r="J9" s="9">
        <v>4.0010000000000003</v>
      </c>
      <c r="K9" s="9">
        <f>5.24674-1.22825</f>
        <v>4.0184899999999999</v>
      </c>
      <c r="O9" s="4">
        <v>0.2</v>
      </c>
      <c r="P9" s="4">
        <f>100*(-100000*F9*0.000000001*$C$4/D9-0.001*$D$1*($C$4-I9))</f>
        <v>16.452703</v>
      </c>
      <c r="Q9" s="4">
        <f>100*(-100000*G9*0.000000001*$C$4/D9-0.001*$D$1*($C$4-J9))</f>
        <v>17.228016</v>
      </c>
      <c r="R9" s="4">
        <f>100*(-100000*H9*0.000000001*$C$4/D9-0.001*$D$1*($C$4-K9))</f>
        <v>16.099300700000004</v>
      </c>
      <c r="S9" s="8">
        <f>AVERAGE(P9:R9)</f>
        <v>16.5933399</v>
      </c>
      <c r="T9" s="8">
        <f>STDEVA(P9:R9)</f>
        <v>0.57735050908848096</v>
      </c>
      <c r="U9" s="4">
        <f>T9*-1</f>
        <v>-0.57735050908848096</v>
      </c>
      <c r="V9" s="4">
        <f>_xlfn.VAR.P(P9:R9)</f>
        <v>0.22222240689648542</v>
      </c>
    </row>
    <row r="10" spans="2:25">
      <c r="S10" s="8"/>
      <c r="T10" s="8"/>
    </row>
    <row r="11" spans="2:25">
      <c r="S11" s="8"/>
      <c r="T11" s="8"/>
    </row>
    <row r="12" spans="2:25">
      <c r="C12" s="4" t="s">
        <v>7</v>
      </c>
      <c r="S12" s="8"/>
      <c r="T12" s="8"/>
    </row>
    <row r="13" spans="2:25">
      <c r="B13" s="4" t="s">
        <v>1</v>
      </c>
      <c r="C13" s="4">
        <v>7.9969999999999999</v>
      </c>
      <c r="D13" s="4" t="s">
        <v>2</v>
      </c>
      <c r="F13" s="4" t="s">
        <v>26</v>
      </c>
      <c r="S13" s="8"/>
      <c r="T13" s="8"/>
      <c r="W13" s="6" t="s">
        <v>29</v>
      </c>
      <c r="X13" s="6"/>
      <c r="Y13" s="6"/>
    </row>
    <row r="14" spans="2:25">
      <c r="B14" s="4" t="s">
        <v>44</v>
      </c>
      <c r="C14" s="4" t="s">
        <v>3</v>
      </c>
      <c r="D14" s="4" t="s">
        <v>4</v>
      </c>
      <c r="F14" s="4" t="s">
        <v>11</v>
      </c>
      <c r="G14" s="4" t="s">
        <v>12</v>
      </c>
      <c r="H14" s="4" t="s">
        <v>13</v>
      </c>
      <c r="I14" s="4" t="s">
        <v>14</v>
      </c>
      <c r="J14" s="4" t="s">
        <v>15</v>
      </c>
      <c r="K14" s="4" t="s">
        <v>16</v>
      </c>
      <c r="M14" s="4" t="s">
        <v>47</v>
      </c>
      <c r="N14" s="4" t="s">
        <v>48</v>
      </c>
      <c r="P14" s="4" t="s">
        <v>17</v>
      </c>
      <c r="Q14" s="4" t="s">
        <v>18</v>
      </c>
      <c r="R14" s="4" t="s">
        <v>19</v>
      </c>
      <c r="S14" s="8" t="s">
        <v>23</v>
      </c>
      <c r="T14" s="8" t="s">
        <v>25</v>
      </c>
      <c r="V14" s="4" t="s">
        <v>28</v>
      </c>
      <c r="W14" s="4" t="s">
        <v>30</v>
      </c>
      <c r="X14" s="4" t="s">
        <v>31</v>
      </c>
      <c r="Y14" s="4" t="s">
        <v>32</v>
      </c>
    </row>
    <row r="15" spans="2:25">
      <c r="B15" s="4" t="s">
        <v>5</v>
      </c>
      <c r="C15" s="7">
        <f>D15*$C$13/1000</f>
        <v>1.5993999999999999E-4</v>
      </c>
      <c r="D15" s="4">
        <v>0.02</v>
      </c>
      <c r="E15" s="4" t="s">
        <v>6</v>
      </c>
      <c r="F15" s="4">
        <v>-4.93</v>
      </c>
      <c r="G15" s="4">
        <v>-5.97</v>
      </c>
      <c r="H15" s="4">
        <v>-4.22</v>
      </c>
      <c r="I15" s="8">
        <f>5.04498-1.24674</f>
        <v>3.7982399999999998</v>
      </c>
      <c r="J15" s="8">
        <f>5.1963-1.21143</f>
        <v>3.9848699999999999</v>
      </c>
      <c r="K15" s="8">
        <f>5.0786-1.21143</f>
        <v>3.8671699999999998</v>
      </c>
      <c r="M15" s="4">
        <f>AVERAGE(I15:K18)</f>
        <v>3.9379016666666664</v>
      </c>
      <c r="N15" s="4">
        <f>STDEV(I15:K18)</f>
        <v>7.3486293939548433E-2</v>
      </c>
      <c r="P15" s="4">
        <f>100*(-100000*F15*0.000000001*$C$13/D15-0.001*$D$1*($C$13-I15))</f>
        <v>19.5866422</v>
      </c>
      <c r="Q15" s="4">
        <f>100*(-100000*G15*0.000000001*$C$13/D15-0.001*$D$1*($C$13-J15))</f>
        <v>23.750681100000001</v>
      </c>
      <c r="R15" s="4">
        <f>100*(-100000*H15*0.000000001*$C$13/D15-0.001*$D$1*($C$13-K15))</f>
        <v>16.749775100000001</v>
      </c>
      <c r="S15" s="8">
        <f>AVERAGE(P15:R15)</f>
        <v>20.0290328</v>
      </c>
      <c r="T15" s="8">
        <f>STDEVA(P15:R15)</f>
        <v>3.5213567395870764</v>
      </c>
      <c r="U15" s="4">
        <f>T15*-1</f>
        <v>-3.5213567395870764</v>
      </c>
      <c r="V15" s="4">
        <f>_xlfn.VAR.P(P15:R15)</f>
        <v>8.2666355249568575</v>
      </c>
    </row>
    <row r="16" spans="2:25">
      <c r="C16" s="7">
        <f t="shared" ref="C16:C18" si="1">D16*$C$13/1000</f>
        <v>4.7981999999999994E-4</v>
      </c>
      <c r="D16" s="4">
        <v>0.06</v>
      </c>
      <c r="F16" s="4">
        <v>-13.94</v>
      </c>
      <c r="G16" s="4">
        <v>-16.68</v>
      </c>
      <c r="H16" s="4">
        <v>-13.91</v>
      </c>
      <c r="I16" s="8">
        <f>5.22993-1.21143</f>
        <v>4.0185000000000004</v>
      </c>
      <c r="J16" s="8">
        <f>5.06179-1.21143</f>
        <v>3.8503600000000002</v>
      </c>
      <c r="K16" s="8">
        <f>5.21311-1.21143</f>
        <v>4.0016800000000003</v>
      </c>
      <c r="P16" s="4">
        <f>100*(-100000*F16*0.000000001*$C$13/D16-0.001*$D$1*($C$13-I16))</f>
        <v>18.460341666666668</v>
      </c>
      <c r="Q16" s="4">
        <f>100*(-100000*G16*0.000000001*$C$13/D16-0.001*$D$1*($C$13-J16))</f>
        <v>22.107260800000006</v>
      </c>
      <c r="R16" s="4">
        <f>100*(-100000*H16*0.000000001*$C$13/D16-0.001*$D$1*($C$13-K16))</f>
        <v>18.419852066666671</v>
      </c>
      <c r="S16" s="8">
        <f>AVERAGE(P16:R16)</f>
        <v>19.662484844444446</v>
      </c>
      <c r="T16" s="8">
        <f>STDEVA(P16:R16)</f>
        <v>2.1173348711467401</v>
      </c>
      <c r="U16" s="4">
        <f>T16*-1</f>
        <v>-2.1173348711467401</v>
      </c>
      <c r="V16" s="4">
        <f>_xlfn.VAR.P(P16:R16)</f>
        <v>2.9887379710493214</v>
      </c>
      <c r="W16" s="4">
        <f>(S16/V16+S17/V17)/(1/V16+1/V17)</f>
        <v>19.831851743524602</v>
      </c>
      <c r="X16" s="4">
        <f>1/(1/V16+1/V17)</f>
        <v>0.73637887025791826</v>
      </c>
      <c r="Y16" s="4">
        <f>SQRT(X16)</f>
        <v>0.8581252066324111</v>
      </c>
    </row>
    <row r="17" spans="2:25">
      <c r="C17" s="7">
        <f>D17*$C$13/1000</f>
        <v>7.9970000000000009E-4</v>
      </c>
      <c r="D17" s="4">
        <v>0.1</v>
      </c>
      <c r="F17" s="4">
        <v>-23.37</v>
      </c>
      <c r="G17" s="4">
        <v>-25.34</v>
      </c>
      <c r="H17" s="4">
        <v>-26.35</v>
      </c>
      <c r="I17" s="8">
        <v>3.9780000000000002</v>
      </c>
      <c r="J17" s="8">
        <v>4.0190000000000001</v>
      </c>
      <c r="K17" s="8">
        <v>3.867</v>
      </c>
      <c r="P17" s="4">
        <f>100*(-100000*F17*0.000000001*$C$13/D17-0.001*$D$1*($C$13-I17))</f>
        <v>18.568418999999999</v>
      </c>
      <c r="Q17" s="4">
        <f>100*(-100000*G17*0.000000001*$C$13/D17-0.001*$D$1*($C$13-J17))</f>
        <v>20.145058000000002</v>
      </c>
      <c r="R17" s="4">
        <f>100*(-100000*H17*0.000000001*$C$13/D17-0.001*$D$1*($C$13-K17))</f>
        <v>20.948195000000002</v>
      </c>
      <c r="S17" s="8">
        <f>AVERAGE(P17:R17)</f>
        <v>19.887224</v>
      </c>
      <c r="T17" s="8">
        <f>STDEVA(P17:R17)</f>
        <v>1.2106577679968045</v>
      </c>
      <c r="U17" s="4">
        <f>T17*-1</f>
        <v>-1.2106577679968045</v>
      </c>
      <c r="V17" s="4">
        <f>_xlfn.VAR.P(P17:R17)</f>
        <v>0.97712815414066956</v>
      </c>
    </row>
    <row r="18" spans="2:25">
      <c r="C18" s="7">
        <f t="shared" si="1"/>
        <v>1.5994000000000002E-3</v>
      </c>
      <c r="D18" s="4">
        <v>0.2</v>
      </c>
      <c r="F18" s="4">
        <v>-45.33</v>
      </c>
      <c r="G18" s="4">
        <v>-42.71</v>
      </c>
      <c r="H18" s="4">
        <v>-44.83</v>
      </c>
      <c r="I18" s="8">
        <v>3.968</v>
      </c>
      <c r="J18" s="8">
        <v>3.9510000000000001</v>
      </c>
      <c r="K18" s="8">
        <v>3.9510000000000001</v>
      </c>
      <c r="P18" s="4">
        <f>100*(-100000*F18*0.000000001*$C$13/D18-0.001*$D$1*($C$13-I18))</f>
        <v>18.004330499999998</v>
      </c>
      <c r="Q18" s="4">
        <f>100*(-100000*G18*0.000000001*$C$13/D18-0.001*$D$1*($C$13-J18))</f>
        <v>16.956213500000004</v>
      </c>
      <c r="R18" s="4">
        <f>100*(-100000*H18*0.000000001*$C$13/D18-0.001*$D$1*($C$13-K18))</f>
        <v>17.803895499999999</v>
      </c>
      <c r="S18" s="8">
        <f>AVERAGE(P18:R18)</f>
        <v>17.588146499999997</v>
      </c>
      <c r="T18" s="8">
        <f>STDEVA(P18:R18)</f>
        <v>0.55637041139244325</v>
      </c>
      <c r="U18" s="4">
        <f>T18*-1</f>
        <v>-0.55637041139244325</v>
      </c>
      <c r="V18" s="4">
        <f>_xlfn.VAR.P(P18:R18)</f>
        <v>0.20636535644866438</v>
      </c>
    </row>
    <row r="19" spans="2:25">
      <c r="S19" s="8"/>
      <c r="T19" s="8"/>
    </row>
    <row r="20" spans="2:25">
      <c r="C20" s="4" t="s">
        <v>8</v>
      </c>
      <c r="S20" s="8"/>
      <c r="T20" s="8"/>
    </row>
    <row r="21" spans="2:25">
      <c r="B21" s="4" t="s">
        <v>1</v>
      </c>
      <c r="C21" s="4">
        <v>7.9710000000000001</v>
      </c>
      <c r="D21" s="4" t="s">
        <v>2</v>
      </c>
      <c r="F21" s="4" t="s">
        <v>26</v>
      </c>
      <c r="S21" s="8"/>
      <c r="T21" s="8"/>
      <c r="W21" s="6" t="s">
        <v>29</v>
      </c>
      <c r="X21" s="6"/>
      <c r="Y21" s="6"/>
    </row>
    <row r="22" spans="2:25">
      <c r="B22" s="4" t="s">
        <v>44</v>
      </c>
      <c r="C22" s="4" t="s">
        <v>3</v>
      </c>
      <c r="D22" s="4" t="s">
        <v>4</v>
      </c>
      <c r="F22" s="4" t="s">
        <v>11</v>
      </c>
      <c r="G22" s="4" t="s">
        <v>12</v>
      </c>
      <c r="H22" s="4" t="s">
        <v>13</v>
      </c>
      <c r="I22" s="4" t="s">
        <v>14</v>
      </c>
      <c r="J22" s="4" t="s">
        <v>15</v>
      </c>
      <c r="K22" s="4" t="s">
        <v>16</v>
      </c>
      <c r="M22" s="4" t="s">
        <v>47</v>
      </c>
      <c r="N22" s="4" t="s">
        <v>48</v>
      </c>
      <c r="P22" s="4" t="s">
        <v>17</v>
      </c>
      <c r="Q22" s="4" t="s">
        <v>18</v>
      </c>
      <c r="R22" s="4" t="s">
        <v>19</v>
      </c>
      <c r="S22" s="8" t="s">
        <v>23</v>
      </c>
      <c r="T22" s="8" t="s">
        <v>25</v>
      </c>
      <c r="V22" s="4" t="s">
        <v>28</v>
      </c>
      <c r="W22" s="4" t="s">
        <v>30</v>
      </c>
      <c r="X22" s="4" t="s">
        <v>31</v>
      </c>
      <c r="Y22" s="4" t="s">
        <v>32</v>
      </c>
    </row>
    <row r="23" spans="2:25">
      <c r="B23" s="4" t="s">
        <v>5</v>
      </c>
      <c r="C23" s="7">
        <f>D23*$C$21/1000</f>
        <v>1.5942000000000002E-4</v>
      </c>
      <c r="D23" s="4">
        <v>0.02</v>
      </c>
      <c r="E23" s="4" t="s">
        <v>6</v>
      </c>
      <c r="F23" s="10">
        <v>-7.4180999999999999</v>
      </c>
      <c r="G23" s="10">
        <v>-5.3027300000000004</v>
      </c>
      <c r="H23" s="11">
        <v>-5.6933199999999999</v>
      </c>
      <c r="I23" s="12">
        <f>5.90522-2.00646</f>
        <v>3.8987599999999998</v>
      </c>
      <c r="J23" s="12">
        <f>5.90522-2.028</f>
        <v>3.8772199999999999</v>
      </c>
      <c r="K23" s="12">
        <f>5.92676-2.028</f>
        <v>3.8987599999999998</v>
      </c>
      <c r="M23" s="4">
        <f>AVERAGE(I23:K26)</f>
        <v>3.8258749999999999</v>
      </c>
      <c r="N23" s="4">
        <f>STDEV(I23:K26)</f>
        <v>0.23359655167520219</v>
      </c>
      <c r="P23" s="4">
        <f>100*(-100000*F23*0.000000001*$C$21/D23-0.001*$D$1*($C$21-I23))</f>
        <v>29.44267035</v>
      </c>
      <c r="Q23" s="4">
        <f>100*(-100000*G23*0.000000001*$C$13/D23-0.001*$D$1*($C$21-J23))</f>
        <v>21.080152505000001</v>
      </c>
      <c r="R23" s="4">
        <f>100*(-100000*H23*0.000000001*$C$13/D23-0.001*$D$1*($C$21-K23))</f>
        <v>22.642572820000002</v>
      </c>
      <c r="S23" s="8">
        <f>AVERAGE(P23:R23)</f>
        <v>24.388465225000001</v>
      </c>
      <c r="T23" s="8">
        <f>STDEVA(P23:R23)</f>
        <v>4.4462378922369217</v>
      </c>
      <c r="U23" s="4">
        <f>T23*-1</f>
        <v>-4.4462378922369217</v>
      </c>
      <c r="V23" s="4">
        <f>_xlfn.VAR.P(P23:R23)</f>
        <v>13.179354262908923</v>
      </c>
    </row>
    <row r="24" spans="2:25">
      <c r="C24" s="7">
        <f>D24*$C$21/1000</f>
        <v>4.7825999999999994E-4</v>
      </c>
      <c r="D24" s="4">
        <v>0.06</v>
      </c>
      <c r="F24" s="11">
        <f>-15.0946</f>
        <v>-15.0946</v>
      </c>
      <c r="G24" s="11">
        <v>-12.757400000000001</v>
      </c>
      <c r="H24" s="11">
        <v>-14.144</v>
      </c>
      <c r="I24" s="12">
        <f>5.90522-2.00646</f>
        <v>3.8987599999999998</v>
      </c>
      <c r="J24" s="12">
        <f>5.90522-2.00646</f>
        <v>3.8987599999999998</v>
      </c>
      <c r="K24" s="12">
        <f>5.09522-2.00646</f>
        <v>3.0887600000000002</v>
      </c>
      <c r="P24" s="4">
        <f>100*(-100000*F24*0.000000001*$C$21/D24-0.001*$D$1*($C$21-I24))</f>
        <v>19.931008899999998</v>
      </c>
      <c r="Q24" s="4">
        <f>100*(-100000*G24*0.000000001*$C$13/D24-0.001*$D$1*($C$21-J24))</f>
        <v>16.881320766666665</v>
      </c>
      <c r="R24" s="4">
        <f>100*(-100000*H24*0.000000001*$C$13/D24-0.001*$D$1*($C$21-K24))</f>
        <v>18.705127466666667</v>
      </c>
      <c r="S24" s="8">
        <f>AVERAGE(P24:R24)</f>
        <v>18.505819044444443</v>
      </c>
      <c r="T24" s="8">
        <f>STDEVA(P24:R24)</f>
        <v>1.5345821297750968</v>
      </c>
      <c r="U24" s="4">
        <f>T24*-1</f>
        <v>-1.5345821297750968</v>
      </c>
      <c r="V24" s="4">
        <f>_xlfn.VAR.P(P24:R24)</f>
        <v>1.5699615420167146</v>
      </c>
      <c r="W24" s="4">
        <f>(S24/V24+S25/V25)/(1/V24+1/V25)</f>
        <v>18.597964500466425</v>
      </c>
      <c r="X24" s="4">
        <f>1/(1/V24+1/V25)</f>
        <v>0.54250604217109122</v>
      </c>
      <c r="Y24" s="4">
        <f>SQRT(X24)</f>
        <v>0.73655009481439293</v>
      </c>
    </row>
    <row r="25" spans="2:25">
      <c r="C25" s="7">
        <f t="shared" ref="C24:C26" si="2">D25*$C$21/1000</f>
        <v>7.9710000000000002E-4</v>
      </c>
      <c r="D25" s="4">
        <v>0.1</v>
      </c>
      <c r="F25" s="11">
        <v>-24.770800000000001</v>
      </c>
      <c r="G25" s="11">
        <v>-21.951699999999999</v>
      </c>
      <c r="H25" s="11">
        <v>-23.768999999999998</v>
      </c>
      <c r="I25" s="12">
        <f>5.9483-2.00646</f>
        <v>3.9418399999999996</v>
      </c>
      <c r="J25" s="12">
        <f>5.90522-2.028</f>
        <v>3.8772199999999999</v>
      </c>
      <c r="K25" s="12">
        <f>5.86214-2.028</f>
        <v>3.8341400000000001</v>
      </c>
      <c r="P25" s="4">
        <f>100*(-100000*F25*0.000000001*$C$21/D25-0.001*$D$1*($C$21-I25))</f>
        <v>19.623929879999995</v>
      </c>
      <c r="Q25" s="4">
        <f>100*(-100000*G25*0.000000001*$C$13/D25-0.001*$D$1*($C$21-J25))</f>
        <v>17.431961090000001</v>
      </c>
      <c r="R25" s="4">
        <f>100*(-100000*H25*0.000000001*$C$13/D25-0.001*$D$1*($C$21-K25))</f>
        <v>18.8839635</v>
      </c>
      <c r="S25" s="8">
        <f>AVERAGE(P25:R25)</f>
        <v>18.646618156666666</v>
      </c>
      <c r="T25" s="8">
        <f>STDEVA(P25:R25)</f>
        <v>1.1150925535958991</v>
      </c>
      <c r="U25" s="4">
        <f>T25*-1</f>
        <v>-1.1150925535958991</v>
      </c>
      <c r="V25" s="4">
        <f>_xlfn.VAR.P(P25:R25)</f>
        <v>0.82895426872334854</v>
      </c>
    </row>
    <row r="26" spans="2:25">
      <c r="C26" s="7">
        <f t="shared" si="2"/>
        <v>1.5942E-3</v>
      </c>
      <c r="D26" s="4">
        <v>0.2</v>
      </c>
      <c r="F26" s="11">
        <v>-39.503900000000002</v>
      </c>
      <c r="G26" s="11">
        <v>-43.2697</v>
      </c>
      <c r="H26" s="11">
        <v>-43.697200000000002</v>
      </c>
      <c r="I26" s="12">
        <f>5.90522-2.00646</f>
        <v>3.8987599999999998</v>
      </c>
      <c r="J26" s="12">
        <f>5.90522-2.028</f>
        <v>3.8772199999999999</v>
      </c>
      <c r="K26" s="12">
        <f>5.90522-1.98492</f>
        <v>3.9203000000000001</v>
      </c>
      <c r="P26" s="4">
        <f>100*(-100000*F26*0.000000001*$C$21/D26-0.001*$D$1*($C$21-I26))</f>
        <v>15.622112145000003</v>
      </c>
      <c r="Q26" s="4">
        <f>100*(-100000*G26*0.000000001*$C$13/D26-0.001*$D$1*($C$21-J26))</f>
        <v>17.178576144999997</v>
      </c>
      <c r="R26" s="4">
        <f>100*(-100000*H26*0.000000001*$C$13/D26-0.001*$D$1*($C$21-K26))</f>
        <v>17.350804419999999</v>
      </c>
      <c r="S26" s="8">
        <f>AVERAGE(P26:R26)</f>
        <v>16.717164236666665</v>
      </c>
      <c r="T26" s="8">
        <f>STDEVA(P26:R26)</f>
        <v>0.95224469401253198</v>
      </c>
      <c r="U26" s="4">
        <f>T26*-1</f>
        <v>-0.95224469401253198</v>
      </c>
      <c r="V26" s="4">
        <f>_xlfn.VAR.P(P26:R26)</f>
        <v>0.60451330485001387</v>
      </c>
    </row>
    <row r="29" spans="2:25">
      <c r="C29" s="13" t="s">
        <v>46</v>
      </c>
      <c r="D29" s="13"/>
      <c r="E29" s="14"/>
      <c r="F29" s="14"/>
      <c r="G29" s="14"/>
      <c r="H29" s="14"/>
      <c r="K29" s="14"/>
      <c r="L29" s="14"/>
      <c r="M29" s="14"/>
    </row>
    <row r="30" spans="2:25">
      <c r="B30" s="14" t="s">
        <v>33</v>
      </c>
      <c r="C30" s="14">
        <v>9.36</v>
      </c>
      <c r="D30" s="13" t="s">
        <v>2</v>
      </c>
      <c r="F30" s="15" t="s">
        <v>34</v>
      </c>
      <c r="H30" s="15"/>
      <c r="L30" s="14"/>
      <c r="M30" s="14"/>
    </row>
    <row r="31" spans="2:25">
      <c r="B31" s="4" t="s">
        <v>44</v>
      </c>
      <c r="C31" s="4" t="s">
        <v>3</v>
      </c>
      <c r="D31" s="4" t="s">
        <v>4</v>
      </c>
      <c r="F31" s="14" t="s">
        <v>35</v>
      </c>
      <c r="G31" s="14" t="s">
        <v>36</v>
      </c>
      <c r="H31" s="14" t="s">
        <v>37</v>
      </c>
      <c r="I31" s="14" t="s">
        <v>38</v>
      </c>
      <c r="J31" s="14" t="s">
        <v>39</v>
      </c>
      <c r="K31" s="14" t="s">
        <v>40</v>
      </c>
      <c r="M31" s="4" t="s">
        <v>47</v>
      </c>
      <c r="N31" s="4" t="s">
        <v>48</v>
      </c>
      <c r="O31" s="13" t="s">
        <v>4</v>
      </c>
      <c r="P31" s="14" t="s">
        <v>41</v>
      </c>
      <c r="Q31" s="14" t="s">
        <v>42</v>
      </c>
      <c r="R31" s="14" t="s">
        <v>43</v>
      </c>
      <c r="S31" s="16" t="s">
        <v>23</v>
      </c>
      <c r="T31" s="16" t="s">
        <v>25</v>
      </c>
      <c r="V31" s="4" t="s">
        <v>45</v>
      </c>
      <c r="W31" s="6" t="s">
        <v>29</v>
      </c>
      <c r="X31" s="6"/>
      <c r="Y31" s="6"/>
    </row>
    <row r="32" spans="2:25">
      <c r="B32" s="4" t="s">
        <v>5</v>
      </c>
      <c r="C32" s="17">
        <f>D32*$C$30/1000</f>
        <v>1.872E-4</v>
      </c>
      <c r="D32" s="18">
        <v>0.02</v>
      </c>
      <c r="F32" s="14">
        <v>-7.4980700000000002</v>
      </c>
      <c r="G32" s="14">
        <v>-9.2385099999999998</v>
      </c>
      <c r="H32" s="14">
        <v>-10.0892</v>
      </c>
      <c r="I32" s="14">
        <f>6.9238-2.37345</f>
        <v>4.5503499999999999</v>
      </c>
      <c r="J32" s="14">
        <f>6.9238-2.37345</f>
        <v>4.5503499999999999</v>
      </c>
      <c r="K32" s="14">
        <f>6.86995-2.3196</f>
        <v>4.5503499999999999</v>
      </c>
      <c r="M32" s="4">
        <f>AVERAGE(I32:K37)</f>
        <v>4.487525555555556</v>
      </c>
      <c r="N32" s="4">
        <f>STDEV(I32:K37)</f>
        <v>8.0510662298796457E-2</v>
      </c>
      <c r="O32" s="18">
        <v>0.02</v>
      </c>
      <c r="P32" s="14">
        <f>100*((-100000*F32*0.000000001*$C$30/D32)-0.001*$D$1*($C$30-I32))</f>
        <v>34.946678099999993</v>
      </c>
      <c r="Q32" s="14">
        <f>100*((-100000*G32*0.000000001*$C$30/D32)-0.001*$D$1*($C$30-J32))</f>
        <v>43.091937299999998</v>
      </c>
      <c r="R32" s="14">
        <f>100*((-100000*H32*0.000000001*$C$30/$D32)-0.001*$D$1*($C$30-K32))</f>
        <v>47.073166499999999</v>
      </c>
      <c r="S32" s="8">
        <f>AVERAGE(P32:R32)</f>
        <v>41.703927299999997</v>
      </c>
      <c r="T32" s="8">
        <f>STDEVA(P32:R32)</f>
        <v>6.181250605573938</v>
      </c>
      <c r="U32" s="4">
        <f t="shared" ref="U32:U37" si="3">T32*-1</f>
        <v>-6.181250605573938</v>
      </c>
      <c r="V32" s="4">
        <f>_xlfn.VAR.P(P32:R32)</f>
        <v>25.47190603260545</v>
      </c>
      <c r="W32" s="4" t="s">
        <v>30</v>
      </c>
      <c r="X32" s="4" t="s">
        <v>31</v>
      </c>
      <c r="Y32" s="4" t="s">
        <v>32</v>
      </c>
    </row>
    <row r="33" spans="3:27">
      <c r="C33" s="17">
        <f t="shared" ref="C33:C37" si="4">D33*$C$30/1000</f>
        <v>3.7439999999999999E-4</v>
      </c>
      <c r="D33" s="19">
        <v>0.04</v>
      </c>
      <c r="F33" s="20">
        <v>-21.549600000000002</v>
      </c>
      <c r="G33" s="14">
        <v>-16.294799999999999</v>
      </c>
      <c r="H33" s="14">
        <v>-19.767399999999999</v>
      </c>
      <c r="I33" s="14">
        <f>6.9238-2.34653</f>
        <v>4.5772700000000004</v>
      </c>
      <c r="J33" s="14">
        <f>6.86995-2.37345</f>
        <v>4.4965000000000002</v>
      </c>
      <c r="K33" s="14">
        <f>6.84303-2.40038</f>
        <v>4.4426499999999995</v>
      </c>
      <c r="O33" s="19">
        <v>0.04</v>
      </c>
      <c r="P33" s="14">
        <f>100*((-100000*F33*0.000000001*$C$30/D33)-0.001*$D$1*($C$30-I33))</f>
        <v>50.282582100000006</v>
      </c>
      <c r="Q33" s="14">
        <f>100*((-100000*G33*0.000000001*$C$30/D33)-0.001*$D$1*($C$30-J33))</f>
        <v>37.983926999999987</v>
      </c>
      <c r="R33" s="14">
        <f>100*((-100000*H33*0.000000001*$C$30/$D33)-0.001*$D$1*($C$30-K33))</f>
        <v>46.108195500000001</v>
      </c>
      <c r="S33" s="21">
        <f t="shared" ref="S32:S37" si="5">AVERAGE(P33:R33)</f>
        <v>44.7915682</v>
      </c>
      <c r="T33" s="21">
        <f>STDEVA(P33:R33)</f>
        <v>6.2541474161165773</v>
      </c>
      <c r="U33" s="4">
        <f t="shared" si="3"/>
        <v>-6.2541474161165773</v>
      </c>
      <c r="V33" s="4">
        <f t="shared" ref="V33:V37" si="6">_xlfn.VAR.P(P33:R33)</f>
        <v>26.076239935012079</v>
      </c>
    </row>
    <row r="34" spans="3:27">
      <c r="C34" s="17">
        <f>D34*$C$30/1000</f>
        <v>5.6159999999999999E-4</v>
      </c>
      <c r="D34" s="19">
        <v>0.06</v>
      </c>
      <c r="F34" s="14">
        <v>-26.944299999999998</v>
      </c>
      <c r="G34" s="14">
        <v>-27.689699999999998</v>
      </c>
      <c r="H34" s="14">
        <v>-29.040600000000001</v>
      </c>
      <c r="I34" s="14">
        <f>6.89688-2.37345</f>
        <v>4.5234300000000003</v>
      </c>
      <c r="J34" s="14">
        <f>6.86995-2.40038</f>
        <v>4.46957</v>
      </c>
      <c r="K34" s="14">
        <f>6.86995-2.58885</f>
        <v>4.2811000000000003</v>
      </c>
      <c r="O34" s="19">
        <v>0.06</v>
      </c>
      <c r="P34" s="14">
        <f>100*((-100000*F34*0.000000001*$C$30/D34)-0.001*$D$1*($C$30-I34))</f>
        <v>41.888010899999998</v>
      </c>
      <c r="Q34" s="14">
        <f>100*((-100000*G34*0.000000001*$C$30/D34)-0.001*$D$1*($C$30-J34))</f>
        <v>43.049219100000002</v>
      </c>
      <c r="R34" s="14">
        <f>100*((-100000*H34*0.000000001*$C$30/$D34)-0.001*$D$1*($C$30-K34))</f>
        <v>45.150969000000003</v>
      </c>
      <c r="S34" s="21">
        <f t="shared" si="5"/>
        <v>43.362732999999999</v>
      </c>
      <c r="T34" s="21">
        <f>STDEVA(P34:R34)</f>
        <v>1.6539172030996048</v>
      </c>
      <c r="U34" s="4">
        <f t="shared" si="3"/>
        <v>-1.6539172030996048</v>
      </c>
      <c r="V34" s="4">
        <f t="shared" si="6"/>
        <v>1.8236280764725461</v>
      </c>
    </row>
    <row r="35" spans="3:27">
      <c r="C35" s="17">
        <f t="shared" si="4"/>
        <v>7.4879999999999999E-4</v>
      </c>
      <c r="D35" s="19">
        <v>0.08</v>
      </c>
      <c r="F35" s="14">
        <v>-34.681100000000001</v>
      </c>
      <c r="G35" s="14">
        <v>-33.104199999999999</v>
      </c>
      <c r="H35" s="14">
        <v>-31.596900000000002</v>
      </c>
      <c r="I35" s="14">
        <f>6.84303-2.40038</f>
        <v>4.4426499999999995</v>
      </c>
      <c r="J35" s="14">
        <f>6.89688-2.37345</f>
        <v>4.5234300000000003</v>
      </c>
      <c r="K35" s="14">
        <f>6.89688-2.37345</f>
        <v>4.5234300000000003</v>
      </c>
      <c r="O35" s="19">
        <v>0.08</v>
      </c>
      <c r="P35" s="14">
        <f>100*((-100000*F35*0.000000001*$C$30/D35)-0.001*$D$1*($C$30-I35))</f>
        <v>40.4293665</v>
      </c>
      <c r="Q35" s="14">
        <f>100*((-100000*G35*0.000000001*$C$30/D35)-0.001*$D$1*($C$30-J35))</f>
        <v>38.586816899999995</v>
      </c>
      <c r="R35" s="14">
        <f>100*((-100000*H35*0.000000001*$C$30/$D35)-0.001*$D$1*($C$30-K35))</f>
        <v>36.823275899999999</v>
      </c>
      <c r="S35" s="21">
        <f t="shared" si="5"/>
        <v>38.613153099999998</v>
      </c>
      <c r="T35" s="21">
        <f>STDEVA(P35:R35)</f>
        <v>1.8031895492224115</v>
      </c>
      <c r="U35" s="4">
        <f t="shared" si="3"/>
        <v>-1.8031895492224115</v>
      </c>
      <c r="V35" s="4">
        <f t="shared" si="6"/>
        <v>2.1676617002832823</v>
      </c>
      <c r="W35" s="4">
        <f>(S35/V35+S36/V36)/(1/V35+1/V36)</f>
        <v>39.470641901507314</v>
      </c>
      <c r="X35" s="4">
        <f>1/(1/V35+1/V36)</f>
        <v>9.0178249832810364E-2</v>
      </c>
      <c r="Y35" s="4">
        <f>SQRT(X35)</f>
        <v>0.30029693610293523</v>
      </c>
    </row>
    <row r="36" spans="3:27">
      <c r="C36" s="17">
        <f t="shared" si="4"/>
        <v>9.3599999999999998E-4</v>
      </c>
      <c r="D36" s="19">
        <v>0.1</v>
      </c>
      <c r="F36" s="14">
        <v>-41.902700000000003</v>
      </c>
      <c r="G36" s="14">
        <v>-42.6248</v>
      </c>
      <c r="H36" s="14">
        <v>-42.570500000000003</v>
      </c>
      <c r="I36" s="14">
        <f>6.89688-2.40038</f>
        <v>4.4965000000000002</v>
      </c>
      <c r="J36" s="14">
        <f>6.84303-2.40038</f>
        <v>4.4426499999999995</v>
      </c>
      <c r="K36" s="14">
        <f>6.84303-2.37345</f>
        <v>4.4695799999999997</v>
      </c>
      <c r="O36" s="19">
        <v>0.1</v>
      </c>
      <c r="P36" s="14">
        <f>100*((-100000*F36*0.000000001*$C$30/D36)-0.001*$D$1*($C$30-I36))</f>
        <v>39.075022200000006</v>
      </c>
      <c r="Q36" s="14">
        <f>100*((-100000*G36*0.000000001*$C$30/D36)-0.001*$D$1*($C$30-J36))</f>
        <v>39.749292299999993</v>
      </c>
      <c r="R36" s="14">
        <f>100*((-100000*H36*0.000000001*$C$30/$D36)-0.001*$D$1*($C$30-K36))</f>
        <v>39.699275399999998</v>
      </c>
      <c r="S36" s="21">
        <f t="shared" si="5"/>
        <v>39.507863299999997</v>
      </c>
      <c r="T36" s="21">
        <f>STDEVA(P36:R36)</f>
        <v>0.37568468954471002</v>
      </c>
      <c r="U36" s="4">
        <f t="shared" si="3"/>
        <v>-0.37568468954471002</v>
      </c>
      <c r="V36" s="4">
        <f t="shared" si="6"/>
        <v>9.4092657305536773E-2</v>
      </c>
    </row>
    <row r="37" spans="3:27">
      <c r="C37" s="17">
        <f t="shared" si="4"/>
        <v>1.872E-3</v>
      </c>
      <c r="D37" s="19">
        <v>0.2</v>
      </c>
      <c r="F37" s="14">
        <v>-65.813800000000001</v>
      </c>
      <c r="G37" s="14">
        <v>-67.636799999999994</v>
      </c>
      <c r="H37" s="14">
        <v>-61.553100000000001</v>
      </c>
      <c r="I37" s="14">
        <f>6.89688-2.56193</f>
        <v>4.334950000000001</v>
      </c>
      <c r="J37" s="14">
        <f>6.86995-2.26575</f>
        <v>4.6042000000000005</v>
      </c>
      <c r="K37" s="14">
        <f>6.86995-2.37345</f>
        <v>4.4965000000000002</v>
      </c>
      <c r="O37" s="19">
        <v>0.2</v>
      </c>
      <c r="P37" s="14">
        <f>100*((-100000*F37*0.000000001*$C$30/D37)-0.001*$D$1*($C$30-I37))</f>
        <v>30.650106899999997</v>
      </c>
      <c r="Q37" s="14">
        <f>100*((-100000*G37*0.000000001*$C$30/D37)-0.001*$D$1*($C$30-J37))</f>
        <v>31.511348399999996</v>
      </c>
      <c r="R37" s="14">
        <f>100*((-100000*H37*0.000000001*$C$30/$D37)-0.001*$D$1*($C$30-K37))</f>
        <v>28.660945799999997</v>
      </c>
      <c r="S37" s="21">
        <f t="shared" si="5"/>
        <v>30.274133699999997</v>
      </c>
      <c r="T37" s="21">
        <f>STDEVA(Q37:S37)</f>
        <v>1.4293279537769519</v>
      </c>
      <c r="U37" s="4">
        <f t="shared" si="3"/>
        <v>-1.4293279537769519</v>
      </c>
      <c r="V37" s="4">
        <f t="shared" si="6"/>
        <v>1.4248104205735792</v>
      </c>
    </row>
    <row r="38" spans="3:27">
      <c r="AA38" s="5">
        <v>0</v>
      </c>
    </row>
  </sheetData>
  <mergeCells count="4">
    <mergeCell ref="W4:Y4"/>
    <mergeCell ref="W13:Y13"/>
    <mergeCell ref="W21:Y21"/>
    <mergeCell ref="W31:Y31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E4DB-A779-4EB0-B4FF-B5BFB8DF3192}">
  <dimension ref="C1:U5"/>
  <sheetViews>
    <sheetView workbookViewId="0">
      <selection activeCell="O23" sqref="O23"/>
    </sheetView>
  </sheetViews>
  <sheetFormatPr defaultRowHeight="15"/>
  <cols>
    <col min="3" max="3" width="11.28515625" customWidth="1"/>
    <col min="4" max="4" width="17" customWidth="1"/>
    <col min="5" max="5" width="12.85546875" customWidth="1"/>
    <col min="11" max="12" width="12.42578125" customWidth="1"/>
  </cols>
  <sheetData>
    <row r="1" spans="3:21">
      <c r="C1" s="3"/>
      <c r="D1" s="3"/>
      <c r="E1" s="3"/>
      <c r="F1" s="3"/>
    </row>
    <row r="2" spans="3:21">
      <c r="U2" s="1"/>
    </row>
    <row r="3" spans="3:21">
      <c r="M3" s="2"/>
      <c r="N3" s="2"/>
    </row>
    <row r="4" spans="3:21">
      <c r="M4" s="2"/>
      <c r="N4" s="2"/>
    </row>
    <row r="5" spans="3:21">
      <c r="M5" s="2"/>
      <c r="N5" s="2"/>
    </row>
  </sheetData>
  <mergeCells count="1">
    <mergeCell ref="C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viscosity_calc</vt:lpstr>
      <vt:lpstr>pip2_chol_shear_setting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Jiang</dc:creator>
  <cp:lastModifiedBy>Wendy Jiang</cp:lastModifiedBy>
  <dcterms:created xsi:type="dcterms:W3CDTF">2015-06-05T18:17:20Z</dcterms:created>
  <dcterms:modified xsi:type="dcterms:W3CDTF">2021-02-20T20:30:14Z</dcterms:modified>
</cp:coreProperties>
</file>